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mc:AlternateContent xmlns:mc="http://schemas.openxmlformats.org/markup-compatibility/2006">
    <mc:Choice Requires="x15">
      <x15ac:absPath xmlns:x15ac="http://schemas.microsoft.com/office/spreadsheetml/2010/11/ac" url="https://primegroupllc.sharepoint.com/Prime/Shared Documents/LG&amp;E/2020 Rate Case/Rebuttal Testimony/COS for Net Metering/"/>
    </mc:Choice>
  </mc:AlternateContent>
  <xr:revisionPtr revIDLastSave="86" documentId="8_{EABDE7C8-E17B-4752-B1D5-890A61F69978}" xr6:coauthVersionLast="46" xr6:coauthVersionMax="46" xr10:uidLastSave="{277DD4D3-050E-4339-89C9-5F1DA4D3058D}"/>
  <bookViews>
    <workbookView xWindow="57504" yWindow="-96" windowWidth="28992" windowHeight="15792" activeTab="3" xr2:uid="{00000000-000D-0000-FFFF-FFFF00000000}"/>
  </bookViews>
  <sheets>
    <sheet name="Jurisdictional Study" sheetId="12" r:id="rId1"/>
    <sheet name="WSS-26" sheetId="1" r:id="rId2"/>
    <sheet name="WSS-28" sheetId="2" r:id="rId3"/>
    <sheet name="Summary of Returns" sheetId="33" r:id="rId4"/>
    <sheet name="Billing Det" sheetId="8" r:id="rId5"/>
    <sheet name="RS Unit Costs" sheetId="14" state="hidden" r:id="rId6"/>
    <sheet name="GS Unit Costs" sheetId="27" state="hidden" r:id="rId7"/>
    <sheet name="AES Unit Costs" sheetId="32" state="hidden" r:id="rId8"/>
    <sheet name="PSS Unit Costs" sheetId="17" state="hidden" r:id="rId9"/>
    <sheet name="PSP Unit Costs" sheetId="19" state="hidden" r:id="rId10"/>
    <sheet name="TODS Unit Costs" sheetId="20" state="hidden" r:id="rId11"/>
    <sheet name="TODP Unit Costs" sheetId="21" state="hidden" r:id="rId12"/>
    <sheet name="RTS Unit Costs" sheetId="25" state="hidden" r:id="rId13"/>
    <sheet name="FLS Unit Costs" sheetId="26" state="hidden" r:id="rId14"/>
    <sheet name="Meters" sheetId="6" state="hidden" r:id="rId15"/>
    <sheet name="Services" sheetId="7"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 localSheetId="7">[1]EGSplit!#REF!</definedName>
    <definedName name="\" localSheetId="13">[1]EGSplit!#REF!</definedName>
    <definedName name="\" localSheetId="6">[1]EGSplit!#REF!</definedName>
    <definedName name="\" localSheetId="9">[1]EGSplit!#REF!</definedName>
    <definedName name="\" localSheetId="8">[1]EGSplit!#REF!</definedName>
    <definedName name="\" localSheetId="12">[1]EGSplit!#REF!</definedName>
    <definedName name="\" localSheetId="11">[1]EGSplit!#REF!</definedName>
    <definedName name="\" localSheetId="10">[1]EGSplit!#REF!</definedName>
    <definedName name="\">[1]EGSplit!#REF!</definedName>
    <definedName name="\\" localSheetId="7" hidden="1">#REF!</definedName>
    <definedName name="\\" hidden="1">#REF!</definedName>
    <definedName name="\\\" localSheetId="7" hidden="1">#REF!</definedName>
    <definedName name="\\\" hidden="1">#REF!</definedName>
    <definedName name="\\\\" localSheetId="7" hidden="1">#REF!</definedName>
    <definedName name="\\\\" localSheetId="13" hidden="1">#REF!</definedName>
    <definedName name="\\\\" localSheetId="6" hidden="1">#REF!</definedName>
    <definedName name="\\\\" localSheetId="9" hidden="1">#REF!</definedName>
    <definedName name="\\\\" localSheetId="8" hidden="1">#REF!</definedName>
    <definedName name="\\\\" localSheetId="12" hidden="1">#REF!</definedName>
    <definedName name="\\\\" localSheetId="11" hidden="1">#REF!</definedName>
    <definedName name="\\\\" localSheetId="10" hidden="1">#REF!</definedName>
    <definedName name="\\\\" hidden="1">#REF!</definedName>
    <definedName name="\0" localSheetId="7">#REF!</definedName>
    <definedName name="\0">#REF!</definedName>
    <definedName name="\A" localSheetId="7">#REF!</definedName>
    <definedName name="\A">#REF!</definedName>
    <definedName name="\C" localSheetId="7">#REF!</definedName>
    <definedName name="\C">#REF!</definedName>
    <definedName name="\D" localSheetId="7">#REF!</definedName>
    <definedName name="\D">#REF!</definedName>
    <definedName name="\E" localSheetId="7">#REF!</definedName>
    <definedName name="\E">#REF!</definedName>
    <definedName name="\M" localSheetId="7">#REF!</definedName>
    <definedName name="\M">#REF!</definedName>
    <definedName name="\P" localSheetId="7">[2]dbase!#REF!</definedName>
    <definedName name="\P" localSheetId="13">[2]dbase!#REF!</definedName>
    <definedName name="\P" localSheetId="6">[2]dbase!#REF!</definedName>
    <definedName name="\P" localSheetId="9">[2]dbase!#REF!</definedName>
    <definedName name="\P" localSheetId="8">[2]dbase!#REF!</definedName>
    <definedName name="\P" localSheetId="12">[2]dbase!#REF!</definedName>
    <definedName name="\P" localSheetId="11">[2]dbase!#REF!</definedName>
    <definedName name="\P" localSheetId="10">[2]dbase!#REF!</definedName>
    <definedName name="\P">[2]dbase!#REF!</definedName>
    <definedName name="\R" localSheetId="7">#REF!</definedName>
    <definedName name="\R" localSheetId="13">#REF!</definedName>
    <definedName name="\R" localSheetId="6">#REF!</definedName>
    <definedName name="\R" localSheetId="9">#REF!</definedName>
    <definedName name="\R" localSheetId="8">#REF!</definedName>
    <definedName name="\R" localSheetId="12">#REF!</definedName>
    <definedName name="\R" localSheetId="11">#REF!</definedName>
    <definedName name="\R" localSheetId="10">#REF!</definedName>
    <definedName name="\R">#REF!</definedName>
    <definedName name="\S" localSheetId="7">[2]dbase!#REF!</definedName>
    <definedName name="\S" localSheetId="13">[2]dbase!#REF!</definedName>
    <definedName name="\S" localSheetId="6">[2]dbase!#REF!</definedName>
    <definedName name="\S" localSheetId="9">[2]dbase!#REF!</definedName>
    <definedName name="\S" localSheetId="8">[2]dbase!#REF!</definedName>
    <definedName name="\S" localSheetId="12">[2]dbase!#REF!</definedName>
    <definedName name="\S" localSheetId="11">[2]dbase!#REF!</definedName>
    <definedName name="\S" localSheetId="10">[2]dbase!#REF!</definedName>
    <definedName name="\S">[2]dbase!#REF!</definedName>
    <definedName name="\T" localSheetId="7">#REF!</definedName>
    <definedName name="\T">#REF!</definedName>
    <definedName name="\Y" localSheetId="7">[3]d20!#REF!</definedName>
    <definedName name="\Y" localSheetId="13">[3]d20!#REF!</definedName>
    <definedName name="\Y" localSheetId="6">[3]d20!#REF!</definedName>
    <definedName name="\Y" localSheetId="9">[3]d20!#REF!</definedName>
    <definedName name="\Y" localSheetId="8">[3]d20!#REF!</definedName>
    <definedName name="\Y" localSheetId="12">[3]d20!#REF!</definedName>
    <definedName name="\Y" localSheetId="11">[3]d20!#REF!</definedName>
    <definedName name="\Y" localSheetId="10">[3]d20!#REF!</definedName>
    <definedName name="\Y">[3]d20!#REF!</definedName>
    <definedName name="__123Graph_A" localSheetId="7" hidden="1">#REF!</definedName>
    <definedName name="__123Graph_A" hidden="1">#REF!</definedName>
    <definedName name="__123Graph_B" localSheetId="7" hidden="1">#REF!</definedName>
    <definedName name="__123Graph_B" hidden="1">#REF!</definedName>
    <definedName name="__123Graph_C" localSheetId="7" hidden="1">#REF!</definedName>
    <definedName name="__123Graph_C" localSheetId="13" hidden="1">#REF!</definedName>
    <definedName name="__123Graph_C" localSheetId="6" hidden="1">#REF!</definedName>
    <definedName name="__123Graph_C" localSheetId="9" hidden="1">#REF!</definedName>
    <definedName name="__123Graph_C" localSheetId="8" hidden="1">#REF!</definedName>
    <definedName name="__123Graph_C" localSheetId="12" hidden="1">#REF!</definedName>
    <definedName name="__123Graph_C" localSheetId="11" hidden="1">#REF!</definedName>
    <definedName name="__123Graph_C" localSheetId="10" hidden="1">#REF!</definedName>
    <definedName name="__123Graph_C" hidden="1">#REF!</definedName>
    <definedName name="__123Graph_D" localSheetId="7" hidden="1">#REF!</definedName>
    <definedName name="__123Graph_D" hidden="1">#REF!</definedName>
    <definedName name="__123Graph_E" localSheetId="7" hidden="1">#REF!</definedName>
    <definedName name="__123Graph_E" localSheetId="13" hidden="1">#REF!</definedName>
    <definedName name="__123Graph_E" localSheetId="6" hidden="1">#REF!</definedName>
    <definedName name="__123Graph_E" localSheetId="9" hidden="1">#REF!</definedName>
    <definedName name="__123Graph_E" localSheetId="8" hidden="1">#REF!</definedName>
    <definedName name="__123Graph_E" localSheetId="12" hidden="1">#REF!</definedName>
    <definedName name="__123Graph_E" localSheetId="11" hidden="1">#REF!</definedName>
    <definedName name="__123Graph_E" localSheetId="10" hidden="1">#REF!</definedName>
    <definedName name="__123Graph_E" hidden="1">#REF!</definedName>
    <definedName name="__123Graph_F" localSheetId="7" hidden="1">#REF!</definedName>
    <definedName name="__123Graph_F" hidden="1">#REF!</definedName>
    <definedName name="__123Graph_X" localSheetId="7" hidden="1">#REF!</definedName>
    <definedName name="__123Graph_X" hidden="1">#REF!</definedName>
    <definedName name="_10NON_UTILITY" localSheetId="7">#REF!</definedName>
    <definedName name="_10NON_UTILITY">#REF!</definedName>
    <definedName name="_12MonResults_KWH_Total">'[4]12MonResults'!$K$4:$K$1467</definedName>
    <definedName name="_12MonResults_Rate">'[4]12MonResults'!$C$4:$C$1467</definedName>
    <definedName name="_1GAS_FINANCING" localSheetId="7">#REF!</definedName>
    <definedName name="_1GAS_FINANCING">#REF!</definedName>
    <definedName name="_3NON_UTILITY" localSheetId="13">#REF!</definedName>
    <definedName name="_4NON_UTILITY" localSheetId="7">#REF!</definedName>
    <definedName name="_4NON_UTILITY" localSheetId="6">#REF!</definedName>
    <definedName name="_5NON_UTILITY" localSheetId="9">#REF!</definedName>
    <definedName name="_6NON_UTILITY" localSheetId="8">#REF!</definedName>
    <definedName name="_7NON_UTILITY" localSheetId="12">#REF!</definedName>
    <definedName name="_8NON_UTILITY" localSheetId="11">#REF!</definedName>
    <definedName name="_9NON_UTILITY" localSheetId="10">#REF!</definedName>
    <definedName name="_xlnm._FilterDatabase" localSheetId="1" hidden="1">'WSS-26'!$C$1:$C$616</definedName>
    <definedName name="_xlnm._FilterDatabase" localSheetId="2" hidden="1">'WSS-28'!$D$2:$E$665</definedName>
    <definedName name="_may1" localSheetId="7">#REF!</definedName>
    <definedName name="_may1">#REF!</definedName>
    <definedName name="_Order1" hidden="1">0</definedName>
    <definedName name="_Order2" hidden="1">0</definedName>
    <definedName name="_P" localSheetId="7">#REF!</definedName>
    <definedName name="_P" localSheetId="13">#REF!</definedName>
    <definedName name="_P" localSheetId="6">#REF!</definedName>
    <definedName name="_P" localSheetId="9">#REF!</definedName>
    <definedName name="_P" localSheetId="8">#REF!</definedName>
    <definedName name="_P" localSheetId="12">#REF!</definedName>
    <definedName name="_P" localSheetId="11">#REF!</definedName>
    <definedName name="_P" localSheetId="10">#REF!</definedName>
    <definedName name="_P">#REF!</definedName>
    <definedName name="_PG1" localSheetId="7">#REF!</definedName>
    <definedName name="_PG1">#REF!</definedName>
    <definedName name="_PG2" localSheetId="7">#REF!</definedName>
    <definedName name="_PG2">#REF!</definedName>
    <definedName name="A" localSheetId="7">#REF!</definedName>
    <definedName name="A">#REF!</definedName>
    <definedName name="ACTUAL">"'Vol_Revs'!R5C3:R5C14"</definedName>
    <definedName name="ADJSUTW3" localSheetId="7">#REF!</definedName>
    <definedName name="ADJSUTW3">#REF!</definedName>
    <definedName name="ADJUSRN" localSheetId="7">#REF!</definedName>
    <definedName name="ADJUSRN">#REF!</definedName>
    <definedName name="Adjust2" localSheetId="7">#REF!</definedName>
    <definedName name="Adjust2" localSheetId="13">#REF!</definedName>
    <definedName name="Adjust2" localSheetId="6">#REF!</definedName>
    <definedName name="Adjust2" localSheetId="9">#REF!</definedName>
    <definedName name="Adjust2" localSheetId="8">#REF!</definedName>
    <definedName name="Adjust2" localSheetId="12">#REF!</definedName>
    <definedName name="Adjust2" localSheetId="11">#REF!</definedName>
    <definedName name="Adjust2" localSheetId="10">#REF!</definedName>
    <definedName name="Adjust2">#REF!</definedName>
    <definedName name="ADJUSTA" localSheetId="7">#REF!</definedName>
    <definedName name="ADJUSTA">#REF!</definedName>
    <definedName name="ADJUSTAA" localSheetId="7">#REF!</definedName>
    <definedName name="ADJUSTAA">#REF!</definedName>
    <definedName name="ADJUSTB" localSheetId="7">#REF!</definedName>
    <definedName name="ADJUSTB" localSheetId="13">#REF!</definedName>
    <definedName name="ADJUSTB" localSheetId="6">#REF!</definedName>
    <definedName name="ADJUSTB" localSheetId="9">#REF!</definedName>
    <definedName name="ADJUSTB" localSheetId="8">#REF!</definedName>
    <definedName name="ADJUSTB" localSheetId="12">#REF!</definedName>
    <definedName name="ADJUSTB" localSheetId="11">#REF!</definedName>
    <definedName name="ADJUSTB" localSheetId="10">#REF!</definedName>
    <definedName name="ADJUSTB">#REF!</definedName>
    <definedName name="ADJUSTC" localSheetId="7">#REF!</definedName>
    <definedName name="ADJUSTC">#REF!</definedName>
    <definedName name="ADJUSTD1" localSheetId="7">#REF!</definedName>
    <definedName name="ADJUSTD1">#REF!</definedName>
    <definedName name="ADJUSTD2" localSheetId="7">#REF!</definedName>
    <definedName name="ADJUSTD2">#REF!</definedName>
    <definedName name="ADJUSTD3" localSheetId="7">#REF!</definedName>
    <definedName name="ADJUSTD3">#REF!</definedName>
    <definedName name="ADJUSTD4" localSheetId="7">#REF!</definedName>
    <definedName name="ADJUSTD4">#REF!</definedName>
    <definedName name="ADJUSTG1" localSheetId="7">#REF!</definedName>
    <definedName name="ADJUSTG1">#REF!</definedName>
    <definedName name="ADJUSTG2" localSheetId="7">#REF!</definedName>
    <definedName name="ADJUSTG2">#REF!</definedName>
    <definedName name="ADJUSTG3" localSheetId="7">#REF!</definedName>
    <definedName name="ADJUSTG3">#REF!</definedName>
    <definedName name="ADJUSTG4" localSheetId="7">#REF!</definedName>
    <definedName name="ADJUSTG4">#REF!</definedName>
    <definedName name="ADJUSTH" localSheetId="7">#REF!</definedName>
    <definedName name="ADJUSTH">#REF!</definedName>
    <definedName name="ADJUSTI" localSheetId="7">#REF!</definedName>
    <definedName name="ADJUSTI">#REF!</definedName>
    <definedName name="ADJUSTK" localSheetId="7">#REF!</definedName>
    <definedName name="ADJUSTK">#REF!</definedName>
    <definedName name="ADJUSTM" localSheetId="7">#REF!</definedName>
    <definedName name="ADJUSTM">#REF!</definedName>
    <definedName name="ADJUSTN" localSheetId="7">#REF!</definedName>
    <definedName name="ADJUSTN">#REF!</definedName>
    <definedName name="ADJUSTO" localSheetId="7">#REF!</definedName>
    <definedName name="ADJUSTO">#REF!</definedName>
    <definedName name="ADJUSTP" localSheetId="7">#REF!</definedName>
    <definedName name="ADJUSTP">#REF!</definedName>
    <definedName name="ADJUSTQ" localSheetId="7">#REF!</definedName>
    <definedName name="ADJUSTQ">#REF!</definedName>
    <definedName name="ADJUSTR" localSheetId="7">#REF!</definedName>
    <definedName name="ADJUSTR">#REF!</definedName>
    <definedName name="ADJUSTS" localSheetId="7">#REF!</definedName>
    <definedName name="ADJUSTS" localSheetId="13">#REF!</definedName>
    <definedName name="ADJUSTS" localSheetId="6">#REF!</definedName>
    <definedName name="ADJUSTS" localSheetId="9">#REF!</definedName>
    <definedName name="ADJUSTS" localSheetId="8">#REF!</definedName>
    <definedName name="ADJUSTS" localSheetId="12">#REF!</definedName>
    <definedName name="ADJUSTS" localSheetId="11">#REF!</definedName>
    <definedName name="ADJUSTS" localSheetId="10">#REF!</definedName>
    <definedName name="ADJUSTS">#REF!</definedName>
    <definedName name="ADJUSTT" localSheetId="7">#REF!</definedName>
    <definedName name="ADJUSTT">#REF!</definedName>
    <definedName name="ADJUSTW1" localSheetId="7">#REF!</definedName>
    <definedName name="ADJUSTW1">#REF!</definedName>
    <definedName name="ADJUSTW2" localSheetId="7">#REF!</definedName>
    <definedName name="ADJUSTW2">#REF!</definedName>
    <definedName name="ADJUSTX" localSheetId="7">#REF!</definedName>
    <definedName name="ADJUSTX">#REF!</definedName>
    <definedName name="ADJUSTY" localSheetId="7">#REF!</definedName>
    <definedName name="ADJUSTY">#REF!</definedName>
    <definedName name="ALERT2" localSheetId="7">#REF!</definedName>
    <definedName name="ALERT2">#REF!</definedName>
    <definedName name="Annual_Sales_KU" localSheetId="7">'[5]LGE Sales'!#REF!</definedName>
    <definedName name="Annual_Sales_KU" localSheetId="13">'[5]LGE Sales'!#REF!</definedName>
    <definedName name="Annual_Sales_KU" localSheetId="6">'[5]LGE Sales'!#REF!</definedName>
    <definedName name="Annual_Sales_KU" localSheetId="9">'[5]LGE Sales'!#REF!</definedName>
    <definedName name="Annual_Sales_KU" localSheetId="8">'[5]LGE Sales'!#REF!</definedName>
    <definedName name="Annual_Sales_KU" localSheetId="12">'[5]LGE Sales'!#REF!</definedName>
    <definedName name="Annual_Sales_KU" localSheetId="11">'[5]LGE Sales'!#REF!</definedName>
    <definedName name="Annual_Sales_KU" localSheetId="10">'[5]LGE Sales'!#REF!</definedName>
    <definedName name="Annual_Sales_KU">'[5]LGE Sales'!#REF!</definedName>
    <definedName name="assets" localSheetId="7">#REF!</definedName>
    <definedName name="assets">#REF!</definedName>
    <definedName name="B" localSheetId="7">#REF!</definedName>
    <definedName name="B">#REF!</definedName>
    <definedName name="Billed_Revenues_Dollars" localSheetId="7">#REF!</definedName>
    <definedName name="Billed_Revenues_Dollars">#REF!</definedName>
    <definedName name="Billed_Sales__KWh" localSheetId="7">#REF!</definedName>
    <definedName name="Billed_Sales__KWh">#REF!</definedName>
    <definedName name="BudCol01">[6]BudgetDatabase!$J$5:$J$443</definedName>
    <definedName name="BudCol02">[6]BudgetDatabase!$K$5:$K$443</definedName>
    <definedName name="BudCol03">[6]BudgetDatabase!$L$5:$L$443</definedName>
    <definedName name="BudCol04">[6]BudgetDatabase!$M$5:$M$443</definedName>
    <definedName name="BudCol05">[6]BudgetDatabase!$N$5:$N$443</definedName>
    <definedName name="BudCol06">[6]BudgetDatabase!$O$5:$O$443</definedName>
    <definedName name="BudCol07">[6]BudgetDatabase!$P$5:$P$443</definedName>
    <definedName name="BudCol08">[6]BudgetDatabase!$Q$5:$Q$443</definedName>
    <definedName name="BudCol09">[6]BudgetDatabase!$R$5:$R$443</definedName>
    <definedName name="BudCol10">[6]BudgetDatabase!$S$5:$S$443</definedName>
    <definedName name="BudCol11">[6]BudgetDatabase!$T$5:$T$443</definedName>
    <definedName name="BudCol12">[6]BudgetDatabase!$U$5:$U$443</definedName>
    <definedName name="BudCol13">[6]BudgetDatabase!$V$5:$V$443</definedName>
    <definedName name="BudCol14">[6]BudgetDatabase!$W$5:$W$443</definedName>
    <definedName name="BudCol15">[6]BudgetDatabase!$X$5:$X$443</definedName>
    <definedName name="BudCol16">[6]BudgetDatabase!$Y$5:$Y$443</definedName>
    <definedName name="BudCol17">[6]BudgetDatabase!$Z$5:$Z$443</definedName>
    <definedName name="BudCol18">[6]BudgetDatabase!$AA$5:$AA$443</definedName>
    <definedName name="BudCol19">[6]BudgetDatabase!$AB$5:$AB$443</definedName>
    <definedName name="BudCol20">[6]BudgetDatabase!$AC$5:$AC$443</definedName>
    <definedName name="BudCol21">[6]BudgetDatabase!$AD$5:$AD$443</definedName>
    <definedName name="BudCol22">[6]BudgetDatabase!$AE$5:$AE$443</definedName>
    <definedName name="BudCol23">[6]BudgetDatabase!$AF$5:$AF$443</definedName>
    <definedName name="BudCol24">[6]BudgetDatabase!$AG$5:$AG$443</definedName>
    <definedName name="BudCol25">[6]BudgetDatabase!$AH$5:$AH$443</definedName>
    <definedName name="BudColTmp">[6]BudgetDatabase!$AJ$5:$AJ$443</definedName>
    <definedName name="C_" localSheetId="7">#REF!</definedName>
    <definedName name="C_">#REF!</definedName>
    <definedName name="Choices_Wrapper">[0]!Choices_Wrapper</definedName>
    <definedName name="CM" localSheetId="7">#REF!</definedName>
    <definedName name="CM">#REF!</definedName>
    <definedName name="Coal_Annual_KU" localSheetId="7">'[5]LGE Coal'!#REF!</definedName>
    <definedName name="Coal_Annual_KU" localSheetId="13">'[5]LGE Coal'!#REF!</definedName>
    <definedName name="Coal_Annual_KU" localSheetId="6">'[5]LGE Coal'!#REF!</definedName>
    <definedName name="Coal_Annual_KU" localSheetId="9">'[5]LGE Coal'!#REF!</definedName>
    <definedName name="Coal_Annual_KU" localSheetId="8">'[5]LGE Coal'!#REF!</definedName>
    <definedName name="Coal_Annual_KU" localSheetId="12">'[5]LGE Coal'!#REF!</definedName>
    <definedName name="Coal_Annual_KU" localSheetId="11">'[5]LGE Coal'!#REF!</definedName>
    <definedName name="Coal_Annual_KU" localSheetId="10">'[5]LGE Coal'!#REF!</definedName>
    <definedName name="Coal_Annual_KU">'[5]LGE Coal'!#REF!</definedName>
    <definedName name="coal_hide_ku_01" localSheetId="7">'[5]LGE Coal'!#REF!</definedName>
    <definedName name="coal_hide_ku_01" localSheetId="13">'[5]LGE Coal'!#REF!</definedName>
    <definedName name="coal_hide_ku_01" localSheetId="6">'[5]LGE Coal'!#REF!</definedName>
    <definedName name="coal_hide_ku_01" localSheetId="9">'[5]LGE Coal'!#REF!</definedName>
    <definedName name="coal_hide_ku_01" localSheetId="8">'[5]LGE Coal'!#REF!</definedName>
    <definedName name="coal_hide_ku_01" localSheetId="12">'[5]LGE Coal'!#REF!</definedName>
    <definedName name="coal_hide_ku_01" localSheetId="11">'[5]LGE Coal'!#REF!</definedName>
    <definedName name="coal_hide_ku_01" localSheetId="10">'[5]LGE Coal'!#REF!</definedName>
    <definedName name="coal_hide_ku_01">'[5]LGE Coal'!#REF!</definedName>
    <definedName name="coal_hide_lge_01" localSheetId="7">'[5]LGE Coal'!#REF!</definedName>
    <definedName name="coal_hide_lge_01" localSheetId="13">'[5]LGE Coal'!#REF!</definedName>
    <definedName name="coal_hide_lge_01" localSheetId="6">'[5]LGE Coal'!#REF!</definedName>
    <definedName name="coal_hide_lge_01" localSheetId="9">'[5]LGE Coal'!#REF!</definedName>
    <definedName name="coal_hide_lge_01" localSheetId="8">'[5]LGE Coal'!#REF!</definedName>
    <definedName name="coal_hide_lge_01" localSheetId="12">'[5]LGE Coal'!#REF!</definedName>
    <definedName name="coal_hide_lge_01" localSheetId="11">'[5]LGE Coal'!#REF!</definedName>
    <definedName name="coal_hide_lge_01" localSheetId="10">'[5]LGE Coal'!#REF!</definedName>
    <definedName name="coal_hide_lge_01">'[5]LGE Coal'!#REF!</definedName>
    <definedName name="coal_ku_01" localSheetId="7">'[5]LGE Coal'!#REF!</definedName>
    <definedName name="coal_ku_01" localSheetId="13">'[5]LGE Coal'!#REF!</definedName>
    <definedName name="coal_ku_01" localSheetId="6">'[5]LGE Coal'!#REF!</definedName>
    <definedName name="coal_ku_01" localSheetId="9">'[5]LGE Coal'!#REF!</definedName>
    <definedName name="coal_ku_01" localSheetId="8">'[5]LGE Coal'!#REF!</definedName>
    <definedName name="coal_ku_01" localSheetId="12">'[5]LGE Coal'!#REF!</definedName>
    <definedName name="coal_ku_01" localSheetId="11">'[5]LGE Coal'!#REF!</definedName>
    <definedName name="coal_ku_01" localSheetId="10">'[5]LGE Coal'!#REF!</definedName>
    <definedName name="coal_ku_01">'[5]LGE Coal'!#REF!</definedName>
    <definedName name="ColumnAttributes1" localSheetId="7">#REF!</definedName>
    <definedName name="ColumnAttributes1">#REF!</definedName>
    <definedName name="ColumnHeadings1" localSheetId="7">#REF!</definedName>
    <definedName name="ColumnHeadings1">#REF!</definedName>
    <definedName name="Comp">[0]!Comp</definedName>
    <definedName name="ConsEarnings" localSheetId="7">#REF!</definedName>
    <definedName name="ConsEarnings">#REF!</definedName>
    <definedName name="CONSOLIDATED" localSheetId="7">#REF!</definedName>
    <definedName name="CONSOLIDATED">#REF!</definedName>
    <definedName name="CORPORATE" localSheetId="7">#REF!</definedName>
    <definedName name="CORPORATE">#REF!</definedName>
    <definedName name="counter" localSheetId="7">#REF!</definedName>
    <definedName name="counter">#REF!</definedName>
    <definedName name="CREDIT" localSheetId="7">#REF!</definedName>
    <definedName name="CREDIT">#REF!</definedName>
    <definedName name="CurReptgMo">[6]Input!$K$19</definedName>
    <definedName name="CurReptgYr">[6]Input!$K$21</definedName>
    <definedName name="D" localSheetId="7">#REF!</definedName>
    <definedName name="D">#REF!</definedName>
    <definedName name="data" localSheetId="7">#REF!</definedName>
    <definedName name="data">#REF!</definedName>
    <definedName name="data1" localSheetId="7">'[7]1'!#REF!</definedName>
    <definedName name="data1" localSheetId="13">'[7]1'!#REF!</definedName>
    <definedName name="data1" localSheetId="6">'[7]1'!#REF!</definedName>
    <definedName name="data1" localSheetId="9">'[7]1'!#REF!</definedName>
    <definedName name="data1" localSheetId="8">'[7]1'!#REF!</definedName>
    <definedName name="data1" localSheetId="12">'[7]1'!#REF!</definedName>
    <definedName name="data1" localSheetId="11">'[7]1'!#REF!</definedName>
    <definedName name="data1" localSheetId="10">'[7]1'!#REF!</definedName>
    <definedName name="data1">'[7]1'!#REF!</definedName>
    <definedName name="DateTimeNow">[6]Input!$AE$12</definedName>
    <definedName name="DEBIT" localSheetId="7">#REF!</definedName>
    <definedName name="DEBIT">#REF!</definedName>
    <definedName name="Detail" localSheetId="7">#REF!</definedName>
    <definedName name="Detail">#REF!</definedName>
    <definedName name="ELEC_NET_OP_INC" localSheetId="7">#REF!</definedName>
    <definedName name="ELEC_NET_OP_INC" localSheetId="13">#REF!</definedName>
    <definedName name="ELEC_NET_OP_INC" localSheetId="6">#REF!</definedName>
    <definedName name="ELEC_NET_OP_INC" localSheetId="9">#REF!</definedName>
    <definedName name="ELEC_NET_OP_INC" localSheetId="8">#REF!</definedName>
    <definedName name="ELEC_NET_OP_INC" localSheetId="12">#REF!</definedName>
    <definedName name="ELEC_NET_OP_INC" localSheetId="11">#REF!</definedName>
    <definedName name="ELEC_NET_OP_INC" localSheetId="10">#REF!</definedName>
    <definedName name="ELEC_NET_OP_INC">#REF!</definedName>
    <definedName name="ELIMS" localSheetId="7">#REF!</definedName>
    <definedName name="ELIMS">#REF!</definedName>
    <definedName name="EXHIB1A" localSheetId="7">'[8]#REF'!#REF!</definedName>
    <definedName name="EXHIB1A" localSheetId="13">'[8]#REF'!#REF!</definedName>
    <definedName name="EXHIB1A" localSheetId="6">'[8]#REF'!#REF!</definedName>
    <definedName name="EXHIB1A" localSheetId="9">'[8]#REF'!#REF!</definedName>
    <definedName name="EXHIB1A" localSheetId="8">'[8]#REF'!#REF!</definedName>
    <definedName name="EXHIB1A" localSheetId="12">'[8]#REF'!#REF!</definedName>
    <definedName name="EXHIB1A" localSheetId="11">'[8]#REF'!#REF!</definedName>
    <definedName name="EXHIB1A" localSheetId="10">'[8]#REF'!#REF!</definedName>
    <definedName name="EXHIB1A">'[8]#REF'!#REF!</definedName>
    <definedName name="EXHIB1B" localSheetId="7">#REF!</definedName>
    <definedName name="EXHIB1B">#REF!</definedName>
    <definedName name="EXHIB1C" localSheetId="7">#REF!</definedName>
    <definedName name="EXHIB1C" localSheetId="13">#REF!</definedName>
    <definedName name="EXHIB1C" localSheetId="6">#REF!</definedName>
    <definedName name="EXHIB1C" localSheetId="9">#REF!</definedName>
    <definedName name="EXHIB1C" localSheetId="8">#REF!</definedName>
    <definedName name="EXHIB1C" localSheetId="12">#REF!</definedName>
    <definedName name="EXHIB1C" localSheetId="11">#REF!</definedName>
    <definedName name="EXHIB1C" localSheetId="10">#REF!</definedName>
    <definedName name="EXHIB1C">#REF!</definedName>
    <definedName name="EXHIB2B" localSheetId="7">'[9]Ex 2'!#REF!</definedName>
    <definedName name="EXHIB2B" localSheetId="13">'[9]Ex 2'!#REF!</definedName>
    <definedName name="EXHIB2B" localSheetId="6">'[9]Ex 2'!#REF!</definedName>
    <definedName name="EXHIB2B" localSheetId="9">'[9]Ex 2'!#REF!</definedName>
    <definedName name="EXHIB2B" localSheetId="8">'[9]Ex 2'!#REF!</definedName>
    <definedName name="EXHIB2B" localSheetId="12">'[9]Ex 2'!#REF!</definedName>
    <definedName name="EXHIB2B" localSheetId="11">'[9]Ex 2'!#REF!</definedName>
    <definedName name="EXHIB2B" localSheetId="10">'[9]Ex 2'!#REF!</definedName>
    <definedName name="EXHIB2B">'[9]Ex 2'!#REF!</definedName>
    <definedName name="EXHIB3" localSheetId="7">#REF!</definedName>
    <definedName name="EXHIB3">#REF!</definedName>
    <definedName name="EXHIB6" localSheetId="7">'[9]not used Ex 4'!#REF!</definedName>
    <definedName name="EXHIB6" localSheetId="13">'[9]not used Ex 4'!#REF!</definedName>
    <definedName name="EXHIB6" localSheetId="6">'[9]not used Ex 4'!#REF!</definedName>
    <definedName name="EXHIB6" localSheetId="9">'[9]not used Ex 4'!#REF!</definedName>
    <definedName name="EXHIB6" localSheetId="8">'[9]not used Ex 4'!#REF!</definedName>
    <definedName name="EXHIB6" localSheetId="12">'[9]not used Ex 4'!#REF!</definedName>
    <definedName name="EXHIB6" localSheetId="11">'[9]not used Ex 4'!#REF!</definedName>
    <definedName name="EXHIB6" localSheetId="10">'[9]not used Ex 4'!#REF!</definedName>
    <definedName name="EXHIB6">'[9]not used Ex 4'!#REF!</definedName>
    <definedName name="F" localSheetId="7">#REF!</definedName>
    <definedName name="F">#REF!</definedName>
    <definedName name="Fac_2000" localSheetId="7">'[5]LGE Base Fuel &amp; FAC'!#REF!</definedName>
    <definedName name="Fac_2000" localSheetId="13">'[5]LGE Base Fuel &amp; FAC'!#REF!</definedName>
    <definedName name="Fac_2000" localSheetId="6">'[5]LGE Base Fuel &amp; FAC'!#REF!</definedName>
    <definedName name="Fac_2000" localSheetId="9">'[5]LGE Base Fuel &amp; FAC'!#REF!</definedName>
    <definedName name="Fac_2000" localSheetId="8">'[5]LGE Base Fuel &amp; FAC'!#REF!</definedName>
    <definedName name="Fac_2000" localSheetId="12">'[5]LGE Base Fuel &amp; FAC'!#REF!</definedName>
    <definedName name="Fac_2000" localSheetId="11">'[5]LGE Base Fuel &amp; FAC'!#REF!</definedName>
    <definedName name="Fac_2000" localSheetId="10">'[5]LGE Base Fuel &amp; FAC'!#REF!</definedName>
    <definedName name="Fac_2000">'[5]LGE Base Fuel &amp; FAC'!#REF!</definedName>
    <definedName name="fac_annual_ku" localSheetId="7">'[5]LGE Base Fuel &amp; FAC'!#REF!</definedName>
    <definedName name="fac_annual_ku" localSheetId="13">'[5]LGE Base Fuel &amp; FAC'!#REF!</definedName>
    <definedName name="fac_annual_ku" localSheetId="6">'[5]LGE Base Fuel &amp; FAC'!#REF!</definedName>
    <definedName name="fac_annual_ku" localSheetId="9">'[5]LGE Base Fuel &amp; FAC'!#REF!</definedName>
    <definedName name="fac_annual_ku" localSheetId="8">'[5]LGE Base Fuel &amp; FAC'!#REF!</definedName>
    <definedName name="fac_annual_ku" localSheetId="12">'[5]LGE Base Fuel &amp; FAC'!#REF!</definedName>
    <definedName name="fac_annual_ku" localSheetId="11">'[5]LGE Base Fuel &amp; FAC'!#REF!</definedName>
    <definedName name="fac_annual_ku" localSheetId="10">'[5]LGE Base Fuel &amp; FAC'!#REF!</definedName>
    <definedName name="fac_annual_ku">'[5]LGE Base Fuel &amp; FAC'!#REF!</definedName>
    <definedName name="fac_hide_ku_01" localSheetId="7">'[5]LGE Base Fuel &amp; FAC'!#REF!</definedName>
    <definedName name="fac_hide_ku_01" localSheetId="13">'[5]LGE Base Fuel &amp; FAC'!#REF!</definedName>
    <definedName name="fac_hide_ku_01" localSheetId="6">'[5]LGE Base Fuel &amp; FAC'!#REF!</definedName>
    <definedName name="fac_hide_ku_01" localSheetId="9">'[5]LGE Base Fuel &amp; FAC'!#REF!</definedName>
    <definedName name="fac_hide_ku_01" localSheetId="8">'[5]LGE Base Fuel &amp; FAC'!#REF!</definedName>
    <definedName name="fac_hide_ku_01" localSheetId="12">'[5]LGE Base Fuel &amp; FAC'!#REF!</definedName>
    <definedName name="fac_hide_ku_01" localSheetId="11">'[5]LGE Base Fuel &amp; FAC'!#REF!</definedName>
    <definedName name="fac_hide_ku_01" localSheetId="10">'[5]LGE Base Fuel &amp; FAC'!#REF!</definedName>
    <definedName name="fac_hide_ku_01">'[5]LGE Base Fuel &amp; FAC'!#REF!</definedName>
    <definedName name="fac_hide_lge_01" localSheetId="7">'[5]LGE Base Fuel &amp; FAC'!#REF!</definedName>
    <definedName name="fac_hide_lge_01" localSheetId="13">'[5]LGE Base Fuel &amp; FAC'!#REF!</definedName>
    <definedName name="fac_hide_lge_01" localSheetId="6">'[5]LGE Base Fuel &amp; FAC'!#REF!</definedName>
    <definedName name="fac_hide_lge_01" localSheetId="9">'[5]LGE Base Fuel &amp; FAC'!#REF!</definedName>
    <definedName name="fac_hide_lge_01" localSheetId="8">'[5]LGE Base Fuel &amp; FAC'!#REF!</definedName>
    <definedName name="fac_hide_lge_01" localSheetId="12">'[5]LGE Base Fuel &amp; FAC'!#REF!</definedName>
    <definedName name="fac_hide_lge_01" localSheetId="11">'[5]LGE Base Fuel &amp; FAC'!#REF!</definedName>
    <definedName name="fac_hide_lge_01" localSheetId="10">'[5]LGE Base Fuel &amp; FAC'!#REF!</definedName>
    <definedName name="fac_hide_lge_01">'[5]LGE Base Fuel &amp; FAC'!#REF!</definedName>
    <definedName name="fac_ku_01" localSheetId="7">'[5]LGE Base Fuel &amp; FAC'!#REF!</definedName>
    <definedName name="fac_ku_01" localSheetId="13">'[5]LGE Base Fuel &amp; FAC'!#REF!</definedName>
    <definedName name="fac_ku_01" localSheetId="6">'[5]LGE Base Fuel &amp; FAC'!#REF!</definedName>
    <definedName name="fac_ku_01" localSheetId="9">'[5]LGE Base Fuel &amp; FAC'!#REF!</definedName>
    <definedName name="fac_ku_01" localSheetId="8">'[5]LGE Base Fuel &amp; FAC'!#REF!</definedName>
    <definedName name="fac_ku_01" localSheetId="12">'[5]LGE Base Fuel &amp; FAC'!#REF!</definedName>
    <definedName name="fac_ku_01" localSheetId="11">'[5]LGE Base Fuel &amp; FAC'!#REF!</definedName>
    <definedName name="fac_ku_01" localSheetId="10">'[5]LGE Base Fuel &amp; FAC'!#REF!</definedName>
    <definedName name="fac_ku_01">'[5]LGE Base Fuel &amp; FAC'!#REF!</definedName>
    <definedName name="FOOTER" localSheetId="7">#REF!</definedName>
    <definedName name="FOOTER" localSheetId="13">#REF!</definedName>
    <definedName name="FOOTER" localSheetId="6">#REF!</definedName>
    <definedName name="FOOTER" localSheetId="9">#REF!</definedName>
    <definedName name="FOOTER" localSheetId="8">#REF!</definedName>
    <definedName name="FOOTER" localSheetId="12">#REF!</definedName>
    <definedName name="FOOTER" localSheetId="11">#REF!</definedName>
    <definedName name="FOOTER" localSheetId="10">#REF!</definedName>
    <definedName name="FOOTER">#REF!</definedName>
    <definedName name="FORECAST">"'IFPSReport'!R5C3:R5C14"</definedName>
    <definedName name="fuelcost" localSheetId="7">#REF!</definedName>
    <definedName name="fuelcost">#REF!</definedName>
    <definedName name="Gas_Annual_NetRev" localSheetId="7">#REF!</definedName>
    <definedName name="Gas_Annual_NetRev">#REF!</definedName>
    <definedName name="Gas_Annual_Revenue" localSheetId="7">#REF!</definedName>
    <definedName name="Gas_Annual_Revenue">#REF!</definedName>
    <definedName name="gas_data" localSheetId="7">#REF!</definedName>
    <definedName name="gas_data" localSheetId="13">#REF!</definedName>
    <definedName name="gas_data" localSheetId="6">#REF!</definedName>
    <definedName name="gas_data" localSheetId="9">#REF!</definedName>
    <definedName name="gas_data" localSheetId="8">#REF!</definedName>
    <definedName name="gas_data" localSheetId="12">#REF!</definedName>
    <definedName name="gas_data" localSheetId="11">#REF!</definedName>
    <definedName name="gas_data" localSheetId="10">#REF!</definedName>
    <definedName name="gas_data">#REF!</definedName>
    <definedName name="Gas_Monthly_NetRevenue" localSheetId="7">#REF!</definedName>
    <definedName name="Gas_Monthly_NetRevenue">#REF!</definedName>
    <definedName name="GAS_NET_OP_INC" localSheetId="7">#REF!</definedName>
    <definedName name="GAS_NET_OP_INC" localSheetId="13">#REF!</definedName>
    <definedName name="GAS_NET_OP_INC" localSheetId="6">#REF!</definedName>
    <definedName name="GAS_NET_OP_INC" localSheetId="9">#REF!</definedName>
    <definedName name="GAS_NET_OP_INC" localSheetId="8">#REF!</definedName>
    <definedName name="GAS_NET_OP_INC" localSheetId="12">#REF!</definedName>
    <definedName name="GAS_NET_OP_INC" localSheetId="11">#REF!</definedName>
    <definedName name="GAS_NET_OP_INC" localSheetId="10">#REF!</definedName>
    <definedName name="GAS_NET_OP_INC">#REF!</definedName>
    <definedName name="Gas_Sales_Revenues" localSheetId="7">#REF!</definedName>
    <definedName name="Gas_Sales_Revenues">#REF!</definedName>
    <definedName name="GenEx_Annual_KU" localSheetId="7">'[5]LGE Cost of Sales'!#REF!</definedName>
    <definedName name="GenEx_Annual_KU" localSheetId="13">'[5]LGE Cost of Sales'!#REF!</definedName>
    <definedName name="GenEx_Annual_KU" localSheetId="6">'[5]LGE Cost of Sales'!#REF!</definedName>
    <definedName name="GenEx_Annual_KU" localSheetId="9">'[5]LGE Cost of Sales'!#REF!</definedName>
    <definedName name="GenEx_Annual_KU" localSheetId="8">'[5]LGE Cost of Sales'!#REF!</definedName>
    <definedName name="GenEx_Annual_KU" localSheetId="12">'[5]LGE Cost of Sales'!#REF!</definedName>
    <definedName name="GenEx_Annual_KU" localSheetId="11">'[5]LGE Cost of Sales'!#REF!</definedName>
    <definedName name="GenEx_Annual_KU" localSheetId="10">'[5]LGE Cost of Sales'!#REF!</definedName>
    <definedName name="GenEx_Annual_KU">'[5]LGE Cost of Sales'!#REF!</definedName>
    <definedName name="genex_hide_ku_01" localSheetId="7">'[5]LGE Cost of Sales'!#REF!</definedName>
    <definedName name="genex_hide_ku_01" localSheetId="13">'[5]LGE Cost of Sales'!#REF!</definedName>
    <definedName name="genex_hide_ku_01" localSheetId="6">'[5]LGE Cost of Sales'!#REF!</definedName>
    <definedName name="genex_hide_ku_01" localSheetId="9">'[5]LGE Cost of Sales'!#REF!</definedName>
    <definedName name="genex_hide_ku_01" localSheetId="8">'[5]LGE Cost of Sales'!#REF!</definedName>
    <definedName name="genex_hide_ku_01" localSheetId="12">'[5]LGE Cost of Sales'!#REF!</definedName>
    <definedName name="genex_hide_ku_01" localSheetId="11">'[5]LGE Cost of Sales'!#REF!</definedName>
    <definedName name="genex_hide_ku_01" localSheetId="10">'[5]LGE Cost of Sales'!#REF!</definedName>
    <definedName name="genex_hide_ku_01">'[5]LGE Cost of Sales'!#REF!</definedName>
    <definedName name="genex_hide_lge_01" localSheetId="7">'[5]LGE Cost of Sales'!#REF!</definedName>
    <definedName name="genex_hide_lge_01" localSheetId="13">'[5]LGE Cost of Sales'!#REF!</definedName>
    <definedName name="genex_hide_lge_01" localSheetId="6">'[5]LGE Cost of Sales'!#REF!</definedName>
    <definedName name="genex_hide_lge_01" localSheetId="9">'[5]LGE Cost of Sales'!#REF!</definedName>
    <definedName name="genex_hide_lge_01" localSheetId="8">'[5]LGE Cost of Sales'!#REF!</definedName>
    <definedName name="genex_hide_lge_01" localSheetId="12">'[5]LGE Cost of Sales'!#REF!</definedName>
    <definedName name="genex_hide_lge_01" localSheetId="11">'[5]LGE Cost of Sales'!#REF!</definedName>
    <definedName name="genex_hide_lge_01" localSheetId="10">'[5]LGE Cost of Sales'!#REF!</definedName>
    <definedName name="genex_hide_lge_01">'[5]LGE Cost of Sales'!#REF!</definedName>
    <definedName name="genex_ku_01" localSheetId="7">'[5]LGE Cost of Sales'!#REF!</definedName>
    <definedName name="genex_ku_01" localSheetId="13">'[5]LGE Cost of Sales'!#REF!</definedName>
    <definedName name="genex_ku_01" localSheetId="6">'[5]LGE Cost of Sales'!#REF!</definedName>
    <definedName name="genex_ku_01" localSheetId="9">'[5]LGE Cost of Sales'!#REF!</definedName>
    <definedName name="genex_ku_01" localSheetId="8">'[5]LGE Cost of Sales'!#REF!</definedName>
    <definedName name="genex_ku_01" localSheetId="12">'[5]LGE Cost of Sales'!#REF!</definedName>
    <definedName name="genex_ku_01" localSheetId="11">'[5]LGE Cost of Sales'!#REF!</definedName>
    <definedName name="genex_ku_01" localSheetId="10">'[5]LGE Cost of Sales'!#REF!</definedName>
    <definedName name="genex_ku_01">'[5]LGE Cost of Sales'!#REF!</definedName>
    <definedName name="H" localSheetId="7">#REF!</definedName>
    <definedName name="H">#REF!</definedName>
    <definedName name="Home_KU" localSheetId="7">#REF!</definedName>
    <definedName name="Home_KU">#REF!</definedName>
    <definedName name="INPUT1" localSheetId="7">#REF!</definedName>
    <definedName name="INPUT1">#REF!</definedName>
    <definedName name="INPUT2" localSheetId="7">#REF!</definedName>
    <definedName name="INPUT2">#REF!</definedName>
    <definedName name="INPUTCOL" localSheetId="7">#REF!</definedName>
    <definedName name="INPUTCOL">#REF!</definedName>
    <definedName name="INPUTROW" localSheetId="7">#REF!</definedName>
    <definedName name="INPUTROW">#REF!</definedName>
    <definedName name="InputSec01">[6]Input!$M$30</definedName>
    <definedName name="InputSec02">[6]Input!$M$40:$M$75</definedName>
    <definedName name="InputSec03">[6]Input!$K$87:$Q$89</definedName>
    <definedName name="InputSec04">[6]Input!$O$100:$Q$100</definedName>
    <definedName name="InputSec05A">[6]Input!$O$110:$Q$110</definedName>
    <definedName name="InputSec05B">[6]Input!$O$116:$Q$122</definedName>
    <definedName name="InputSec06">[6]Input!$M$133:$O$142</definedName>
    <definedName name="InputSec07">[6]Input!$O$151:$O$181</definedName>
    <definedName name="InputSec08A">[6]Input!$O$259:$O$283</definedName>
    <definedName name="InputSec08B">[6]Input!$G$296:$Q$296</definedName>
    <definedName name="InputSec08C">[6]Input!$I$306:$K$306</definedName>
    <definedName name="InputSec09A">[6]Input!$K$316:$Q$318</definedName>
    <definedName name="InputSec09B">[6]Input!$K$328:$M$330</definedName>
    <definedName name="InputSec10A">[6]Input!$K$345:$O$349</definedName>
    <definedName name="InputSec10B">[6]Input!$K$355:$O$355</definedName>
    <definedName name="InputSec10C">[6]Input!$K$362:$O$364</definedName>
    <definedName name="InputSec10D">[6]Input!$K$370:$O$370</definedName>
    <definedName name="InputSec11">[6]Input!$M$383:$O$391</definedName>
    <definedName name="InputSec12A">[6]Input!$M$406:$M$418</definedName>
    <definedName name="InputSec12B">[6]Input!$M$424</definedName>
    <definedName name="InputSec13">[6]Input!$M$433:$O$433</definedName>
    <definedName name="KUELIMBAL" localSheetId="7">#REF!</definedName>
    <definedName name="KUELIMBAL" localSheetId="13">#REF!</definedName>
    <definedName name="KUELIMBAL" localSheetId="6">#REF!</definedName>
    <definedName name="KUELIMBAL" localSheetId="9">#REF!</definedName>
    <definedName name="KUELIMBAL" localSheetId="8">#REF!</definedName>
    <definedName name="KUELIMBAL" localSheetId="12">#REF!</definedName>
    <definedName name="KUELIMBAL" localSheetId="11">#REF!</definedName>
    <definedName name="KUELIMBAL" localSheetId="10">#REF!</definedName>
    <definedName name="KUELIMBAL">#REF!</definedName>
    <definedName name="KUELIMCASH" localSheetId="7">#REF!</definedName>
    <definedName name="KUELIMCASH" localSheetId="13">#REF!</definedName>
    <definedName name="KUELIMCASH" localSheetId="6">#REF!</definedName>
    <definedName name="KUELIMCASH" localSheetId="9">#REF!</definedName>
    <definedName name="KUELIMCASH" localSheetId="8">#REF!</definedName>
    <definedName name="KUELIMCASH" localSheetId="12">#REF!</definedName>
    <definedName name="KUELIMCASH" localSheetId="11">#REF!</definedName>
    <definedName name="KUELIMCASH" localSheetId="10">#REF!</definedName>
    <definedName name="KUELIMCASH">#REF!</definedName>
    <definedName name="KUPWRGENIS" localSheetId="7">#REF!</definedName>
    <definedName name="KUPWRGENIS">#REF!</definedName>
    <definedName name="KWHCol01">[6]KWHDistDatabase!$I$5:$I$425</definedName>
    <definedName name="KWHCol02">[6]KWHDistDatabase!$J$5:$J$425</definedName>
    <definedName name="KWHCol03">[6]KWHDistDatabase!$K$5:$K$425</definedName>
    <definedName name="KWHCol04">[6]KWHDistDatabase!$L$5:$L$425</definedName>
    <definedName name="KWHCol05">[6]KWHDistDatabase!$M$5:$M$425</definedName>
    <definedName name="KWHCol06">[6]KWHDistDatabase!$N$5:$N$425</definedName>
    <definedName name="KWHCol07">[6]KWHDistDatabase!$O$5:$O$425</definedName>
    <definedName name="KWHCol08">[6]KWHDistDatabase!$P$5:$P$425</definedName>
    <definedName name="KWHCol09">[6]KWHDistDatabase!$Q$5:$Q$425</definedName>
    <definedName name="KWHCol10">[6]KWHDistDatabase!$R$5:$R$425</definedName>
    <definedName name="KWHCol11">[6]KWHDistDatabase!$S$5:$S$425</definedName>
    <definedName name="KWHCol12">[6]KWHDistDatabase!$T$5:$T$425</definedName>
    <definedName name="KWHCol13">[6]KWHDistDatabase!$U$5:$U$425</definedName>
    <definedName name="KWHCol14">[6]KWHDistDatabase!$V$5:$V$425</definedName>
    <definedName name="KWHCol15">[6]KWHDistDatabase!$W$5:$W$425</definedName>
    <definedName name="KWHCol16">[6]KWHDistDatabase!$X$5:$X$425</definedName>
    <definedName name="KWHCol17">[6]KWHDistDatabase!$Y$5:$Y$425</definedName>
    <definedName name="KWHCol18">[6]KWHDistDatabase!$Z$5:$Z$425</definedName>
    <definedName name="KWHCol19">[6]KWHDistDatabase!$AA$5:$AA$425</definedName>
    <definedName name="KWHCol20">[6]KWHDistDatabase!$AB$5:$AB$425</definedName>
    <definedName name="KWHCol21">[6]KWHDistDatabase!$AC$5:$AC$425</definedName>
    <definedName name="KWHCol22">[6]KWHDistDatabase!$AD$5:$AD$425</definedName>
    <definedName name="KWHCol23">[6]KWHDistDatabase!$AE$5:$AE$425</definedName>
    <definedName name="KWHCol24">[6]KWHDistDatabase!$AF$5:$AF$425</definedName>
    <definedName name="KWHCol25">[6]KWHDistDatabase!$AG$5:$AG$425</definedName>
    <definedName name="KWHColTmp">[6]KWHDistDatabase!$AI$5:$AI$425</definedName>
    <definedName name="LEC" localSheetId="7">#REF!</definedName>
    <definedName name="LEC">#REF!</definedName>
    <definedName name="LECBAL" localSheetId="7">#REF!</definedName>
    <definedName name="LECBAL">#REF!</definedName>
    <definedName name="LECCASH" localSheetId="7">#REF!</definedName>
    <definedName name="LECCASH">#REF!</definedName>
    <definedName name="LES" localSheetId="7">#REF!</definedName>
    <definedName name="LES">#REF!</definedName>
    <definedName name="LGE" localSheetId="7">#REF!</definedName>
    <definedName name="LGE">#REF!</definedName>
    <definedName name="LNGCL" localSheetId="7">#REF!</definedName>
    <definedName name="LNGCL" localSheetId="13">#REF!</definedName>
    <definedName name="LNGCL" localSheetId="6">#REF!</definedName>
    <definedName name="LNGCL" localSheetId="9">#REF!</definedName>
    <definedName name="LNGCL" localSheetId="8">#REF!</definedName>
    <definedName name="LNGCL" localSheetId="12">#REF!</definedName>
    <definedName name="LNGCL" localSheetId="11">#REF!</definedName>
    <definedName name="LNGCL" localSheetId="10">#REF!</definedName>
    <definedName name="LNGCL">#REF!</definedName>
    <definedName name="Losses_by_State" localSheetId="7">#REF!</definedName>
    <definedName name="Losses_by_State">#REF!</definedName>
    <definedName name="LOUPHONECOBAL" localSheetId="7">#REF!</definedName>
    <definedName name="LOUPHONECOBAL">#REF!</definedName>
    <definedName name="LOUPHONECOCASH" localSheetId="7">#REF!</definedName>
    <definedName name="LOUPHONECOCASH">#REF!</definedName>
    <definedName name="LOUPHONECOIS" localSheetId="7">#REF!</definedName>
    <definedName name="LOUPHONECOIS">#REF!</definedName>
    <definedName name="LPI" localSheetId="7">#REF!</definedName>
    <definedName name="LPI">#REF!</definedName>
    <definedName name="MAIN" localSheetId="7">#REF!</definedName>
    <definedName name="MAIN">#REF!</definedName>
    <definedName name="MESG1" localSheetId="7">#REF!</definedName>
    <definedName name="MESG1">#REF!</definedName>
    <definedName name="MESG2" localSheetId="7">#REF!</definedName>
    <definedName name="MESG2">#REF!</definedName>
    <definedName name="MONTH_NAME" localSheetId="7">#REF!</definedName>
    <definedName name="MONTH_NAME">#REF!</definedName>
    <definedName name="MONTHCOUNT" localSheetId="7">#REF!</definedName>
    <definedName name="MONTHCOUNT">#REF!</definedName>
    <definedName name="NATURAL" localSheetId="7">#REF!</definedName>
    <definedName name="NATURAL">#REF!</definedName>
    <definedName name="NET_OP_INC" localSheetId="7">#REF!</definedName>
    <definedName name="NET_OP_INC" localSheetId="13">#REF!</definedName>
    <definedName name="NET_OP_INC" localSheetId="6">#REF!</definedName>
    <definedName name="NET_OP_INC" localSheetId="9">#REF!</definedName>
    <definedName name="NET_OP_INC" localSheetId="8">#REF!</definedName>
    <definedName name="NET_OP_INC" localSheetId="12">#REF!</definedName>
    <definedName name="NET_OP_INC" localSheetId="11">#REF!</definedName>
    <definedName name="NET_OP_INC" localSheetId="10">#REF!</definedName>
    <definedName name="NET_OP_INC">#REF!</definedName>
    <definedName name="Net_Revenues" localSheetId="7">#REF!</definedName>
    <definedName name="Net_Revenues">#REF!</definedName>
    <definedName name="Net_Unbilled_KWh" localSheetId="7">#REF!</definedName>
    <definedName name="Net_Unbilled_KWh">#REF!</definedName>
    <definedName name="Net_Unbilled_Revenue_Dollars" localSheetId="7">#REF!</definedName>
    <definedName name="Net_Unbilled_Revenue_Dollars">#REF!</definedName>
    <definedName name="netrev_hide_ku_01" localSheetId="7">'[5]LGE Gross Margin-Inc.Stmt'!#REF!</definedName>
    <definedName name="netrev_hide_ku_01" localSheetId="13">'[5]LGE Gross Margin-Inc.Stmt'!#REF!</definedName>
    <definedName name="netrev_hide_ku_01" localSheetId="6">'[5]LGE Gross Margin-Inc.Stmt'!#REF!</definedName>
    <definedName name="netrev_hide_ku_01" localSheetId="9">'[5]LGE Gross Margin-Inc.Stmt'!#REF!</definedName>
    <definedName name="netrev_hide_ku_01" localSheetId="8">'[5]LGE Gross Margin-Inc.Stmt'!#REF!</definedName>
    <definedName name="netrev_hide_ku_01" localSheetId="12">'[5]LGE Gross Margin-Inc.Stmt'!#REF!</definedName>
    <definedName name="netrev_hide_ku_01" localSheetId="11">'[5]LGE Gross Margin-Inc.Stmt'!#REF!</definedName>
    <definedName name="netrev_hide_ku_01" localSheetId="10">'[5]LGE Gross Margin-Inc.Stmt'!#REF!</definedName>
    <definedName name="netrev_hide_ku_01">'[5]LGE Gross Margin-Inc.Stmt'!#REF!</definedName>
    <definedName name="netrev_hide_lge_01" localSheetId="7">'[5]LGE Gross Margin-Inc.Stmt'!#REF!</definedName>
    <definedName name="netrev_hide_lge_01" localSheetId="13">'[5]LGE Gross Margin-Inc.Stmt'!#REF!</definedName>
    <definedName name="netrev_hide_lge_01" localSheetId="6">'[5]LGE Gross Margin-Inc.Stmt'!#REF!</definedName>
    <definedName name="netrev_hide_lge_01" localSheetId="9">'[5]LGE Gross Margin-Inc.Stmt'!#REF!</definedName>
    <definedName name="netrev_hide_lge_01" localSheetId="8">'[5]LGE Gross Margin-Inc.Stmt'!#REF!</definedName>
    <definedName name="netrev_hide_lge_01" localSheetId="12">'[5]LGE Gross Margin-Inc.Stmt'!#REF!</definedName>
    <definedName name="netrev_hide_lge_01" localSheetId="11">'[5]LGE Gross Margin-Inc.Stmt'!#REF!</definedName>
    <definedName name="netrev_hide_lge_01" localSheetId="10">'[5]LGE Gross Margin-Inc.Stmt'!#REF!</definedName>
    <definedName name="netrev_hide_lge_01">'[5]LGE Gross Margin-Inc.Stmt'!#REF!</definedName>
    <definedName name="netrev_ku_01" localSheetId="7">'[5]LGE Gross Margin-Inc.Stmt'!#REF!</definedName>
    <definedName name="netrev_ku_01" localSheetId="13">'[5]LGE Gross Margin-Inc.Stmt'!#REF!</definedName>
    <definedName name="netrev_ku_01" localSheetId="6">'[5]LGE Gross Margin-Inc.Stmt'!#REF!</definedName>
    <definedName name="netrev_ku_01" localSheetId="9">'[5]LGE Gross Margin-Inc.Stmt'!#REF!</definedName>
    <definedName name="netrev_ku_01" localSheetId="8">'[5]LGE Gross Margin-Inc.Stmt'!#REF!</definedName>
    <definedName name="netrev_ku_01" localSheetId="12">'[5]LGE Gross Margin-Inc.Stmt'!#REF!</definedName>
    <definedName name="netrev_ku_01" localSheetId="11">'[5]LGE Gross Margin-Inc.Stmt'!#REF!</definedName>
    <definedName name="netrev_ku_01" localSheetId="10">'[5]LGE Gross Margin-Inc.Stmt'!#REF!</definedName>
    <definedName name="netrev_ku_01">'[5]LGE Gross Margin-Inc.Stmt'!#REF!</definedName>
    <definedName name="NetRevenue_Annual_KU" localSheetId="7">'[5]LGE Gross Margin-Inc.Stmt'!#REF!</definedName>
    <definedName name="NetRevenue_Annual_KU" localSheetId="13">'[5]LGE Gross Margin-Inc.Stmt'!#REF!</definedName>
    <definedName name="NetRevenue_Annual_KU" localSheetId="6">'[5]LGE Gross Margin-Inc.Stmt'!#REF!</definedName>
    <definedName name="NetRevenue_Annual_KU" localSheetId="9">'[5]LGE Gross Margin-Inc.Stmt'!#REF!</definedName>
    <definedName name="NetRevenue_Annual_KU" localSheetId="8">'[5]LGE Gross Margin-Inc.Stmt'!#REF!</definedName>
    <definedName name="NetRevenue_Annual_KU" localSheetId="12">'[5]LGE Gross Margin-Inc.Stmt'!#REF!</definedName>
    <definedName name="NetRevenue_Annual_KU" localSheetId="11">'[5]LGE Gross Margin-Inc.Stmt'!#REF!</definedName>
    <definedName name="NetRevenue_Annual_KU" localSheetId="10">'[5]LGE Gross Margin-Inc.Stmt'!#REF!</definedName>
    <definedName name="NetRevenue_Annual_KU">'[5]LGE Gross Margin-Inc.Stmt'!#REF!</definedName>
    <definedName name="NetRevenues" localSheetId="7">#REF!</definedName>
    <definedName name="NetRevenues">#REF!</definedName>
    <definedName name="NextReptgMo">[6]Input!$AE$19</definedName>
    <definedName name="NextReptgYr">[6]Input!$AE$21</definedName>
    <definedName name="Operating_Revenue_Dollars" localSheetId="7">#REF!</definedName>
    <definedName name="Operating_Revenue_Dollars">#REF!</definedName>
    <definedName name="Operating_Sales__KWh" localSheetId="7">#REF!</definedName>
    <definedName name="Operating_Sales__KWh">#REF!</definedName>
    <definedName name="PAGE" localSheetId="7">#REF!</definedName>
    <definedName name="PAGE">#REF!</definedName>
    <definedName name="PAGE10" localSheetId="7">#REF!</definedName>
    <definedName name="PAGE10">#REF!</definedName>
    <definedName name="PAGE1B" localSheetId="7">[3]d20!#REF!</definedName>
    <definedName name="PAGE1B" localSheetId="13">[3]d20!#REF!</definedName>
    <definedName name="PAGE1B" localSheetId="6">[3]d20!#REF!</definedName>
    <definedName name="PAGE1B" localSheetId="9">[3]d20!#REF!</definedName>
    <definedName name="PAGE1B" localSheetId="8">[3]d20!#REF!</definedName>
    <definedName name="PAGE1B" localSheetId="12">[3]d20!#REF!</definedName>
    <definedName name="PAGE1B" localSheetId="11">[3]d20!#REF!</definedName>
    <definedName name="PAGE1B" localSheetId="10">[3]d20!#REF!</definedName>
    <definedName name="PAGE1B">[3]d20!#REF!</definedName>
    <definedName name="PAGE7" localSheetId="7">#REF!</definedName>
    <definedName name="PAGE7">#REF!</definedName>
    <definedName name="page8" localSheetId="7">#REF!</definedName>
    <definedName name="page8">#REF!</definedName>
    <definedName name="PAGE9" localSheetId="7">#REF!</definedName>
    <definedName name="PAGE9">#REF!</definedName>
    <definedName name="PgFERC_449" localSheetId="7">#REF!</definedName>
    <definedName name="PgFERC_449">#REF!</definedName>
    <definedName name="Plan" localSheetId="7">#REF!</definedName>
    <definedName name="Plan">#REF!</definedName>
    <definedName name="_xlnm.Print_Area" localSheetId="7">'AES Unit Costs'!$A$1:$K$63</definedName>
    <definedName name="_xlnm.Print_Area" localSheetId="4">'Billing Det'!$A$1:$F$42</definedName>
    <definedName name="_xlnm.Print_Area" localSheetId="13">'FLS Unit Costs'!$A$1:$K$57</definedName>
    <definedName name="_xlnm.Print_Area" localSheetId="6">'GS Unit Costs'!$A$1:$K$63</definedName>
    <definedName name="_xlnm.Print_Area" localSheetId="0">'Jurisdictional Study'!$D$12:$P$1466</definedName>
    <definedName name="_xlnm.Print_Area" localSheetId="14">Meters!$A$1:$J$71</definedName>
    <definedName name="_xlnm.Print_Area" localSheetId="9">'PSP Unit Costs'!$A$1:$K$57</definedName>
    <definedName name="_xlnm.Print_Area" localSheetId="8">'PSS Unit Costs'!$A$1:$K$57</definedName>
    <definedName name="_xlnm.Print_Area" localSheetId="5">'RS Unit Costs'!$A$1:$K$57</definedName>
    <definedName name="_xlnm.Print_Area" localSheetId="12">'RTS Unit Costs'!$A$1:$K$57</definedName>
    <definedName name="_xlnm.Print_Area" localSheetId="15">Services!$A$1:$D$64</definedName>
    <definedName name="_xlnm.Print_Area" localSheetId="3">'Summary of Returns'!$A$1:$G$73</definedName>
    <definedName name="_xlnm.Print_Area" localSheetId="11">'TODP Unit Costs'!$A$1:$K$57</definedName>
    <definedName name="_xlnm.Print_Area" localSheetId="10">'TODS Unit Costs'!$A$1:$K$57</definedName>
    <definedName name="_xlnm.Print_Area" localSheetId="1">'WSS-26'!$F$5:$AJ$617</definedName>
    <definedName name="_xlnm.Print_Area" localSheetId="2">'WSS-28'!$F$4:$W$971</definedName>
    <definedName name="_xlnm.Print_Titles" localSheetId="4">'Billing Det'!$A:$A,'Billing Det'!$77:$78</definedName>
    <definedName name="_xlnm.Print_Titles" localSheetId="0">'Jurisdictional Study'!$19:$22</definedName>
    <definedName name="_xlnm.Print_Titles" localSheetId="1">'WSS-26'!$A:$E,'WSS-26'!$1:$4</definedName>
    <definedName name="_xlnm.Print_Titles" localSheetId="2">'WSS-28'!$A:$E,'WSS-28'!$1:$3</definedName>
    <definedName name="PRINT1" localSheetId="7">#REF!</definedName>
    <definedName name="PRINT1">#REF!</definedName>
    <definedName name="PWRGENBAL" localSheetId="7">#REF!</definedName>
    <definedName name="PWRGENBAL">#REF!</definedName>
    <definedName name="PWRGENCASH" localSheetId="7">#REF!</definedName>
    <definedName name="PWRGENCASH">#REF!</definedName>
    <definedName name="QtrbyMonth" localSheetId="7">#REF!</definedName>
    <definedName name="QtrbyMonth">#REF!</definedName>
    <definedName name="RangeRptgMo">[10]Main!$K$11</definedName>
    <definedName name="RangeRptgYr">[11]Main!$G$5</definedName>
    <definedName name="REPORT" localSheetId="7">#REF!</definedName>
    <definedName name="REPORT">#REF!</definedName>
    <definedName name="ReportTitle1" localSheetId="7">#REF!</definedName>
    <definedName name="ReportTitle1">#REF!</definedName>
    <definedName name="require_hide_ku_01" localSheetId="7">'[5]LGE Require &amp; Source'!#REF!</definedName>
    <definedName name="require_hide_ku_01" localSheetId="13">'[5]LGE Require &amp; Source'!#REF!</definedName>
    <definedName name="require_hide_ku_01" localSheetId="6">'[5]LGE Require &amp; Source'!#REF!</definedName>
    <definedName name="require_hide_ku_01" localSheetId="9">'[5]LGE Require &amp; Source'!#REF!</definedName>
    <definedName name="require_hide_ku_01" localSheetId="8">'[5]LGE Require &amp; Source'!#REF!</definedName>
    <definedName name="require_hide_ku_01" localSheetId="12">'[5]LGE Require &amp; Source'!#REF!</definedName>
    <definedName name="require_hide_ku_01" localSheetId="11">'[5]LGE Require &amp; Source'!#REF!</definedName>
    <definedName name="require_hide_ku_01" localSheetId="10">'[5]LGE Require &amp; Source'!#REF!</definedName>
    <definedName name="require_hide_ku_01">'[5]LGE Require &amp; Source'!#REF!</definedName>
    <definedName name="require_hide_lge_01" localSheetId="7">'[5]LGE Require &amp; Source'!#REF!</definedName>
    <definedName name="require_hide_lge_01" localSheetId="13">'[5]LGE Require &amp; Source'!#REF!</definedName>
    <definedName name="require_hide_lge_01" localSheetId="6">'[5]LGE Require &amp; Source'!#REF!</definedName>
    <definedName name="require_hide_lge_01" localSheetId="9">'[5]LGE Require &amp; Source'!#REF!</definedName>
    <definedName name="require_hide_lge_01" localSheetId="8">'[5]LGE Require &amp; Source'!#REF!</definedName>
    <definedName name="require_hide_lge_01" localSheetId="12">'[5]LGE Require &amp; Source'!#REF!</definedName>
    <definedName name="require_hide_lge_01" localSheetId="11">'[5]LGE Require &amp; Source'!#REF!</definedName>
    <definedName name="require_hide_lge_01" localSheetId="10">'[5]LGE Require &amp; Source'!#REF!</definedName>
    <definedName name="require_hide_lge_01">'[5]LGE Require &amp; Source'!#REF!</definedName>
    <definedName name="require_ku_01" localSheetId="7">'[5]LGE Require &amp; Source'!#REF!</definedName>
    <definedName name="require_ku_01" localSheetId="13">'[5]LGE Require &amp; Source'!#REF!</definedName>
    <definedName name="require_ku_01" localSheetId="6">'[5]LGE Require &amp; Source'!#REF!</definedName>
    <definedName name="require_ku_01" localSheetId="9">'[5]LGE Require &amp; Source'!#REF!</definedName>
    <definedName name="require_ku_01" localSheetId="8">'[5]LGE Require &amp; Source'!#REF!</definedName>
    <definedName name="require_ku_01" localSheetId="12">'[5]LGE Require &amp; Source'!#REF!</definedName>
    <definedName name="require_ku_01" localSheetId="11">'[5]LGE Require &amp; Source'!#REF!</definedName>
    <definedName name="require_ku_01" localSheetId="10">'[5]LGE Require &amp; Source'!#REF!</definedName>
    <definedName name="require_ku_01">'[5]LGE Require &amp; Source'!#REF!</definedName>
    <definedName name="Requirements_Annual_KU" localSheetId="7">'[5]LGE Require &amp; Source'!#REF!</definedName>
    <definedName name="Requirements_Annual_KU" localSheetId="13">'[5]LGE Require &amp; Source'!#REF!</definedName>
    <definedName name="Requirements_Annual_KU" localSheetId="6">'[5]LGE Require &amp; Source'!#REF!</definedName>
    <definedName name="Requirements_Annual_KU" localSheetId="9">'[5]LGE Require &amp; Source'!#REF!</definedName>
    <definedName name="Requirements_Annual_KU" localSheetId="8">'[5]LGE Require &amp; Source'!#REF!</definedName>
    <definedName name="Requirements_Annual_KU" localSheetId="12">'[5]LGE Require &amp; Source'!#REF!</definedName>
    <definedName name="Requirements_Annual_KU" localSheetId="11">'[5]LGE Require &amp; Source'!#REF!</definedName>
    <definedName name="Requirements_Annual_KU" localSheetId="10">'[5]LGE Require &amp; Source'!#REF!</definedName>
    <definedName name="Requirements_Annual_KU">'[5]LGE Require &amp; Source'!#REF!</definedName>
    <definedName name="Requirements_Data" localSheetId="7">'[5]LGE Require &amp; Source'!#REF!</definedName>
    <definedName name="Requirements_Data" localSheetId="13">'[5]LGE Require &amp; Source'!#REF!</definedName>
    <definedName name="Requirements_Data" localSheetId="6">'[5]LGE Require &amp; Source'!#REF!</definedName>
    <definedName name="Requirements_Data" localSheetId="9">'[5]LGE Require &amp; Source'!#REF!</definedName>
    <definedName name="Requirements_Data" localSheetId="8">'[5]LGE Require &amp; Source'!#REF!</definedName>
    <definedName name="Requirements_Data" localSheetId="12">'[5]LGE Require &amp; Source'!#REF!</definedName>
    <definedName name="Requirements_Data" localSheetId="11">'[5]LGE Require &amp; Source'!#REF!</definedName>
    <definedName name="Requirements_Data" localSheetId="10">'[5]LGE Require &amp; Source'!#REF!</definedName>
    <definedName name="Requirements_Data">'[5]LGE Require &amp; Source'!#REF!</definedName>
    <definedName name="Requirements_KU" localSheetId="7">'[5]LGE Require &amp; Source'!#REF!</definedName>
    <definedName name="Requirements_KU" localSheetId="13">'[5]LGE Require &amp; Source'!#REF!</definedName>
    <definedName name="Requirements_KU" localSheetId="6">'[5]LGE Require &amp; Source'!#REF!</definedName>
    <definedName name="Requirements_KU" localSheetId="9">'[5]LGE Require &amp; Source'!#REF!</definedName>
    <definedName name="Requirements_KU" localSheetId="8">'[5]LGE Require &amp; Source'!#REF!</definedName>
    <definedName name="Requirements_KU" localSheetId="12">'[5]LGE Require &amp; Source'!#REF!</definedName>
    <definedName name="Requirements_KU" localSheetId="11">'[5]LGE Require &amp; Source'!#REF!</definedName>
    <definedName name="Requirements_KU" localSheetId="10">'[5]LGE Require &amp; Source'!#REF!</definedName>
    <definedName name="Requirements_KU">'[5]LGE Require &amp; Source'!#REF!</definedName>
    <definedName name="RevCol01" localSheetId="7">#REF!</definedName>
    <definedName name="RevCol01">#REF!</definedName>
    <definedName name="RevCol01A" localSheetId="7">#REF!</definedName>
    <definedName name="RevCol01A">#REF!</definedName>
    <definedName name="RevCol01B" localSheetId="7">#REF!</definedName>
    <definedName name="RevCol01B" localSheetId="13">#REF!</definedName>
    <definedName name="RevCol01B" localSheetId="6">#REF!</definedName>
    <definedName name="RevCol01B" localSheetId="9">#REF!</definedName>
    <definedName name="RevCol01B" localSheetId="8">#REF!</definedName>
    <definedName name="RevCol01B" localSheetId="12">#REF!</definedName>
    <definedName name="RevCol01B" localSheetId="11">#REF!</definedName>
    <definedName name="RevCol01B" localSheetId="10">#REF!</definedName>
    <definedName name="RevCol01B">#REF!</definedName>
    <definedName name="RevCol02" localSheetId="7">#REF!</definedName>
    <definedName name="RevCol02">#REF!</definedName>
    <definedName name="RevCol02A" localSheetId="7">#REF!</definedName>
    <definedName name="RevCol02A">#REF!</definedName>
    <definedName name="RevCol02B" localSheetId="7">#REF!</definedName>
    <definedName name="RevCol02B" localSheetId="13">#REF!</definedName>
    <definedName name="RevCol02B" localSheetId="6">#REF!</definedName>
    <definedName name="RevCol02B" localSheetId="9">#REF!</definedName>
    <definedName name="RevCol02B" localSheetId="8">#REF!</definedName>
    <definedName name="RevCol02B" localSheetId="12">#REF!</definedName>
    <definedName name="RevCol02B" localSheetId="11">#REF!</definedName>
    <definedName name="RevCol02B" localSheetId="10">#REF!</definedName>
    <definedName name="RevCol02B">#REF!</definedName>
    <definedName name="RevCol03" localSheetId="7">#REF!</definedName>
    <definedName name="RevCol03">#REF!</definedName>
    <definedName name="RevCol04" localSheetId="7">#REF!</definedName>
    <definedName name="RevCol04">#REF!</definedName>
    <definedName name="RevCol05" localSheetId="7">#REF!</definedName>
    <definedName name="RevCol05">#REF!</definedName>
    <definedName name="RevCol06" localSheetId="7">#REF!</definedName>
    <definedName name="RevCol06">#REF!</definedName>
    <definedName name="RevCol07" localSheetId="7">#REF!</definedName>
    <definedName name="RevCol07">#REF!</definedName>
    <definedName name="RevCol08" localSheetId="7">#REF!</definedName>
    <definedName name="RevCol08">#REF!</definedName>
    <definedName name="RevCol09" localSheetId="7">#REF!</definedName>
    <definedName name="RevCol09">#REF!</definedName>
    <definedName name="RevCol10" localSheetId="7">#REF!</definedName>
    <definedName name="RevCol10">#REF!</definedName>
    <definedName name="RevCol11" localSheetId="7">#REF!</definedName>
    <definedName name="RevCol11">#REF!</definedName>
    <definedName name="RevCol12" localSheetId="7">#REF!</definedName>
    <definedName name="RevCol12">#REF!</definedName>
    <definedName name="RevCol13" localSheetId="7">#REF!</definedName>
    <definedName name="RevCol13">#REF!</definedName>
    <definedName name="RevCol14" localSheetId="7">#REF!</definedName>
    <definedName name="RevCol14">#REF!</definedName>
    <definedName name="RevCol15" localSheetId="7">#REF!</definedName>
    <definedName name="RevCol15">#REF!</definedName>
    <definedName name="RevCol16" localSheetId="7">#REF!</definedName>
    <definedName name="RevCol16">#REF!</definedName>
    <definedName name="RevCol17" localSheetId="7">#REF!</definedName>
    <definedName name="RevCol17">#REF!</definedName>
    <definedName name="RevCol18" localSheetId="7">#REF!</definedName>
    <definedName name="RevCol18">#REF!</definedName>
    <definedName name="RevCol19" localSheetId="7">#REF!</definedName>
    <definedName name="RevCol19">#REF!</definedName>
    <definedName name="RevCol20" localSheetId="7">#REF!</definedName>
    <definedName name="RevCol20">#REF!</definedName>
    <definedName name="RevCol21" localSheetId="7">#REF!</definedName>
    <definedName name="RevCol21">#REF!</definedName>
    <definedName name="RevCol22" localSheetId="7">#REF!</definedName>
    <definedName name="RevCol22">#REF!</definedName>
    <definedName name="RevCol23" localSheetId="7">#REF!</definedName>
    <definedName name="RevCol23">#REF!</definedName>
    <definedName name="RevCol24" localSheetId="7">#REF!</definedName>
    <definedName name="RevCol24">#REF!</definedName>
    <definedName name="RevCol25" localSheetId="7">#REF!</definedName>
    <definedName name="RevCol25">#REF!</definedName>
    <definedName name="RevCol26" localSheetId="7">#REF!</definedName>
    <definedName name="RevCol26">#REF!</definedName>
    <definedName name="RevCol27" localSheetId="7">#REF!</definedName>
    <definedName name="RevCol27">#REF!</definedName>
    <definedName name="RevCol28" localSheetId="7">#REF!</definedName>
    <definedName name="RevCol28">#REF!</definedName>
    <definedName name="RevCol29" localSheetId="7">#REF!</definedName>
    <definedName name="RevCol29">#REF!</definedName>
    <definedName name="RevCol30" localSheetId="7">#REF!</definedName>
    <definedName name="RevCol30">#REF!</definedName>
    <definedName name="RevCol31" localSheetId="7">#REF!</definedName>
    <definedName name="RevCol31">#REF!</definedName>
    <definedName name="RevCol32" localSheetId="7">#REF!</definedName>
    <definedName name="RevCol32">#REF!</definedName>
    <definedName name="RevCol33" localSheetId="7">#REF!</definedName>
    <definedName name="RevCol33">#REF!</definedName>
    <definedName name="RevCol34" localSheetId="7">#REF!</definedName>
    <definedName name="RevCol34">#REF!</definedName>
    <definedName name="RevCol35" localSheetId="7">#REF!</definedName>
    <definedName name="RevCol35">#REF!</definedName>
    <definedName name="RevCol36" localSheetId="7">#REF!</definedName>
    <definedName name="RevCol36">#REF!</definedName>
    <definedName name="RevCol37" localSheetId="7">#REF!</definedName>
    <definedName name="RevCol37">#REF!</definedName>
    <definedName name="RevColTmp" localSheetId="7">#REF!</definedName>
    <definedName name="RevColTmp" localSheetId="13">#REF!</definedName>
    <definedName name="RevColTmp" localSheetId="6">#REF!</definedName>
    <definedName name="RevColTmp" localSheetId="9">#REF!</definedName>
    <definedName name="RevColTmp" localSheetId="8">#REF!</definedName>
    <definedName name="RevColTmp" localSheetId="12">#REF!</definedName>
    <definedName name="RevColTmp" localSheetId="11">#REF!</definedName>
    <definedName name="RevColTmp" localSheetId="10">#REF!</definedName>
    <definedName name="RevColTmp">#REF!</definedName>
    <definedName name="RevColTmpA" localSheetId="7">#REF!</definedName>
    <definedName name="RevColTmpA" localSheetId="13">#REF!</definedName>
    <definedName name="RevColTmpA" localSheetId="6">#REF!</definedName>
    <definedName name="RevColTmpA" localSheetId="9">#REF!</definedName>
    <definedName name="RevColTmpA" localSheetId="8">#REF!</definedName>
    <definedName name="RevColTmpA" localSheetId="12">#REF!</definedName>
    <definedName name="RevColTmpA" localSheetId="11">#REF!</definedName>
    <definedName name="RevColTmpA" localSheetId="10">#REF!</definedName>
    <definedName name="RevColTmpA">#REF!</definedName>
    <definedName name="RevColTmpB" localSheetId="7">#REF!</definedName>
    <definedName name="RevColTmpB" localSheetId="13">#REF!</definedName>
    <definedName name="RevColTmpB" localSheetId="6">#REF!</definedName>
    <definedName name="RevColTmpB" localSheetId="9">#REF!</definedName>
    <definedName name="RevColTmpB" localSheetId="8">#REF!</definedName>
    <definedName name="RevColTmpB" localSheetId="12">#REF!</definedName>
    <definedName name="RevColTmpB" localSheetId="11">#REF!</definedName>
    <definedName name="RevColTmpB" localSheetId="10">#REF!</definedName>
    <definedName name="RevColTmpB">#REF!</definedName>
    <definedName name="revenues_hide_ku_01" localSheetId="7">'[5]KU Other Electric Revenues'!#REF!</definedName>
    <definedName name="revenues_hide_ku_01" localSheetId="13">'[5]KU Other Electric Revenues'!#REF!</definedName>
    <definedName name="revenues_hide_ku_01" localSheetId="6">'[5]KU Other Electric Revenues'!#REF!</definedName>
    <definedName name="revenues_hide_ku_01" localSheetId="9">'[5]KU Other Electric Revenues'!#REF!</definedName>
    <definedName name="revenues_hide_ku_01" localSheetId="8">'[5]KU Other Electric Revenues'!#REF!</definedName>
    <definedName name="revenues_hide_ku_01" localSheetId="12">'[5]KU Other Electric Revenues'!#REF!</definedName>
    <definedName name="revenues_hide_ku_01" localSheetId="11">'[5]KU Other Electric Revenues'!#REF!</definedName>
    <definedName name="revenues_hide_ku_01" localSheetId="10">'[5]KU Other Electric Revenues'!#REF!</definedName>
    <definedName name="revenues_hide_ku_01">'[5]KU Other Electric Revenues'!#REF!</definedName>
    <definedName name="revenues_ku_01" localSheetId="7">'[5]KU Other Electric Revenues'!#REF!</definedName>
    <definedName name="revenues_ku_01" localSheetId="13">'[5]KU Other Electric Revenues'!#REF!</definedName>
    <definedName name="revenues_ku_01" localSheetId="6">'[5]KU Other Electric Revenues'!#REF!</definedName>
    <definedName name="revenues_ku_01" localSheetId="9">'[5]KU Other Electric Revenues'!#REF!</definedName>
    <definedName name="revenues_ku_01" localSheetId="8">'[5]KU Other Electric Revenues'!#REF!</definedName>
    <definedName name="revenues_ku_01" localSheetId="12">'[5]KU Other Electric Revenues'!#REF!</definedName>
    <definedName name="revenues_ku_01" localSheetId="11">'[5]KU Other Electric Revenues'!#REF!</definedName>
    <definedName name="revenues_ku_01" localSheetId="10">'[5]KU Other Electric Revenues'!#REF!</definedName>
    <definedName name="revenues_ku_01">'[5]KU Other Electric Revenues'!#REF!</definedName>
    <definedName name="RowDetails1" localSheetId="7">#REF!</definedName>
    <definedName name="RowDetails1">#REF!</definedName>
    <definedName name="RPTCOL" localSheetId="7">#REF!</definedName>
    <definedName name="RPTCOL">#REF!</definedName>
    <definedName name="RPTROW" localSheetId="7">#REF!</definedName>
    <definedName name="RPTROW">#REF!</definedName>
    <definedName name="Sales" localSheetId="7">'[5]LGE Sales'!#REF!</definedName>
    <definedName name="Sales" localSheetId="13">'[5]LGE Sales'!#REF!</definedName>
    <definedName name="Sales" localSheetId="6">'[5]LGE Sales'!#REF!</definedName>
    <definedName name="Sales" localSheetId="9">'[5]LGE Sales'!#REF!</definedName>
    <definedName name="Sales" localSheetId="8">'[5]LGE Sales'!#REF!</definedName>
    <definedName name="Sales" localSheetId="12">'[5]LGE Sales'!#REF!</definedName>
    <definedName name="Sales" localSheetId="11">'[5]LGE Sales'!#REF!</definedName>
    <definedName name="Sales" localSheetId="10">'[5]LGE Sales'!#REF!</definedName>
    <definedName name="Sales">'[5]LGE Sales'!#REF!</definedName>
    <definedName name="sales_hide_ku_01" localSheetId="7">'[5]LGE Sales'!#REF!</definedName>
    <definedName name="sales_hide_ku_01" localSheetId="13">'[5]LGE Sales'!#REF!</definedName>
    <definedName name="sales_hide_ku_01" localSheetId="6">'[5]LGE Sales'!#REF!</definedName>
    <definedName name="sales_hide_ku_01" localSheetId="9">'[5]LGE Sales'!#REF!</definedName>
    <definedName name="sales_hide_ku_01" localSheetId="8">'[5]LGE Sales'!#REF!</definedName>
    <definedName name="sales_hide_ku_01" localSheetId="12">'[5]LGE Sales'!#REF!</definedName>
    <definedName name="sales_hide_ku_01" localSheetId="11">'[5]LGE Sales'!#REF!</definedName>
    <definedName name="sales_hide_ku_01" localSheetId="10">'[5]LGE Sales'!#REF!</definedName>
    <definedName name="sales_hide_ku_01">'[5]LGE Sales'!#REF!</definedName>
    <definedName name="sales_ku_01" localSheetId="7">'[5]LGE Sales'!#REF!</definedName>
    <definedName name="sales_ku_01" localSheetId="13">'[5]LGE Sales'!#REF!</definedName>
    <definedName name="sales_ku_01" localSheetId="6">'[5]LGE Sales'!#REF!</definedName>
    <definedName name="sales_ku_01" localSheetId="9">'[5]LGE Sales'!#REF!</definedName>
    <definedName name="sales_ku_01" localSheetId="8">'[5]LGE Sales'!#REF!</definedName>
    <definedName name="sales_ku_01" localSheetId="12">'[5]LGE Sales'!#REF!</definedName>
    <definedName name="sales_ku_01" localSheetId="11">'[5]LGE Sales'!#REF!</definedName>
    <definedName name="sales_ku_01" localSheetId="10">'[5]LGE Sales'!#REF!</definedName>
    <definedName name="sales_ku_01">'[5]LGE Sales'!#REF!</definedName>
    <definedName name="sales_title_ku" localSheetId="7">'[5]LGE Sales'!#REF!</definedName>
    <definedName name="sales_title_ku" localSheetId="13">'[5]LGE Sales'!#REF!</definedName>
    <definedName name="sales_title_ku" localSheetId="6">'[5]LGE Sales'!#REF!</definedName>
    <definedName name="sales_title_ku" localSheetId="9">'[5]LGE Sales'!#REF!</definedName>
    <definedName name="sales_title_ku" localSheetId="8">'[5]LGE Sales'!#REF!</definedName>
    <definedName name="sales_title_ku" localSheetId="12">'[5]LGE Sales'!#REF!</definedName>
    <definedName name="sales_title_ku" localSheetId="11">'[5]LGE Sales'!#REF!</definedName>
    <definedName name="sales_title_ku" localSheetId="10">'[5]LGE Sales'!#REF!</definedName>
    <definedName name="sales_title_ku">'[5]LGE Sales'!#REF!</definedName>
    <definedName name="SCHEDZ" localSheetId="7">#REF!</definedName>
    <definedName name="SCHEDZ">#REF!</definedName>
    <definedName name="shoot" localSheetId="7">#REF!</definedName>
    <definedName name="shoot" localSheetId="13">#REF!</definedName>
    <definedName name="shoot" localSheetId="6">#REF!</definedName>
    <definedName name="shoot" localSheetId="9">#REF!</definedName>
    <definedName name="shoot" localSheetId="8">#REF!</definedName>
    <definedName name="shoot" localSheetId="12">#REF!</definedName>
    <definedName name="shoot" localSheetId="11">#REF!</definedName>
    <definedName name="shoot" localSheetId="10">#REF!</definedName>
    <definedName name="shoot">#REF!</definedName>
    <definedName name="START" localSheetId="7">#REF!</definedName>
    <definedName name="START">#REF!</definedName>
    <definedName name="START2" localSheetId="7">#REF!</definedName>
    <definedName name="START2">#REF!</definedName>
    <definedName name="START3" localSheetId="7">#REF!</definedName>
    <definedName name="START3">#REF!</definedName>
    <definedName name="Support" localSheetId="7">#REF!</definedName>
    <definedName name="Support">#REF!</definedName>
    <definedName name="SUPPORT5" localSheetId="7">#REF!</definedName>
    <definedName name="SUPPORT5">#REF!</definedName>
    <definedName name="SUPPORT6" localSheetId="7">#REF!</definedName>
    <definedName name="SUPPORT6" localSheetId="13">#REF!</definedName>
    <definedName name="SUPPORT6" localSheetId="6">#REF!</definedName>
    <definedName name="SUPPORT6" localSheetId="9">#REF!</definedName>
    <definedName name="SUPPORT6" localSheetId="8">#REF!</definedName>
    <definedName name="SUPPORT6" localSheetId="12">#REF!</definedName>
    <definedName name="SUPPORT6" localSheetId="11">#REF!</definedName>
    <definedName name="SUPPORT6" localSheetId="10">#REF!</definedName>
    <definedName name="SUPPORT6">#REF!</definedName>
    <definedName name="TAX_RATE" localSheetId="7">'[8]#REF'!#REF!</definedName>
    <definedName name="TAX_RATE" localSheetId="13">'[8]#REF'!#REF!</definedName>
    <definedName name="TAX_RATE" localSheetId="6">'[8]#REF'!#REF!</definedName>
    <definedName name="TAX_RATE" localSheetId="9">'[8]#REF'!#REF!</definedName>
    <definedName name="TAX_RATE" localSheetId="8">'[8]#REF'!#REF!</definedName>
    <definedName name="TAX_RATE" localSheetId="12">'[8]#REF'!#REF!</definedName>
    <definedName name="TAX_RATE" localSheetId="11">'[8]#REF'!#REF!</definedName>
    <definedName name="TAX_RATE" localSheetId="10">'[8]#REF'!#REF!</definedName>
    <definedName name="TAX_RATE">'[8]#REF'!#REF!</definedName>
    <definedName name="TempReptgMo">[6]Input!$AG$19</definedName>
    <definedName name="TempReptgYr">[6]Input!$AG$21</definedName>
    <definedName name="TenyrNIAC" localSheetId="7">#REF!</definedName>
    <definedName name="TenyrNIAC">#REF!</definedName>
    <definedName name="TenyrRev" localSheetId="7">#REF!</definedName>
    <definedName name="TenyrRev">#REF!</definedName>
    <definedName name="test">[0]!test</definedName>
    <definedName name="Title" localSheetId="7">#REF!</definedName>
    <definedName name="Title">#REF!</definedName>
    <definedName name="Title_Choice" localSheetId="7">#REF!</definedName>
    <definedName name="Title_Choice">#REF!</definedName>
    <definedName name="Titles" localSheetId="7">#REF!</definedName>
    <definedName name="Titles">#REF!</definedName>
    <definedName name="Titles_KU" localSheetId="7">#REF!</definedName>
    <definedName name="Titles_KU">#REF!</definedName>
    <definedName name="ttt" localSheetId="7">#REF!</definedName>
    <definedName name="ttt" localSheetId="13">#REF!</definedName>
    <definedName name="ttt" localSheetId="6">#REF!</definedName>
    <definedName name="ttt" localSheetId="9">#REF!</definedName>
    <definedName name="ttt" localSheetId="8">#REF!</definedName>
    <definedName name="ttt" localSheetId="12">#REF!</definedName>
    <definedName name="ttt" localSheetId="11">#REF!</definedName>
    <definedName name="ttt" localSheetId="10">#REF!</definedName>
    <definedName name="ttt">#REF!</definedName>
    <definedName name="UpdateDate">[6]Input!$M$12</definedName>
    <definedName name="UpdateTime">[6]Input!$O$12</definedName>
    <definedName name="Variance" localSheetId="7">#REF!</definedName>
    <definedName name="Variance">#REF!</definedName>
    <definedName name="VIEW1" localSheetId="7">#REF!</definedName>
    <definedName name="VIEW1">#REF!</definedName>
    <definedName name="vol_rev_annual_ku" localSheetId="7">'[5]LGE Retail Margin'!#REF!</definedName>
    <definedName name="vol_rev_annual_ku" localSheetId="13">'[5]LGE Retail Margin'!#REF!</definedName>
    <definedName name="vol_rev_annual_ku" localSheetId="6">'[5]LGE Retail Margin'!#REF!</definedName>
    <definedName name="vol_rev_annual_ku" localSheetId="9">'[5]LGE Retail Margin'!#REF!</definedName>
    <definedName name="vol_rev_annual_ku" localSheetId="8">'[5]LGE Retail Margin'!#REF!</definedName>
    <definedName name="vol_rev_annual_ku" localSheetId="12">'[5]LGE Retail Margin'!#REF!</definedName>
    <definedName name="vol_rev_annual_ku" localSheetId="11">'[5]LGE Retail Margin'!#REF!</definedName>
    <definedName name="vol_rev_annual_ku" localSheetId="10">'[5]LGE Retail Margin'!#REF!</definedName>
    <definedName name="vol_rev_annual_ku">'[5]LGE Retail Margin'!#REF!</definedName>
    <definedName name="vol_rev_hide_ku_monthly" localSheetId="7">'[5]LGE Retail Margin'!#REF!</definedName>
    <definedName name="vol_rev_hide_ku_monthly" localSheetId="13">'[5]LGE Retail Margin'!#REF!</definedName>
    <definedName name="vol_rev_hide_ku_monthly" localSheetId="6">'[5]LGE Retail Margin'!#REF!</definedName>
    <definedName name="vol_rev_hide_ku_monthly" localSheetId="9">'[5]LGE Retail Margin'!#REF!</definedName>
    <definedName name="vol_rev_hide_ku_monthly" localSheetId="8">'[5]LGE Retail Margin'!#REF!</definedName>
    <definedName name="vol_rev_hide_ku_monthly" localSheetId="12">'[5]LGE Retail Margin'!#REF!</definedName>
    <definedName name="vol_rev_hide_ku_monthly" localSheetId="11">'[5]LGE Retail Margin'!#REF!</definedName>
    <definedName name="vol_rev_hide_ku_monthly" localSheetId="10">'[5]LGE Retail Margin'!#REF!</definedName>
    <definedName name="vol_rev_hide_ku_monthly">'[5]LGE Retail Margin'!#REF!</definedName>
    <definedName name="vol_rev_hide_lge_01" localSheetId="7">'[5]LGE Retail Margin'!#REF!</definedName>
    <definedName name="vol_rev_hide_lge_01" localSheetId="13">'[5]LGE Retail Margin'!#REF!</definedName>
    <definedName name="vol_rev_hide_lge_01" localSheetId="6">'[5]LGE Retail Margin'!#REF!</definedName>
    <definedName name="vol_rev_hide_lge_01" localSheetId="9">'[5]LGE Retail Margin'!#REF!</definedName>
    <definedName name="vol_rev_hide_lge_01" localSheetId="8">'[5]LGE Retail Margin'!#REF!</definedName>
    <definedName name="vol_rev_hide_lge_01" localSheetId="12">'[5]LGE Retail Margin'!#REF!</definedName>
    <definedName name="vol_rev_hide_lge_01" localSheetId="11">'[5]LGE Retail Margin'!#REF!</definedName>
    <definedName name="vol_rev_hide_lge_01" localSheetId="10">'[5]LGE Retail Margin'!#REF!</definedName>
    <definedName name="vol_rev_hide_lge_01">'[5]LGE Retail Margin'!#REF!</definedName>
    <definedName name="vol_rev_ku_monthly" localSheetId="7">'[5]LGE Retail Margin'!#REF!</definedName>
    <definedName name="vol_rev_ku_monthly" localSheetId="6">'[5]LGE Retail Margin'!#REF!</definedName>
    <definedName name="vol_rev_ku_monthly" localSheetId="9">'[5]LGE Retail Margin'!#REF!</definedName>
    <definedName name="vol_rev_ku_monthly" localSheetId="10">'[5]LGE Retail Margin'!#REF!</definedName>
    <definedName name="vol_rev_ku_monthly">'[5]LGE Retail Margin'!#REF!</definedName>
    <definedName name="volrev_data" localSheetId="10">'[5]LGE Retail Margin'!#REF!</definedName>
    <definedName name="YTD" localSheetId="7">#REF!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39" i="2" l="1"/>
  <c r="F739" i="2" s="1"/>
  <c r="F740" i="2" s="1"/>
  <c r="X739" i="2"/>
  <c r="G681" i="2"/>
  <c r="I681" i="2"/>
  <c r="J681" i="2"/>
  <c r="K681" i="2"/>
  <c r="L681" i="2"/>
  <c r="M681" i="2"/>
  <c r="N681" i="2"/>
  <c r="O681" i="2"/>
  <c r="P681" i="2"/>
  <c r="Q681" i="2"/>
  <c r="R681" i="2"/>
  <c r="S681" i="2"/>
  <c r="T681" i="2"/>
  <c r="U681" i="2"/>
  <c r="V681" i="2"/>
  <c r="W681" i="2"/>
  <c r="X681" i="2" l="1"/>
  <c r="Y681" i="2" s="1"/>
  <c r="Z681" i="2" s="1"/>
  <c r="Y739" i="2"/>
  <c r="Z739" i="2" s="1"/>
  <c r="A57" i="33" l="1"/>
  <c r="D8" i="8" l="1"/>
  <c r="H939" i="2"/>
  <c r="H932" i="2"/>
  <c r="H925" i="2"/>
  <c r="H918" i="2"/>
  <c r="H911" i="2"/>
  <c r="H904" i="2"/>
  <c r="H821" i="2"/>
  <c r="E12" i="6"/>
  <c r="H831" i="2"/>
  <c r="H827" i="2"/>
  <c r="H826" i="2"/>
  <c r="H858" i="2"/>
  <c r="H856" i="2"/>
  <c r="H857" i="2" s="1"/>
  <c r="H854" i="2"/>
  <c r="H855" i="2" s="1"/>
  <c r="D10" i="8"/>
  <c r="H843" i="2" l="1"/>
  <c r="G843" i="2" s="1"/>
  <c r="C8" i="8"/>
  <c r="B8" i="8"/>
  <c r="B10" i="8"/>
  <c r="D12" i="7"/>
  <c r="E12" i="7" s="1"/>
  <c r="C12" i="7"/>
  <c r="G12" i="6"/>
  <c r="D12" i="6"/>
  <c r="C12" i="6"/>
  <c r="H896" i="2"/>
  <c r="H889" i="2"/>
  <c r="H882" i="2"/>
  <c r="H875" i="2"/>
  <c r="H868" i="2"/>
  <c r="H861" i="2"/>
  <c r="H851" i="2"/>
  <c r="H832" i="2"/>
  <c r="H833" i="2" s="1"/>
  <c r="H828" i="2"/>
  <c r="H844" i="2" l="1"/>
  <c r="H845" i="2" s="1"/>
  <c r="H849" i="2"/>
  <c r="H848" i="2"/>
  <c r="H850" i="2"/>
  <c r="H847" i="2"/>
  <c r="H836" i="2"/>
  <c r="H834" i="2"/>
  <c r="H837" i="2"/>
  <c r="H947" i="2" s="1"/>
  <c r="H839" i="2" l="1"/>
  <c r="H838" i="2"/>
  <c r="H840" i="2" s="1"/>
  <c r="V564" i="1" l="1"/>
  <c r="A58" i="33" l="1"/>
  <c r="A59" i="33"/>
  <c r="A60" i="33"/>
  <c r="A61" i="33"/>
  <c r="A62" i="33"/>
  <c r="A63" i="33"/>
  <c r="A64" i="33"/>
  <c r="A65" i="33"/>
  <c r="A66" i="33"/>
  <c r="A67" i="33"/>
  <c r="A68" i="33"/>
  <c r="A69" i="33"/>
  <c r="A70" i="33"/>
  <c r="A71" i="33"/>
  <c r="A72" i="33"/>
  <c r="A56" i="33"/>
  <c r="E800" i="2" l="1"/>
  <c r="F114" i="1" l="1"/>
  <c r="W947" i="2" l="1"/>
  <c r="U949" i="2" l="1"/>
  <c r="X949" i="2" l="1"/>
  <c r="Y949" i="2" s="1"/>
  <c r="Z949" i="2" s="1"/>
  <c r="D37" i="26" l="1"/>
  <c r="E37" i="26" s="1"/>
  <c r="D37" i="25"/>
  <c r="E37" i="25" s="1"/>
  <c r="D37" i="21"/>
  <c r="E37" i="21" s="1"/>
  <c r="F652" i="2" l="1"/>
  <c r="F115" i="1"/>
  <c r="F61" i="1" l="1"/>
  <c r="F60" i="1"/>
  <c r="H32" i="33" l="1"/>
  <c r="H33" i="33"/>
  <c r="H35" i="33"/>
  <c r="H36" i="33"/>
  <c r="H37" i="33"/>
  <c r="H38" i="33"/>
  <c r="H39" i="33"/>
  <c r="H40" i="33"/>
  <c r="H41" i="33"/>
  <c r="H42" i="33"/>
  <c r="H43" i="33"/>
  <c r="H44" i="33"/>
  <c r="H46" i="33"/>
  <c r="H47" i="33"/>
  <c r="V898" i="2" l="1"/>
  <c r="V884" i="2" l="1"/>
  <c r="W863" i="2"/>
  <c r="W870" i="2" s="1"/>
  <c r="W891" i="2"/>
  <c r="V891" i="2"/>
  <c r="V863" i="2"/>
  <c r="V870" i="2" s="1"/>
  <c r="A42" i="7"/>
  <c r="E46" i="6"/>
  <c r="G46" i="6" s="1"/>
  <c r="W877" i="2" l="1"/>
  <c r="D42" i="7"/>
  <c r="E42" i="7" s="1"/>
  <c r="V877" i="2"/>
  <c r="W831" i="2"/>
  <c r="F127" i="1" l="1"/>
  <c r="F125" i="1"/>
  <c r="F36" i="1"/>
  <c r="F35" i="1"/>
  <c r="F106" i="1"/>
  <c r="F105" i="1"/>
  <c r="F102" i="1"/>
  <c r="F101" i="1"/>
  <c r="F100" i="1"/>
  <c r="F99" i="1"/>
  <c r="F74" i="1"/>
  <c r="F73" i="1"/>
  <c r="F71" i="1"/>
  <c r="F57" i="1"/>
  <c r="F41" i="1" l="1"/>
  <c r="F29" i="1"/>
  <c r="F24" i="1"/>
  <c r="F20" i="1"/>
  <c r="F16" i="1"/>
  <c r="F327" i="1" l="1"/>
  <c r="F535" i="1" l="1"/>
  <c r="F516" i="1"/>
  <c r="F522" i="1"/>
  <c r="F297" i="1"/>
  <c r="F236" i="1"/>
  <c r="F223" i="1"/>
  <c r="F218" i="1"/>
  <c r="F165" i="1"/>
  <c r="F154" i="1"/>
  <c r="F153" i="1"/>
  <c r="O971" i="2" l="1"/>
  <c r="N971" i="2"/>
  <c r="P969" i="2"/>
  <c r="O969" i="2"/>
  <c r="N969" i="2"/>
  <c r="N653" i="2"/>
  <c r="O653" i="2"/>
  <c r="P653" i="2"/>
  <c r="E20" i="6"/>
  <c r="E18" i="6"/>
  <c r="E16" i="6"/>
  <c r="E14" i="6"/>
  <c r="W826" i="2"/>
  <c r="D12" i="8"/>
  <c r="F41" i="8" l="1"/>
  <c r="E41" i="8"/>
  <c r="D41" i="8"/>
  <c r="F157" i="1" l="1"/>
  <c r="F133" i="1"/>
  <c r="F128" i="1"/>
  <c r="F116" i="1"/>
  <c r="F37" i="1"/>
  <c r="W566" i="1" l="1"/>
  <c r="V566" i="1"/>
  <c r="Y564" i="1"/>
  <c r="X564" i="1"/>
  <c r="W564" i="1"/>
  <c r="X566" i="1"/>
  <c r="Y566" i="1"/>
  <c r="U913" i="2" l="1"/>
  <c r="U920" i="2" s="1"/>
  <c r="F898" i="2" l="1"/>
  <c r="U941" i="2" l="1"/>
  <c r="U843" i="2" l="1"/>
  <c r="U847" i="2" s="1"/>
  <c r="R843" i="2"/>
  <c r="L843" i="2"/>
  <c r="K843" i="2"/>
  <c r="J843" i="2"/>
  <c r="M843" i="2"/>
  <c r="N843" i="2"/>
  <c r="S843" i="2"/>
  <c r="O843" i="2"/>
  <c r="U848" i="2" l="1"/>
  <c r="U850" i="2"/>
  <c r="U851" i="2"/>
  <c r="F661" i="2"/>
  <c r="G36" i="8" l="1"/>
  <c r="G32" i="8"/>
  <c r="G30" i="8"/>
  <c r="G28" i="8"/>
  <c r="G41" i="8" l="1"/>
  <c r="F156" i="1"/>
  <c r="B28" i="8" l="1"/>
  <c r="B34" i="8"/>
  <c r="B32" i="8"/>
  <c r="B30" i="8"/>
  <c r="B26" i="8"/>
  <c r="B24" i="8"/>
  <c r="B22" i="8"/>
  <c r="B20" i="8"/>
  <c r="C20" i="8"/>
  <c r="C18" i="8"/>
  <c r="B18" i="8"/>
  <c r="C16" i="8"/>
  <c r="B16" i="8"/>
  <c r="C14" i="8"/>
  <c r="C12" i="8"/>
  <c r="B14" i="8"/>
  <c r="B12" i="8"/>
  <c r="B41" i="8" s="1"/>
  <c r="C41" i="8" l="1"/>
  <c r="C16" i="7"/>
  <c r="C36" i="7"/>
  <c r="D40" i="6" l="1"/>
  <c r="D38" i="6"/>
  <c r="D36" i="6"/>
  <c r="U784" i="2" l="1"/>
  <c r="X784" i="2" s="1"/>
  <c r="Y784" i="2" s="1"/>
  <c r="F798" i="2"/>
  <c r="F797" i="2" l="1"/>
  <c r="X783" i="2" l="1"/>
  <c r="Y783" i="2" s="1"/>
  <c r="H51" i="26" l="1"/>
  <c r="K37" i="26"/>
  <c r="L37" i="26" s="1"/>
  <c r="G34" i="26"/>
  <c r="K34" i="26" s="1"/>
  <c r="L34" i="26" s="1"/>
  <c r="F33" i="26"/>
  <c r="E32" i="26"/>
  <c r="K32" i="26" s="1"/>
  <c r="L32" i="26" s="1"/>
  <c r="H51" i="25"/>
  <c r="K37" i="25"/>
  <c r="L37" i="25" s="1"/>
  <c r="G34" i="25"/>
  <c r="K34" i="25" s="1"/>
  <c r="L34" i="25" s="1"/>
  <c r="F33" i="25"/>
  <c r="E32" i="25"/>
  <c r="K32" i="25" s="1"/>
  <c r="L32" i="25" s="1"/>
  <c r="H51" i="21"/>
  <c r="K37" i="21"/>
  <c r="L37" i="21" s="1"/>
  <c r="G34" i="21"/>
  <c r="K34" i="21" s="1"/>
  <c r="L34" i="21" s="1"/>
  <c r="F33" i="21"/>
  <c r="E32" i="21"/>
  <c r="K32" i="21" s="1"/>
  <c r="L32" i="21" s="1"/>
  <c r="H51" i="20"/>
  <c r="K33" i="26" l="1"/>
  <c r="L33" i="26" s="1"/>
  <c r="K33" i="25"/>
  <c r="L33" i="25" s="1"/>
  <c r="K33" i="21"/>
  <c r="L33" i="21" s="1"/>
  <c r="K37" i="20" l="1"/>
  <c r="L37" i="20" s="1"/>
  <c r="G34" i="20"/>
  <c r="K34" i="20" s="1"/>
  <c r="L34" i="20" s="1"/>
  <c r="F33" i="20"/>
  <c r="E32" i="20"/>
  <c r="K32" i="20" s="1"/>
  <c r="L32" i="20" s="1"/>
  <c r="K33" i="20" l="1"/>
  <c r="L33" i="20" s="1"/>
  <c r="H51" i="19" l="1"/>
  <c r="G51" i="19"/>
  <c r="K37" i="19"/>
  <c r="L37" i="19" s="1"/>
  <c r="G34" i="19"/>
  <c r="K34" i="19" s="1"/>
  <c r="L34" i="19" s="1"/>
  <c r="F33" i="19"/>
  <c r="E32" i="19"/>
  <c r="K32" i="19" s="1"/>
  <c r="L32" i="19" s="1"/>
  <c r="K33" i="19" l="1"/>
  <c r="L33" i="19" s="1"/>
  <c r="H51" i="17" l="1"/>
  <c r="K37" i="17"/>
  <c r="L37" i="17" s="1"/>
  <c r="G34" i="17"/>
  <c r="K34" i="17" s="1"/>
  <c r="L34" i="17" s="1"/>
  <c r="F33" i="17"/>
  <c r="E32" i="17"/>
  <c r="K32" i="17" s="1"/>
  <c r="L32" i="17" s="1"/>
  <c r="E51" i="27"/>
  <c r="K37" i="32"/>
  <c r="L37" i="32" s="1"/>
  <c r="G34" i="32"/>
  <c r="K34" i="32" s="1"/>
  <c r="L34" i="32" s="1"/>
  <c r="F33" i="32"/>
  <c r="K33" i="32" s="1"/>
  <c r="L33" i="32" s="1"/>
  <c r="E32" i="32"/>
  <c r="K32" i="32" s="1"/>
  <c r="L32" i="32" s="1"/>
  <c r="G51" i="17" l="1"/>
  <c r="K33" i="17"/>
  <c r="L33" i="17" s="1"/>
  <c r="F665" i="2" l="1"/>
  <c r="F541" i="1"/>
  <c r="F539" i="1"/>
  <c r="F537" i="1"/>
  <c r="F531" i="1"/>
  <c r="F530" i="1"/>
  <c r="F529" i="1"/>
  <c r="F524" i="1"/>
  <c r="F523" i="1"/>
  <c r="F521" i="1"/>
  <c r="F520" i="1"/>
  <c r="F519" i="1"/>
  <c r="F518" i="1"/>
  <c r="F517" i="1"/>
  <c r="F591" i="1"/>
  <c r="F590" i="1"/>
  <c r="F589" i="1"/>
  <c r="F504" i="1"/>
  <c r="F503" i="1"/>
  <c r="F502" i="1"/>
  <c r="F501" i="1"/>
  <c r="F500" i="1"/>
  <c r="F499" i="1"/>
  <c r="F498" i="1"/>
  <c r="F497" i="1"/>
  <c r="F496" i="1"/>
  <c r="F495" i="1"/>
  <c r="F494" i="1"/>
  <c r="F493" i="1"/>
  <c r="F483" i="1"/>
  <c r="F482" i="1"/>
  <c r="F481" i="1"/>
  <c r="F480" i="1"/>
  <c r="F479" i="1"/>
  <c r="F477" i="1"/>
  <c r="F475" i="1"/>
  <c r="F474" i="1"/>
  <c r="F469" i="1"/>
  <c r="F468" i="1"/>
  <c r="F467" i="1"/>
  <c r="F466" i="1"/>
  <c r="F465" i="1"/>
  <c r="F454" i="1"/>
  <c r="F453" i="1"/>
  <c r="F452" i="1"/>
  <c r="F451" i="1"/>
  <c r="F450" i="1"/>
  <c r="F449" i="1"/>
  <c r="F448" i="1"/>
  <c r="F447" i="1"/>
  <c r="F446" i="1"/>
  <c r="F438" i="1"/>
  <c r="F437" i="1"/>
  <c r="F436" i="1"/>
  <c r="F434" i="1"/>
  <c r="F433" i="1"/>
  <c r="F432" i="1"/>
  <c r="F431" i="1"/>
  <c r="F430" i="1"/>
  <c r="F429" i="1"/>
  <c r="F428" i="1"/>
  <c r="F423" i="1"/>
  <c r="F422" i="1"/>
  <c r="F421" i="1"/>
  <c r="F420" i="1"/>
  <c r="F419" i="1"/>
  <c r="F418" i="1"/>
  <c r="F417" i="1"/>
  <c r="F416" i="1"/>
  <c r="F415" i="1"/>
  <c r="F414" i="1"/>
  <c r="F407" i="1"/>
  <c r="F406" i="1"/>
  <c r="F405" i="1"/>
  <c r="F396" i="1"/>
  <c r="F395" i="1"/>
  <c r="F394" i="1"/>
  <c r="F393" i="1"/>
  <c r="F388" i="1"/>
  <c r="F387" i="1"/>
  <c r="F386" i="1"/>
  <c r="F385" i="1"/>
  <c r="F384" i="1"/>
  <c r="F375" i="1"/>
  <c r="F374" i="1"/>
  <c r="F373" i="1"/>
  <c r="F372" i="1"/>
  <c r="F371" i="1"/>
  <c r="F365" i="1"/>
  <c r="F364" i="1"/>
  <c r="F361" i="1"/>
  <c r="F354" i="1"/>
  <c r="F353" i="1"/>
  <c r="F352" i="1"/>
  <c r="F351" i="1"/>
  <c r="F350" i="1"/>
  <c r="F345" i="1"/>
  <c r="F344" i="1"/>
  <c r="F343" i="1"/>
  <c r="F342" i="1"/>
  <c r="F341" i="1"/>
  <c r="F340" i="1"/>
  <c r="F329" i="1"/>
  <c r="F328" i="1"/>
  <c r="F326" i="1"/>
  <c r="F325" i="1"/>
  <c r="F324" i="1"/>
  <c r="F323" i="1"/>
  <c r="F322" i="1"/>
  <c r="F321" i="1"/>
  <c r="F320" i="1"/>
  <c r="F319" i="1"/>
  <c r="F318" i="1"/>
  <c r="F305" i="1"/>
  <c r="F303" i="1"/>
  <c r="F302" i="1"/>
  <c r="F301" i="1"/>
  <c r="F299" i="1"/>
  <c r="F296" i="1"/>
  <c r="F291" i="1"/>
  <c r="F290" i="1"/>
  <c r="F289" i="1"/>
  <c r="F288" i="1"/>
  <c r="F287" i="1"/>
  <c r="F276" i="1"/>
  <c r="F275" i="1"/>
  <c r="F274" i="1"/>
  <c r="F273" i="1"/>
  <c r="F272" i="1"/>
  <c r="F271" i="1"/>
  <c r="F270" i="1"/>
  <c r="F269" i="1"/>
  <c r="F268" i="1"/>
  <c r="F261" i="1"/>
  <c r="F259" i="1"/>
  <c r="F258" i="1"/>
  <c r="F256" i="1"/>
  <c r="F255" i="1"/>
  <c r="F254" i="1"/>
  <c r="F253" i="1"/>
  <c r="F252" i="1"/>
  <c r="F251" i="1"/>
  <c r="F250" i="1"/>
  <c r="F245" i="1"/>
  <c r="F244" i="1"/>
  <c r="F243" i="1"/>
  <c r="F242" i="1"/>
  <c r="F241" i="1"/>
  <c r="F240" i="1"/>
  <c r="F239" i="1"/>
  <c r="F238" i="1"/>
  <c r="F237" i="1"/>
  <c r="F235" i="1"/>
  <c r="F234" i="1"/>
  <c r="F233" i="1"/>
  <c r="F232" i="1"/>
  <c r="F222" i="1"/>
  <c r="F209" i="1"/>
  <c r="F208" i="1"/>
  <c r="F207" i="1"/>
  <c r="F206" i="1"/>
  <c r="F201" i="1"/>
  <c r="F200" i="1"/>
  <c r="F199" i="1"/>
  <c r="F198" i="1"/>
  <c r="F197" i="1"/>
  <c r="F188" i="1"/>
  <c r="F187" i="1"/>
  <c r="F186" i="1"/>
  <c r="F185" i="1"/>
  <c r="F184" i="1"/>
  <c r="F179" i="1"/>
  <c r="F178" i="1"/>
  <c r="F177" i="1"/>
  <c r="F176" i="1"/>
  <c r="F175" i="1"/>
  <c r="F174" i="1"/>
  <c r="F167" i="1"/>
  <c r="F166" i="1"/>
  <c r="F164" i="1"/>
  <c r="F163" i="1"/>
  <c r="F155" i="1"/>
  <c r="F152" i="1"/>
  <c r="X653" i="2" l="1"/>
  <c r="X941" i="2" l="1"/>
  <c r="Y941" i="2" s="1"/>
  <c r="Z941" i="2" s="1"/>
  <c r="T851" i="2" l="1"/>
  <c r="S847" i="2"/>
  <c r="R844" i="2"/>
  <c r="R845" i="2" s="1"/>
  <c r="P843" i="2"/>
  <c r="P844" i="2" s="1"/>
  <c r="P845" i="2" s="1"/>
  <c r="O847" i="2"/>
  <c r="M848" i="2"/>
  <c r="N848" i="2"/>
  <c r="M847" i="2"/>
  <c r="K851" i="2"/>
  <c r="L848" i="2"/>
  <c r="S844" i="2"/>
  <c r="S845" i="2" s="1"/>
  <c r="S848" i="2" s="1"/>
  <c r="M844" i="2"/>
  <c r="M845" i="2" s="1"/>
  <c r="J844" i="2"/>
  <c r="J845" i="2" s="1"/>
  <c r="I849" i="2"/>
  <c r="G848" i="2"/>
  <c r="L844" i="2" l="1"/>
  <c r="L845" i="2" s="1"/>
  <c r="P847" i="2"/>
  <c r="M850" i="2"/>
  <c r="K844" i="2"/>
  <c r="K845" i="2" s="1"/>
  <c r="P848" i="2"/>
  <c r="I851" i="2"/>
  <c r="L847" i="2"/>
  <c r="N847" i="2"/>
  <c r="T847" i="2"/>
  <c r="I847" i="2"/>
  <c r="T848" i="2"/>
  <c r="I844" i="2"/>
  <c r="I845" i="2" s="1"/>
  <c r="I850" i="2"/>
  <c r="T844" i="2"/>
  <c r="T845" i="2" s="1"/>
  <c r="M851" i="2"/>
  <c r="T850" i="2"/>
  <c r="R849" i="2"/>
  <c r="R850" i="2"/>
  <c r="R848" i="2"/>
  <c r="R851" i="2"/>
  <c r="S849" i="2"/>
  <c r="G844" i="2"/>
  <c r="G845" i="2" s="1"/>
  <c r="L850" i="2"/>
  <c r="R847" i="2"/>
  <c r="S850" i="2"/>
  <c r="G847" i="2"/>
  <c r="G851" i="2"/>
  <c r="I848" i="2"/>
  <c r="N844" i="2"/>
  <c r="N845" i="2" s="1"/>
  <c r="K847" i="2"/>
  <c r="N850" i="2"/>
  <c r="S851" i="2"/>
  <c r="G849" i="2"/>
  <c r="G850" i="2"/>
  <c r="O844" i="2"/>
  <c r="O845" i="2" s="1"/>
  <c r="O848" i="2"/>
  <c r="K848" i="2"/>
  <c r="K850" i="2"/>
  <c r="X913" i="2"/>
  <c r="Y913" i="2" s="1"/>
  <c r="Z913" i="2" s="1"/>
  <c r="X934" i="2" l="1"/>
  <c r="Y934" i="2" s="1"/>
  <c r="Z934" i="2" s="1"/>
  <c r="X927" i="2"/>
  <c r="Y927" i="2" s="1"/>
  <c r="Z927" i="2" s="1"/>
  <c r="X920" i="2"/>
  <c r="Y920" i="2" s="1"/>
  <c r="Z920" i="2" s="1"/>
  <c r="X877" i="2"/>
  <c r="Y877" i="2" s="1"/>
  <c r="Z877" i="2" s="1"/>
  <c r="W896" i="2"/>
  <c r="W861" i="2"/>
  <c r="W868" i="2"/>
  <c r="W875" i="2"/>
  <c r="W882" i="2"/>
  <c r="W889" i="2"/>
  <c r="X891" i="2"/>
  <c r="Y891" i="2" s="1"/>
  <c r="Z891" i="2" s="1"/>
  <c r="X884" i="2"/>
  <c r="Y884" i="2" s="1"/>
  <c r="Z884" i="2" s="1"/>
  <c r="X870" i="2" l="1"/>
  <c r="Y870" i="2" s="1"/>
  <c r="Z870" i="2" s="1"/>
  <c r="X906" i="2"/>
  <c r="Y906" i="2" s="1"/>
  <c r="Z906" i="2" s="1"/>
  <c r="X898" i="2"/>
  <c r="Y898" i="2" s="1"/>
  <c r="Z898" i="2" s="1"/>
  <c r="X863" i="2"/>
  <c r="Y863" i="2" s="1"/>
  <c r="Z863" i="2" s="1"/>
  <c r="N970" i="2"/>
  <c r="P971" i="2"/>
  <c r="X969" i="2" l="1"/>
  <c r="Y969" i="2" s="1"/>
  <c r="X971" i="2"/>
  <c r="Y971" i="2" s="1"/>
  <c r="O970" i="2"/>
  <c r="F737" i="2"/>
  <c r="X961" i="2" l="1"/>
  <c r="Y961" i="2" s="1"/>
  <c r="Z961" i="2" s="1"/>
  <c r="V963" i="2"/>
  <c r="U963" i="2"/>
  <c r="T963" i="2"/>
  <c r="S963" i="2"/>
  <c r="R963" i="2"/>
  <c r="Q963" i="2"/>
  <c r="P963" i="2"/>
  <c r="O963" i="2"/>
  <c r="N963" i="2"/>
  <c r="M963" i="2"/>
  <c r="L963" i="2"/>
  <c r="K963" i="2"/>
  <c r="J963" i="2"/>
  <c r="I963" i="2"/>
  <c r="G963" i="2"/>
  <c r="F663" i="2"/>
  <c r="F666" i="2" l="1"/>
  <c r="U666" i="2" s="1"/>
  <c r="F664" i="2"/>
  <c r="F662" i="2"/>
  <c r="F660" i="2"/>
  <c r="F659" i="2"/>
  <c r="F658" i="2"/>
  <c r="F657" i="2"/>
  <c r="F656" i="2"/>
  <c r="F655" i="2"/>
  <c r="F654" i="2"/>
  <c r="W862" i="2"/>
  <c r="V820" i="2"/>
  <c r="W820" i="2"/>
  <c r="V821" i="2"/>
  <c r="W821" i="2"/>
  <c r="W828" i="2"/>
  <c r="V858" i="2"/>
  <c r="U858" i="2"/>
  <c r="T858" i="2"/>
  <c r="S858" i="2"/>
  <c r="R858" i="2"/>
  <c r="Q858" i="2"/>
  <c r="P858" i="2"/>
  <c r="O858" i="2"/>
  <c r="N858" i="2"/>
  <c r="M858" i="2"/>
  <c r="L858" i="2"/>
  <c r="K858" i="2"/>
  <c r="J858" i="2"/>
  <c r="I858" i="2"/>
  <c r="G858" i="2"/>
  <c r="J882" i="2" l="1"/>
  <c r="J889" i="2"/>
  <c r="J896" i="2"/>
  <c r="V889" i="2"/>
  <c r="V896" i="2"/>
  <c r="V882" i="2"/>
  <c r="V861" i="2"/>
  <c r="K889" i="2"/>
  <c r="K896" i="2"/>
  <c r="K882" i="2"/>
  <c r="O889" i="2"/>
  <c r="O896" i="2"/>
  <c r="O882" i="2"/>
  <c r="S889" i="2"/>
  <c r="S896" i="2"/>
  <c r="S882" i="2"/>
  <c r="R896" i="2"/>
  <c r="R882" i="2"/>
  <c r="R889" i="2"/>
  <c r="G896" i="2"/>
  <c r="G882" i="2"/>
  <c r="G889" i="2"/>
  <c r="L896" i="2"/>
  <c r="L882" i="2"/>
  <c r="L889" i="2"/>
  <c r="P896" i="2"/>
  <c r="P882" i="2"/>
  <c r="P889" i="2"/>
  <c r="T896" i="2"/>
  <c r="T882" i="2"/>
  <c r="T889" i="2"/>
  <c r="N889" i="2"/>
  <c r="N896" i="2"/>
  <c r="N882" i="2"/>
  <c r="I889" i="2"/>
  <c r="I896" i="2"/>
  <c r="I882" i="2"/>
  <c r="M882" i="2"/>
  <c r="M889" i="2"/>
  <c r="M896" i="2"/>
  <c r="Q889" i="2"/>
  <c r="Q896" i="2"/>
  <c r="Q882" i="2"/>
  <c r="U861" i="2"/>
  <c r="U889" i="2"/>
  <c r="U896" i="2"/>
  <c r="U882" i="2"/>
  <c r="J875" i="2"/>
  <c r="J868" i="2"/>
  <c r="J861" i="2"/>
  <c r="R875" i="2"/>
  <c r="R868" i="2"/>
  <c r="R861" i="2"/>
  <c r="K868" i="2"/>
  <c r="K875" i="2"/>
  <c r="K861" i="2"/>
  <c r="O868" i="2"/>
  <c r="O875" i="2"/>
  <c r="O861" i="2"/>
  <c r="S868" i="2"/>
  <c r="S875" i="2"/>
  <c r="S861" i="2"/>
  <c r="G868" i="2"/>
  <c r="G875" i="2"/>
  <c r="G861" i="2"/>
  <c r="L868" i="2"/>
  <c r="L875" i="2"/>
  <c r="L861" i="2"/>
  <c r="P868" i="2"/>
  <c r="P875" i="2"/>
  <c r="P861" i="2"/>
  <c r="T868" i="2"/>
  <c r="T875" i="2"/>
  <c r="T861" i="2"/>
  <c r="N875" i="2"/>
  <c r="N868" i="2"/>
  <c r="N861" i="2"/>
  <c r="V875" i="2"/>
  <c r="V868" i="2"/>
  <c r="I875" i="2"/>
  <c r="I868" i="2"/>
  <c r="I861" i="2"/>
  <c r="M875" i="2"/>
  <c r="M868" i="2"/>
  <c r="M861" i="2"/>
  <c r="Q875" i="2"/>
  <c r="Q868" i="2"/>
  <c r="Q861" i="2"/>
  <c r="U875" i="2"/>
  <c r="U868" i="2"/>
  <c r="X858" i="2"/>
  <c r="X861" i="2" l="1"/>
  <c r="X868" i="2"/>
  <c r="X875" i="2"/>
  <c r="V856" i="2" l="1"/>
  <c r="U856" i="2"/>
  <c r="T856" i="2"/>
  <c r="M856" i="2"/>
  <c r="K856" i="2"/>
  <c r="J856" i="2"/>
  <c r="I856" i="2"/>
  <c r="I857" i="2" s="1"/>
  <c r="G856" i="2"/>
  <c r="V854" i="2"/>
  <c r="V855" i="2" s="1"/>
  <c r="U854" i="2"/>
  <c r="U855" i="2" s="1"/>
  <c r="T854" i="2"/>
  <c r="T855" i="2" s="1"/>
  <c r="S854" i="2"/>
  <c r="S855" i="2" s="1"/>
  <c r="R854" i="2"/>
  <c r="R855" i="2" s="1"/>
  <c r="Q854" i="2"/>
  <c r="Q855" i="2" s="1"/>
  <c r="P854" i="2"/>
  <c r="O854" i="2"/>
  <c r="N854" i="2"/>
  <c r="N855" i="2" s="1"/>
  <c r="M854" i="2"/>
  <c r="M855" i="2" s="1"/>
  <c r="L854" i="2"/>
  <c r="L855" i="2" s="1"/>
  <c r="K854" i="2"/>
  <c r="K855" i="2" s="1"/>
  <c r="J854" i="2"/>
  <c r="J855" i="2" s="1"/>
  <c r="I854" i="2"/>
  <c r="I855" i="2" s="1"/>
  <c r="G854" i="2"/>
  <c r="G857" i="2" l="1"/>
  <c r="G855" i="2"/>
  <c r="X854" i="2"/>
  <c r="U857" i="2"/>
  <c r="J857" i="2"/>
  <c r="V857" i="2"/>
  <c r="P840" i="2"/>
  <c r="O840" i="2"/>
  <c r="N840" i="2"/>
  <c r="L840" i="2"/>
  <c r="X855" i="2" l="1"/>
  <c r="Y855" i="2" s="1"/>
  <c r="Z855" i="2" s="1"/>
  <c r="V831" i="2"/>
  <c r="V832" i="2" s="1"/>
  <c r="U831" i="2"/>
  <c r="V827" i="2"/>
  <c r="V828" i="2" s="1"/>
  <c r="U827" i="2"/>
  <c r="S827" i="2"/>
  <c r="Q827" i="2"/>
  <c r="I827" i="2"/>
  <c r="G827" i="2"/>
  <c r="W723" i="2"/>
  <c r="W722" i="2"/>
  <c r="W721" i="2"/>
  <c r="W720" i="2"/>
  <c r="V826" i="2"/>
  <c r="U826" i="2"/>
  <c r="T826" i="2"/>
  <c r="S826" i="2"/>
  <c r="R826" i="2"/>
  <c r="Q826" i="2"/>
  <c r="P826" i="2"/>
  <c r="O826" i="2"/>
  <c r="N826" i="2"/>
  <c r="M826" i="2"/>
  <c r="L826" i="2"/>
  <c r="K826" i="2"/>
  <c r="J826" i="2"/>
  <c r="I826" i="2"/>
  <c r="G826" i="2"/>
  <c r="Q828" i="2" l="1"/>
  <c r="U828" i="2"/>
  <c r="V833" i="2"/>
  <c r="V837" i="2" s="1"/>
  <c r="V843" i="2"/>
  <c r="V844" i="2" s="1"/>
  <c r="V845" i="2" s="1"/>
  <c r="X826" i="2"/>
  <c r="S856" i="2"/>
  <c r="S857" i="2" s="1"/>
  <c r="R856" i="2"/>
  <c r="R857" i="2" s="1"/>
  <c r="Q856" i="2"/>
  <c r="V834" i="2" l="1"/>
  <c r="V848" i="2"/>
  <c r="V947" i="2"/>
  <c r="V836" i="2"/>
  <c r="V847" i="2" s="1"/>
  <c r="X856" i="2"/>
  <c r="Y856" i="2" s="1"/>
  <c r="Z856" i="2" s="1"/>
  <c r="Q857" i="2"/>
  <c r="X857" i="2" s="1"/>
  <c r="Y857" i="2" s="1"/>
  <c r="Z857" i="2" s="1"/>
  <c r="V839" i="2"/>
  <c r="V850" i="2" s="1"/>
  <c r="V838" i="2"/>
  <c r="V849" i="2" s="1"/>
  <c r="C40" i="6"/>
  <c r="V840" i="2" l="1"/>
  <c r="V851" i="2" s="1"/>
  <c r="A40" i="6"/>
  <c r="A36" i="7" s="1"/>
  <c r="A40" i="7" l="1"/>
  <c r="A38" i="7"/>
  <c r="E44" i="6"/>
  <c r="G44" i="6" s="1"/>
  <c r="E42" i="6"/>
  <c r="D38" i="7" s="1"/>
  <c r="E38" i="7" s="1"/>
  <c r="L55" i="27"/>
  <c r="L55" i="32" l="1"/>
  <c r="M55" i="32" s="1"/>
  <c r="M59" i="32" s="1"/>
  <c r="V939" i="2"/>
  <c r="V904" i="2"/>
  <c r="V918" i="2"/>
  <c r="V932" i="2"/>
  <c r="V925" i="2"/>
  <c r="V911" i="2"/>
  <c r="D16" i="7"/>
  <c r="M55" i="27"/>
  <c r="M59" i="27" s="1"/>
  <c r="L59" i="27"/>
  <c r="D14" i="7"/>
  <c r="D40" i="7"/>
  <c r="E40" i="7" s="1"/>
  <c r="G42" i="6"/>
  <c r="L59" i="32" l="1"/>
  <c r="U939" i="2"/>
  <c r="U918" i="2"/>
  <c r="U911" i="2"/>
  <c r="U932" i="2"/>
  <c r="U925" i="2"/>
  <c r="U904" i="2"/>
  <c r="Q831" i="2" l="1"/>
  <c r="E34" i="6"/>
  <c r="T827" i="2"/>
  <c r="R827" i="2"/>
  <c r="J831" i="2"/>
  <c r="I831" i="2"/>
  <c r="I51" i="27" s="1"/>
  <c r="R828" i="2" l="1"/>
  <c r="F51" i="26"/>
  <c r="P827" i="2"/>
  <c r="G831" i="2"/>
  <c r="E10" i="6"/>
  <c r="K831" i="2"/>
  <c r="E22" i="6"/>
  <c r="D18" i="7" s="1"/>
  <c r="R831" i="2"/>
  <c r="E36" i="6"/>
  <c r="F51" i="19"/>
  <c r="L827" i="2"/>
  <c r="F51" i="20"/>
  <c r="M827" i="2"/>
  <c r="F51" i="25"/>
  <c r="O827" i="2"/>
  <c r="E51" i="32"/>
  <c r="J827" i="2"/>
  <c r="F51" i="21"/>
  <c r="N827" i="2"/>
  <c r="T831" i="2"/>
  <c r="E40" i="6"/>
  <c r="M831" i="2"/>
  <c r="E26" i="6"/>
  <c r="O831" i="2"/>
  <c r="E30" i="6"/>
  <c r="F51" i="17"/>
  <c r="K827" i="2"/>
  <c r="I51" i="32"/>
  <c r="J51" i="32" s="1"/>
  <c r="L831" i="2"/>
  <c r="E24" i="6"/>
  <c r="N831" i="2"/>
  <c r="E28" i="6"/>
  <c r="P831" i="2"/>
  <c r="E32" i="6"/>
  <c r="S831" i="2"/>
  <c r="E38" i="6"/>
  <c r="F854" i="2"/>
  <c r="F858" i="2"/>
  <c r="F827" i="2"/>
  <c r="G956" i="2" l="1"/>
  <c r="G959" i="2"/>
  <c r="G957" i="2"/>
  <c r="G958" i="2"/>
  <c r="H959" i="2"/>
  <c r="H957" i="2"/>
  <c r="H956" i="2"/>
  <c r="H958" i="2"/>
  <c r="Y854" i="2"/>
  <c r="Z854" i="2" s="1"/>
  <c r="O828" i="2"/>
  <c r="L828" i="2"/>
  <c r="P828" i="2"/>
  <c r="J959" i="2"/>
  <c r="M956" i="2"/>
  <c r="M959" i="2"/>
  <c r="M958" i="2"/>
  <c r="M957" i="2"/>
  <c r="P957" i="2"/>
  <c r="P956" i="2"/>
  <c r="P958" i="2"/>
  <c r="P959" i="2"/>
  <c r="L957" i="2"/>
  <c r="L958" i="2"/>
  <c r="L956" i="2"/>
  <c r="L959" i="2"/>
  <c r="J956" i="2"/>
  <c r="O959" i="2"/>
  <c r="O957" i="2"/>
  <c r="O956" i="2"/>
  <c r="O958" i="2"/>
  <c r="J957" i="2"/>
  <c r="N958" i="2"/>
  <c r="N959" i="2"/>
  <c r="N957" i="2"/>
  <c r="N956" i="2"/>
  <c r="K959" i="2"/>
  <c r="K956" i="2"/>
  <c r="K958" i="2"/>
  <c r="K957" i="2"/>
  <c r="J958" i="2"/>
  <c r="X827" i="2"/>
  <c r="Y827" i="2" s="1"/>
  <c r="Z827" i="2" s="1"/>
  <c r="I51" i="19"/>
  <c r="J51" i="19" s="1"/>
  <c r="D36" i="7"/>
  <c r="E36" i="7" s="1"/>
  <c r="G40" i="6"/>
  <c r="I51" i="25"/>
  <c r="J51" i="25" s="1"/>
  <c r="F51" i="32"/>
  <c r="G51" i="32"/>
  <c r="H51" i="32"/>
  <c r="I51" i="14"/>
  <c r="X831" i="2"/>
  <c r="Y831" i="2" s="1"/>
  <c r="Z831" i="2" s="1"/>
  <c r="I51" i="26"/>
  <c r="J51" i="26" s="1"/>
  <c r="F896" i="2"/>
  <c r="F861" i="2"/>
  <c r="F868" i="2"/>
  <c r="F875" i="2"/>
  <c r="F882" i="2"/>
  <c r="F889" i="2"/>
  <c r="Y858" i="2"/>
  <c r="Z858" i="2" s="1"/>
  <c r="I51" i="21"/>
  <c r="J51" i="21" s="1"/>
  <c r="I51" i="20"/>
  <c r="J51" i="20" s="1"/>
  <c r="I51" i="17"/>
  <c r="J51" i="17" s="1"/>
  <c r="F826" i="2"/>
  <c r="F651" i="2" s="1"/>
  <c r="F736" i="2"/>
  <c r="X963" i="2"/>
  <c r="S832" i="2"/>
  <c r="R832" i="2"/>
  <c r="L832" i="2"/>
  <c r="J832" i="2"/>
  <c r="J833" i="2" s="1"/>
  <c r="J834" i="2" s="1"/>
  <c r="T832" i="2"/>
  <c r="P832" i="2"/>
  <c r="K832" i="2"/>
  <c r="G832" i="2"/>
  <c r="M828" i="2"/>
  <c r="J828" i="2"/>
  <c r="I828" i="2"/>
  <c r="T828" i="2"/>
  <c r="S828" i="2"/>
  <c r="N828" i="2"/>
  <c r="K828" i="2"/>
  <c r="G828" i="2"/>
  <c r="F800" i="2"/>
  <c r="F745" i="2"/>
  <c r="F738" i="2"/>
  <c r="Y723" i="2"/>
  <c r="Z723" i="2" s="1"/>
  <c r="Y722" i="2"/>
  <c r="Z722" i="2" s="1"/>
  <c r="Y721" i="2"/>
  <c r="Z721" i="2" s="1"/>
  <c r="Y720" i="2"/>
  <c r="Z720" i="2" s="1"/>
  <c r="Y875" i="2" l="1"/>
  <c r="Z875" i="2" s="1"/>
  <c r="Y826" i="2"/>
  <c r="Z826" i="2" s="1"/>
  <c r="Y868" i="2"/>
  <c r="Z868" i="2" s="1"/>
  <c r="Y861" i="2"/>
  <c r="Z861" i="2" s="1"/>
  <c r="T939" i="2"/>
  <c r="T925" i="2"/>
  <c r="T918" i="2"/>
  <c r="T911" i="2"/>
  <c r="T904" i="2"/>
  <c r="T932" i="2"/>
  <c r="X958" i="2"/>
  <c r="Y958" i="2" s="1"/>
  <c r="Z958" i="2" s="1"/>
  <c r="X959" i="2"/>
  <c r="Y959" i="2" s="1"/>
  <c r="Z959" i="2" s="1"/>
  <c r="X737" i="2"/>
  <c r="Y737" i="2" s="1"/>
  <c r="Z737" i="2" s="1"/>
  <c r="Y963" i="2"/>
  <c r="Z963" i="2" s="1"/>
  <c r="X828" i="2"/>
  <c r="Y828" i="2" s="1"/>
  <c r="Z828" i="2" s="1"/>
  <c r="T833" i="2"/>
  <c r="T836" i="2" s="1"/>
  <c r="L833" i="2"/>
  <c r="L834" i="2" s="1"/>
  <c r="Q832" i="2"/>
  <c r="I832" i="2"/>
  <c r="M832" i="2"/>
  <c r="U832" i="2"/>
  <c r="F669" i="2"/>
  <c r="J837" i="2"/>
  <c r="J947" i="2" s="1"/>
  <c r="J836" i="2"/>
  <c r="R833" i="2"/>
  <c r="N832" i="2"/>
  <c r="S833" i="2"/>
  <c r="G833" i="2"/>
  <c r="K833" i="2"/>
  <c r="K834" i="2" s="1"/>
  <c r="O832" i="2"/>
  <c r="P833" i="2"/>
  <c r="P834" i="2" s="1"/>
  <c r="M833" i="2" l="1"/>
  <c r="M834" i="2" s="1"/>
  <c r="I833" i="2"/>
  <c r="I837" i="2" s="1"/>
  <c r="I947" i="2" s="1"/>
  <c r="L836" i="2"/>
  <c r="L837" i="2"/>
  <c r="X832" i="2"/>
  <c r="Y832" i="2" s="1"/>
  <c r="Z832" i="2" s="1"/>
  <c r="M837" i="2"/>
  <c r="M947" i="2" s="1"/>
  <c r="T837" i="2"/>
  <c r="T947" i="2" s="1"/>
  <c r="T834" i="2"/>
  <c r="R837" i="2"/>
  <c r="R947" i="2" s="1"/>
  <c r="R834" i="2"/>
  <c r="J839" i="2"/>
  <c r="J850" i="2" s="1"/>
  <c r="J838" i="2"/>
  <c r="U833" i="2"/>
  <c r="U844" i="2"/>
  <c r="U845" i="2" s="1"/>
  <c r="U849" i="2" s="1"/>
  <c r="Q833" i="2"/>
  <c r="Q843" i="2"/>
  <c r="S837" i="2"/>
  <c r="S947" i="2" s="1"/>
  <c r="S836" i="2"/>
  <c r="S834" i="2"/>
  <c r="J847" i="2"/>
  <c r="P837" i="2"/>
  <c r="P947" i="2" s="1"/>
  <c r="P836" i="2"/>
  <c r="O833" i="2"/>
  <c r="O834" i="2" s="1"/>
  <c r="I834" i="2"/>
  <c r="J848" i="2"/>
  <c r="G837" i="2"/>
  <c r="G947" i="2" s="1"/>
  <c r="G836" i="2"/>
  <c r="G834" i="2"/>
  <c r="K837" i="2"/>
  <c r="K947" i="2" s="1"/>
  <c r="K836" i="2"/>
  <c r="N833" i="2"/>
  <c r="R836" i="2"/>
  <c r="F717" i="2"/>
  <c r="F704" i="2"/>
  <c r="I836" i="2" l="1"/>
  <c r="M836" i="2"/>
  <c r="L839" i="2"/>
  <c r="L947" i="2"/>
  <c r="Q847" i="2"/>
  <c r="Q848" i="2" s="1"/>
  <c r="Q844" i="2"/>
  <c r="Q845" i="2" s="1"/>
  <c r="M839" i="2"/>
  <c r="M838" i="2"/>
  <c r="M840" i="2" s="1"/>
  <c r="X957" i="2"/>
  <c r="Y957" i="2" s="1"/>
  <c r="Z957" i="2" s="1"/>
  <c r="X833" i="2"/>
  <c r="Y833" i="2" s="1"/>
  <c r="Z833" i="2" s="1"/>
  <c r="X843" i="2"/>
  <c r="Y843" i="2" s="1"/>
  <c r="Z843" i="2" s="1"/>
  <c r="J840" i="2"/>
  <c r="J851" i="2" s="1"/>
  <c r="I838" i="2"/>
  <c r="I839" i="2"/>
  <c r="Q837" i="2"/>
  <c r="Q947" i="2" s="1"/>
  <c r="Q834" i="2"/>
  <c r="U837" i="2"/>
  <c r="U947" i="2" s="1"/>
  <c r="U834" i="2"/>
  <c r="R838" i="2"/>
  <c r="R839" i="2"/>
  <c r="K839" i="2"/>
  <c r="K838" i="2"/>
  <c r="S839" i="2"/>
  <c r="S838" i="2"/>
  <c r="T839" i="2"/>
  <c r="T838" i="2"/>
  <c r="N834" i="2"/>
  <c r="G838" i="2"/>
  <c r="G840" i="2" s="1"/>
  <c r="G839" i="2"/>
  <c r="Q836" i="2"/>
  <c r="U836" i="2"/>
  <c r="F725" i="2"/>
  <c r="J849" i="2"/>
  <c r="O837" i="2"/>
  <c r="O947" i="2" s="1"/>
  <c r="O836" i="2"/>
  <c r="N836" i="2"/>
  <c r="N837" i="2"/>
  <c r="N947" i="2" s="1"/>
  <c r="X947" i="2" l="1"/>
  <c r="Y947" i="2" s="1"/>
  <c r="Z947" i="2" s="1"/>
  <c r="Q850" i="2"/>
  <c r="Q849" i="2"/>
  <c r="Q851" i="2"/>
  <c r="X837" i="2"/>
  <c r="Y837" i="2" s="1"/>
  <c r="Z837" i="2" s="1"/>
  <c r="X836" i="2"/>
  <c r="Y836" i="2" s="1"/>
  <c r="Z836" i="2" s="1"/>
  <c r="X844" i="2"/>
  <c r="Y844" i="2" s="1"/>
  <c r="Z844" i="2" s="1"/>
  <c r="X834" i="2"/>
  <c r="Y834" i="2" s="1"/>
  <c r="Z834" i="2" s="1"/>
  <c r="K840" i="2"/>
  <c r="S840" i="2"/>
  <c r="I840" i="2"/>
  <c r="T840" i="2"/>
  <c r="N839" i="2"/>
  <c r="R840" i="2"/>
  <c r="Q838" i="2"/>
  <c r="Q839" i="2"/>
  <c r="U838" i="2"/>
  <c r="U839" i="2"/>
  <c r="F764" i="2"/>
  <c r="F781" i="2"/>
  <c r="X848" i="2" l="1"/>
  <c r="Y848" i="2" s="1"/>
  <c r="Z848" i="2" s="1"/>
  <c r="X839" i="2"/>
  <c r="Y839" i="2" s="1"/>
  <c r="Z839" i="2" s="1"/>
  <c r="X847" i="2"/>
  <c r="Y847" i="2" s="1"/>
  <c r="Z847" i="2" s="1"/>
  <c r="X845" i="2"/>
  <c r="Y845" i="2" s="1"/>
  <c r="Z845" i="2" s="1"/>
  <c r="X838" i="2"/>
  <c r="Y838" i="2" s="1"/>
  <c r="Z838" i="2" s="1"/>
  <c r="U840" i="2"/>
  <c r="Q840" i="2"/>
  <c r="F789" i="2"/>
  <c r="X849" i="2" l="1"/>
  <c r="Y849" i="2" s="1"/>
  <c r="Z849" i="2" s="1"/>
  <c r="X851" i="2"/>
  <c r="Y851" i="2" s="1"/>
  <c r="Z851" i="2" s="1"/>
  <c r="X840" i="2"/>
  <c r="Y840" i="2" s="1"/>
  <c r="Z840" i="2" s="1"/>
  <c r="X850" i="2"/>
  <c r="Y850" i="2" s="1"/>
  <c r="Z850" i="2" s="1"/>
  <c r="F117" i="1" l="1"/>
  <c r="F143" i="1" l="1"/>
  <c r="F138" i="1"/>
  <c r="F137" i="1"/>
  <c r="F136" i="1"/>
  <c r="F135" i="1"/>
  <c r="F134" i="1"/>
  <c r="F126" i="1"/>
  <c r="F104" i="1"/>
  <c r="F107" i="1"/>
  <c r="F103" i="1"/>
  <c r="F72" i="1"/>
  <c r="F62" i="1"/>
  <c r="AC60" i="1"/>
  <c r="AB60" i="1"/>
  <c r="Y60" i="1"/>
  <c r="X60" i="1"/>
  <c r="W60" i="1"/>
  <c r="T60" i="1"/>
  <c r="F43" i="1"/>
  <c r="Q835" i="2" s="1"/>
  <c r="F42" i="1"/>
  <c r="F40" i="1"/>
  <c r="F39" i="1"/>
  <c r="F38" i="1"/>
  <c r="F30" i="1"/>
  <c r="F10" i="1"/>
  <c r="F9" i="1"/>
  <c r="F8" i="1"/>
  <c r="X835" i="2" l="1"/>
  <c r="Y835" i="2" s="1"/>
  <c r="Z835" i="2" s="1"/>
  <c r="Q846" i="2"/>
  <c r="X846" i="2" s="1"/>
  <c r="Y846" i="2" s="1"/>
  <c r="Z846" i="2" s="1"/>
  <c r="F51" i="27" l="1"/>
  <c r="F33" i="27"/>
  <c r="K33" i="27" s="1"/>
  <c r="L33" i="27" s="1"/>
  <c r="G51" i="27" l="1"/>
  <c r="H51" i="27"/>
  <c r="I188" i="1" l="1"/>
  <c r="AJ177" i="1"/>
  <c r="AH177" i="1"/>
  <c r="AF177" i="1"/>
  <c r="AD177" i="1"/>
  <c r="AC177" i="1"/>
  <c r="AB177" i="1"/>
  <c r="AA177" i="1"/>
  <c r="Z177" i="1"/>
  <c r="Y177" i="1"/>
  <c r="X177" i="1"/>
  <c r="W177" i="1"/>
  <c r="V177" i="1"/>
  <c r="U177" i="1"/>
  <c r="T177" i="1"/>
  <c r="S177" i="1"/>
  <c r="Q177" i="1"/>
  <c r="P177" i="1"/>
  <c r="O177" i="1"/>
  <c r="M177" i="1"/>
  <c r="L177" i="1"/>
  <c r="K177" i="1"/>
  <c r="J177" i="1"/>
  <c r="H158" i="1"/>
  <c r="AJ158" i="1"/>
  <c r="AH158" i="1"/>
  <c r="AF158" i="1"/>
  <c r="AD158" i="1"/>
  <c r="AC158" i="1"/>
  <c r="AB158" i="1"/>
  <c r="AA158" i="1"/>
  <c r="Z158" i="1"/>
  <c r="Y158" i="1"/>
  <c r="X158" i="1"/>
  <c r="W158" i="1"/>
  <c r="V158" i="1"/>
  <c r="U158" i="1"/>
  <c r="T158" i="1"/>
  <c r="S158" i="1"/>
  <c r="Q158" i="1"/>
  <c r="P158" i="1"/>
  <c r="O158" i="1"/>
  <c r="M158" i="1"/>
  <c r="L158" i="1"/>
  <c r="K158" i="1"/>
  <c r="I158" i="1"/>
  <c r="J158" i="1" l="1"/>
  <c r="AK158" i="1" s="1"/>
  <c r="AL158" i="1" s="1"/>
  <c r="H177" i="1"/>
  <c r="I177" i="1"/>
  <c r="J70" i="7"/>
  <c r="K10" i="7" s="1"/>
  <c r="C36" i="6"/>
  <c r="C38" i="6"/>
  <c r="G10" i="6"/>
  <c r="G14" i="6"/>
  <c r="E16" i="7"/>
  <c r="G24" i="6"/>
  <c r="F33" i="14"/>
  <c r="K33" i="14" s="1"/>
  <c r="L33" i="14" s="1"/>
  <c r="E1" i="2"/>
  <c r="F1" i="2" s="1"/>
  <c r="J51" i="14"/>
  <c r="G12" i="1"/>
  <c r="I16" i="1"/>
  <c r="H16" i="1"/>
  <c r="K16" i="1"/>
  <c r="L16" i="1"/>
  <c r="M16" i="1"/>
  <c r="O16" i="1"/>
  <c r="P16" i="1"/>
  <c r="Q16" i="1"/>
  <c r="S16" i="1"/>
  <c r="T16" i="1"/>
  <c r="U16" i="1"/>
  <c r="V16" i="1"/>
  <c r="W16" i="1"/>
  <c r="X16" i="1"/>
  <c r="Y16" i="1"/>
  <c r="Z16" i="1"/>
  <c r="AA16" i="1"/>
  <c r="AB16" i="1"/>
  <c r="AC16" i="1"/>
  <c r="AD16" i="1"/>
  <c r="AF16" i="1"/>
  <c r="AH16" i="1"/>
  <c r="AJ16" i="1"/>
  <c r="K20" i="1"/>
  <c r="L20" i="1"/>
  <c r="M20" i="1"/>
  <c r="O20" i="1"/>
  <c r="P20" i="1"/>
  <c r="Q20" i="1"/>
  <c r="S20" i="1"/>
  <c r="T20" i="1"/>
  <c r="U20" i="1"/>
  <c r="V20" i="1"/>
  <c r="W20" i="1"/>
  <c r="X20" i="1"/>
  <c r="Y20" i="1"/>
  <c r="Z20" i="1"/>
  <c r="AA20" i="1"/>
  <c r="AB20" i="1"/>
  <c r="AC20" i="1"/>
  <c r="AD20" i="1"/>
  <c r="AF20" i="1"/>
  <c r="AH20" i="1"/>
  <c r="AJ20" i="1"/>
  <c r="K24" i="1"/>
  <c r="L24" i="1"/>
  <c r="M24" i="1"/>
  <c r="O24" i="1"/>
  <c r="P24" i="1"/>
  <c r="Q24" i="1"/>
  <c r="S24" i="1"/>
  <c r="T24" i="1"/>
  <c r="U24" i="1"/>
  <c r="V24" i="1"/>
  <c r="W24" i="1"/>
  <c r="X24" i="1"/>
  <c r="Y24" i="1"/>
  <c r="Z24" i="1"/>
  <c r="AA24" i="1"/>
  <c r="AB24" i="1"/>
  <c r="AC24" i="1"/>
  <c r="AD24" i="1"/>
  <c r="AF24" i="1"/>
  <c r="AH24" i="1"/>
  <c r="AJ24" i="1"/>
  <c r="H29" i="1"/>
  <c r="I29" i="1"/>
  <c r="J29" i="1"/>
  <c r="K29" i="1"/>
  <c r="L29" i="1"/>
  <c r="M29" i="1"/>
  <c r="S29" i="1"/>
  <c r="T29" i="1"/>
  <c r="U29" i="1"/>
  <c r="V29" i="1"/>
  <c r="W29" i="1"/>
  <c r="X29" i="1"/>
  <c r="Y29" i="1"/>
  <c r="Z29" i="1"/>
  <c r="AA29" i="1"/>
  <c r="AB29" i="1"/>
  <c r="AC29" i="1"/>
  <c r="AD29" i="1"/>
  <c r="AF29" i="1"/>
  <c r="AH29" i="1"/>
  <c r="AJ29" i="1"/>
  <c r="H30" i="1"/>
  <c r="I30" i="1"/>
  <c r="J30" i="1"/>
  <c r="K30" i="1"/>
  <c r="L30" i="1"/>
  <c r="M30" i="1"/>
  <c r="S30" i="1"/>
  <c r="T30" i="1"/>
  <c r="U30" i="1"/>
  <c r="V30" i="1"/>
  <c r="W30" i="1"/>
  <c r="X30" i="1"/>
  <c r="Y30" i="1"/>
  <c r="Z30" i="1"/>
  <c r="AA30" i="1"/>
  <c r="AB30" i="1"/>
  <c r="AC30" i="1"/>
  <c r="AD30" i="1"/>
  <c r="AF30" i="1"/>
  <c r="AH30" i="1"/>
  <c r="AJ30" i="1"/>
  <c r="H35" i="1"/>
  <c r="H447" i="1" s="1"/>
  <c r="I35" i="1"/>
  <c r="I251" i="1" s="1"/>
  <c r="J35" i="1"/>
  <c r="K35" i="1"/>
  <c r="K448" i="1" s="1"/>
  <c r="L35" i="1"/>
  <c r="L269" i="1" s="1"/>
  <c r="M35" i="1"/>
  <c r="M269" i="1" s="1"/>
  <c r="O35" i="1"/>
  <c r="O448" i="1" s="1"/>
  <c r="P35" i="1"/>
  <c r="P447" i="1" s="1"/>
  <c r="Q35" i="1"/>
  <c r="Q429" i="1" s="1"/>
  <c r="S35" i="1"/>
  <c r="S251" i="1" s="1"/>
  <c r="U35" i="1"/>
  <c r="V35" i="1"/>
  <c r="V252" i="1" s="1"/>
  <c r="W35" i="1"/>
  <c r="X35" i="1"/>
  <c r="X269" i="1" s="1"/>
  <c r="Y35" i="1"/>
  <c r="Y251" i="1" s="1"/>
  <c r="Z35" i="1"/>
  <c r="Z429" i="1" s="1"/>
  <c r="AA35" i="1"/>
  <c r="AA429" i="1" s="1"/>
  <c r="AB35" i="1"/>
  <c r="AB251" i="1" s="1"/>
  <c r="AC35" i="1"/>
  <c r="AD35" i="1"/>
  <c r="AD430" i="1" s="1"/>
  <c r="AF35" i="1"/>
  <c r="AF269" i="1" s="1"/>
  <c r="AH35" i="1"/>
  <c r="AH269" i="1" s="1"/>
  <c r="AJ35" i="1"/>
  <c r="AJ251" i="1" s="1"/>
  <c r="H36" i="1"/>
  <c r="I36" i="1"/>
  <c r="I271" i="1" s="1"/>
  <c r="J36" i="1"/>
  <c r="K36" i="1"/>
  <c r="L36" i="1"/>
  <c r="M36" i="1"/>
  <c r="M431" i="1" s="1"/>
  <c r="O36" i="1"/>
  <c r="O253" i="1" s="1"/>
  <c r="P36" i="1"/>
  <c r="P449" i="1" s="1"/>
  <c r="Q36" i="1"/>
  <c r="S36" i="1"/>
  <c r="T36" i="1"/>
  <c r="U36" i="1"/>
  <c r="U431" i="1" s="1"/>
  <c r="Z36" i="1"/>
  <c r="Z431" i="1" s="1"/>
  <c r="AA36" i="1"/>
  <c r="AA271" i="1" s="1"/>
  <c r="AB36" i="1"/>
  <c r="AB449" i="1" s="1"/>
  <c r="AC36" i="1"/>
  <c r="AC271" i="1" s="1"/>
  <c r="AD36" i="1"/>
  <c r="AF36" i="1"/>
  <c r="AH36" i="1"/>
  <c r="AH449" i="1" s="1"/>
  <c r="AJ36" i="1"/>
  <c r="AJ449" i="1" s="1"/>
  <c r="H37" i="1"/>
  <c r="H272" i="1" s="1"/>
  <c r="I37" i="1"/>
  <c r="I272" i="1" s="1"/>
  <c r="J37" i="1"/>
  <c r="J450" i="1" s="1"/>
  <c r="K37" i="1"/>
  <c r="L37" i="1"/>
  <c r="L450" i="1" s="1"/>
  <c r="M37" i="1"/>
  <c r="O37" i="1"/>
  <c r="P37" i="1"/>
  <c r="P432" i="1" s="1"/>
  <c r="Q37" i="1"/>
  <c r="Q254" i="1" s="1"/>
  <c r="S37" i="1"/>
  <c r="S254" i="1" s="1"/>
  <c r="T37" i="1"/>
  <c r="T272" i="1" s="1"/>
  <c r="U37" i="1"/>
  <c r="Z37" i="1"/>
  <c r="Z254" i="1" s="1"/>
  <c r="AA37" i="1"/>
  <c r="AB37" i="1"/>
  <c r="AB272" i="1" s="1"/>
  <c r="AC37" i="1"/>
  <c r="AD37" i="1"/>
  <c r="AD254" i="1" s="1"/>
  <c r="AF37" i="1"/>
  <c r="AF272" i="1" s="1"/>
  <c r="AH37" i="1"/>
  <c r="AH450" i="1" s="1"/>
  <c r="AJ37" i="1"/>
  <c r="AA38" i="1"/>
  <c r="H38" i="1"/>
  <c r="H273" i="1" s="1"/>
  <c r="I38" i="1"/>
  <c r="I273" i="1" s="1"/>
  <c r="J38" i="1"/>
  <c r="J273" i="1" s="1"/>
  <c r="K38" i="1"/>
  <c r="K273" i="1" s="1"/>
  <c r="L38" i="1"/>
  <c r="L273" i="1" s="1"/>
  <c r="M38" i="1"/>
  <c r="M273" i="1" s="1"/>
  <c r="O38" i="1"/>
  <c r="P38" i="1"/>
  <c r="P273" i="1" s="1"/>
  <c r="Q38" i="1"/>
  <c r="Q273" i="1" s="1"/>
  <c r="S38" i="1"/>
  <c r="S451" i="1" s="1"/>
  <c r="T38" i="1"/>
  <c r="T273" i="1" s="1"/>
  <c r="U38" i="1"/>
  <c r="U273" i="1" s="1"/>
  <c r="V38" i="1"/>
  <c r="W38" i="1"/>
  <c r="X38" i="1"/>
  <c r="X273" i="1" s="1"/>
  <c r="Y38" i="1"/>
  <c r="AB38" i="1"/>
  <c r="AC38" i="1"/>
  <c r="AC273" i="1" s="1"/>
  <c r="AD38" i="1"/>
  <c r="AD273" i="1" s="1"/>
  <c r="AF38" i="1"/>
  <c r="AF273" i="1" s="1"/>
  <c r="AH38" i="1"/>
  <c r="AH273" i="1" s="1"/>
  <c r="AJ38" i="1"/>
  <c r="AJ451" i="1" s="1"/>
  <c r="H39" i="1"/>
  <c r="I39" i="1"/>
  <c r="J39" i="1"/>
  <c r="K39" i="1"/>
  <c r="L39" i="1"/>
  <c r="M39" i="1"/>
  <c r="O39" i="1"/>
  <c r="P39" i="1"/>
  <c r="Q39" i="1"/>
  <c r="S39" i="1"/>
  <c r="T39" i="1"/>
  <c r="U39" i="1"/>
  <c r="V39" i="1"/>
  <c r="W39" i="1"/>
  <c r="X39" i="1"/>
  <c r="Y39" i="1"/>
  <c r="AB39" i="1"/>
  <c r="AC39" i="1"/>
  <c r="AD39" i="1"/>
  <c r="AF39" i="1"/>
  <c r="AH39" i="1"/>
  <c r="AJ39" i="1"/>
  <c r="H40" i="1"/>
  <c r="I40" i="1"/>
  <c r="J40" i="1"/>
  <c r="K40" i="1"/>
  <c r="L40" i="1"/>
  <c r="M40" i="1"/>
  <c r="O40" i="1"/>
  <c r="P40" i="1"/>
  <c r="Q40" i="1"/>
  <c r="S40" i="1"/>
  <c r="T40" i="1"/>
  <c r="U40" i="1"/>
  <c r="V40" i="1"/>
  <c r="W40" i="1"/>
  <c r="X40" i="1"/>
  <c r="Y40" i="1"/>
  <c r="Z40" i="1"/>
  <c r="AA40" i="1"/>
  <c r="AC40" i="1"/>
  <c r="AD40" i="1"/>
  <c r="AF40" i="1"/>
  <c r="AH40" i="1"/>
  <c r="AJ40" i="1"/>
  <c r="H41" i="1"/>
  <c r="H453" i="1" s="1"/>
  <c r="I41" i="1"/>
  <c r="J41" i="1"/>
  <c r="J453" i="1" s="1"/>
  <c r="K41" i="1"/>
  <c r="K453" i="1" s="1"/>
  <c r="L41" i="1"/>
  <c r="L256" i="1" s="1"/>
  <c r="M41" i="1"/>
  <c r="M256" i="1" s="1"/>
  <c r="O41" i="1"/>
  <c r="O275" i="1" s="1"/>
  <c r="P41" i="1"/>
  <c r="P434" i="1" s="1"/>
  <c r="Q41" i="1"/>
  <c r="Q256" i="1" s="1"/>
  <c r="S41" i="1"/>
  <c r="S275" i="1" s="1"/>
  <c r="T41" i="1"/>
  <c r="T275" i="1" s="1"/>
  <c r="U41" i="1"/>
  <c r="V41" i="1"/>
  <c r="V453" i="1" s="1"/>
  <c r="W41" i="1"/>
  <c r="X41" i="1"/>
  <c r="X453" i="1" s="1"/>
  <c r="Y41" i="1"/>
  <c r="Y453" i="1" s="1"/>
  <c r="Z41" i="1"/>
  <c r="Z434" i="1" s="1"/>
  <c r="AA41" i="1"/>
  <c r="AB41" i="1"/>
  <c r="AB453" i="1" s="1"/>
  <c r="AD41" i="1"/>
  <c r="AD453" i="1" s="1"/>
  <c r="AF41" i="1"/>
  <c r="AH41" i="1"/>
  <c r="AH275" i="1" s="1"/>
  <c r="AJ41" i="1"/>
  <c r="AJ275" i="1" s="1"/>
  <c r="H42" i="1"/>
  <c r="I42" i="1"/>
  <c r="J42" i="1"/>
  <c r="J258" i="1" s="1"/>
  <c r="K42" i="1"/>
  <c r="K433" i="1" s="1"/>
  <c r="L42" i="1"/>
  <c r="L436" i="1" s="1"/>
  <c r="M42" i="1"/>
  <c r="M258" i="1" s="1"/>
  <c r="O42" i="1"/>
  <c r="O258" i="1" s="1"/>
  <c r="P42" i="1"/>
  <c r="P436" i="1" s="1"/>
  <c r="Q42" i="1"/>
  <c r="S42" i="1"/>
  <c r="S436" i="1" s="1"/>
  <c r="T42" i="1"/>
  <c r="T436" i="1" s="1"/>
  <c r="U42" i="1"/>
  <c r="U258" i="1" s="1"/>
  <c r="V42" i="1"/>
  <c r="V258" i="1" s="1"/>
  <c r="W42" i="1"/>
  <c r="W436" i="1" s="1"/>
  <c r="X42" i="1"/>
  <c r="X436" i="1" s="1"/>
  <c r="Y42" i="1"/>
  <c r="Z42" i="1"/>
  <c r="AA42" i="1"/>
  <c r="AA258" i="1" s="1"/>
  <c r="AB42" i="1"/>
  <c r="AB433" i="1" s="1"/>
  <c r="AC42" i="1"/>
  <c r="AC433" i="1" s="1"/>
  <c r="AF42" i="1"/>
  <c r="AF258" i="1" s="1"/>
  <c r="AH42" i="1"/>
  <c r="AH258" i="1" s="1"/>
  <c r="AJ42" i="1"/>
  <c r="AJ258" i="1" s="1"/>
  <c r="H43" i="1"/>
  <c r="H255" i="1" s="1"/>
  <c r="I43" i="1"/>
  <c r="I255" i="1" s="1"/>
  <c r="J43" i="1"/>
  <c r="J255" i="1" s="1"/>
  <c r="K43" i="1"/>
  <c r="K255" i="1" s="1"/>
  <c r="L43" i="1"/>
  <c r="L452" i="1" s="1"/>
  <c r="M43" i="1"/>
  <c r="M255" i="1" s="1"/>
  <c r="O43" i="1"/>
  <c r="O452" i="1" s="1"/>
  <c r="P43" i="1"/>
  <c r="P274" i="1" s="1"/>
  <c r="Q43" i="1"/>
  <c r="S43" i="1"/>
  <c r="S452" i="1" s="1"/>
  <c r="T43" i="1"/>
  <c r="T274" i="1" s="1"/>
  <c r="U43" i="1"/>
  <c r="U452" i="1" s="1"/>
  <c r="V43" i="1"/>
  <c r="V274" i="1" s="1"/>
  <c r="W43" i="1"/>
  <c r="W274" i="1" s="1"/>
  <c r="X43" i="1"/>
  <c r="X274" i="1" s="1"/>
  <c r="Y43" i="1"/>
  <c r="Z43" i="1"/>
  <c r="AA43" i="1"/>
  <c r="AA255" i="1" s="1"/>
  <c r="AB43" i="1"/>
  <c r="AB452" i="1" s="1"/>
  <c r="AC43" i="1"/>
  <c r="AF43" i="1"/>
  <c r="AF255" i="1" s="1"/>
  <c r="AH43" i="1"/>
  <c r="AH274" i="1" s="1"/>
  <c r="AJ43" i="1"/>
  <c r="AJ274" i="1" s="1"/>
  <c r="K71" i="1"/>
  <c r="L71" i="1"/>
  <c r="M71" i="1"/>
  <c r="O71" i="1"/>
  <c r="P71" i="1"/>
  <c r="Q71" i="1"/>
  <c r="S71" i="1"/>
  <c r="T71" i="1"/>
  <c r="U71" i="1"/>
  <c r="V71" i="1"/>
  <c r="W71" i="1"/>
  <c r="X71" i="1"/>
  <c r="Y71" i="1"/>
  <c r="Z71" i="1"/>
  <c r="AA71" i="1"/>
  <c r="AB71" i="1"/>
  <c r="AC71" i="1"/>
  <c r="AD71" i="1"/>
  <c r="AF71" i="1"/>
  <c r="AH71" i="1"/>
  <c r="AJ71" i="1"/>
  <c r="H72" i="1"/>
  <c r="I72" i="1"/>
  <c r="J72" i="1"/>
  <c r="K72" i="1"/>
  <c r="L72" i="1"/>
  <c r="M72" i="1"/>
  <c r="S72" i="1"/>
  <c r="T72" i="1"/>
  <c r="U72" i="1"/>
  <c r="V72" i="1"/>
  <c r="W72" i="1"/>
  <c r="X72" i="1"/>
  <c r="Y72" i="1"/>
  <c r="Z72" i="1"/>
  <c r="AA72" i="1"/>
  <c r="AB72" i="1"/>
  <c r="AC72" i="1"/>
  <c r="AD72" i="1"/>
  <c r="AF72" i="1"/>
  <c r="AH72" i="1"/>
  <c r="AJ72" i="1"/>
  <c r="H75" i="1"/>
  <c r="I75" i="1"/>
  <c r="J75" i="1"/>
  <c r="K75" i="1"/>
  <c r="L75" i="1"/>
  <c r="M75" i="1"/>
  <c r="O75" i="1"/>
  <c r="P75" i="1"/>
  <c r="Q75" i="1"/>
  <c r="S75" i="1"/>
  <c r="T75" i="1"/>
  <c r="U75" i="1"/>
  <c r="Z75" i="1"/>
  <c r="AA75" i="1"/>
  <c r="AB75" i="1"/>
  <c r="AC75" i="1"/>
  <c r="AD75" i="1"/>
  <c r="AF75" i="1"/>
  <c r="AH75" i="1"/>
  <c r="AJ75" i="1"/>
  <c r="K99" i="1"/>
  <c r="L99" i="1"/>
  <c r="M99" i="1"/>
  <c r="O99" i="1"/>
  <c r="P99" i="1"/>
  <c r="Q99" i="1"/>
  <c r="S99" i="1"/>
  <c r="T99" i="1"/>
  <c r="U99" i="1"/>
  <c r="V99" i="1"/>
  <c r="W99" i="1"/>
  <c r="X99" i="1"/>
  <c r="Y99" i="1"/>
  <c r="Z99" i="1"/>
  <c r="AA99" i="1"/>
  <c r="AB99" i="1"/>
  <c r="AC99" i="1"/>
  <c r="AD99" i="1"/>
  <c r="AF99" i="1"/>
  <c r="AH99" i="1"/>
  <c r="AJ99" i="1"/>
  <c r="K100" i="1"/>
  <c r="L100" i="1"/>
  <c r="M100" i="1"/>
  <c r="O100" i="1"/>
  <c r="P100" i="1"/>
  <c r="Q100" i="1"/>
  <c r="S100" i="1"/>
  <c r="T100" i="1"/>
  <c r="U100" i="1"/>
  <c r="V100" i="1"/>
  <c r="W100" i="1"/>
  <c r="X100" i="1"/>
  <c r="Y100" i="1"/>
  <c r="Z100" i="1"/>
  <c r="AA100" i="1"/>
  <c r="AB100" i="1"/>
  <c r="AC100" i="1"/>
  <c r="AD100" i="1"/>
  <c r="AF100" i="1"/>
  <c r="AH100" i="1"/>
  <c r="AJ100" i="1"/>
  <c r="K101" i="1"/>
  <c r="L101" i="1"/>
  <c r="M101" i="1"/>
  <c r="O101" i="1"/>
  <c r="P101" i="1"/>
  <c r="Q101" i="1"/>
  <c r="S101" i="1"/>
  <c r="T101" i="1"/>
  <c r="U101" i="1"/>
  <c r="V101" i="1"/>
  <c r="W101" i="1"/>
  <c r="X101" i="1"/>
  <c r="Y101" i="1"/>
  <c r="Z101" i="1"/>
  <c r="AA101" i="1"/>
  <c r="AB101" i="1"/>
  <c r="AC101" i="1"/>
  <c r="AD101" i="1"/>
  <c r="AF101" i="1"/>
  <c r="AH101" i="1"/>
  <c r="AJ101" i="1"/>
  <c r="H120" i="1"/>
  <c r="I120" i="1"/>
  <c r="J120" i="1"/>
  <c r="K120" i="1"/>
  <c r="L120" i="1"/>
  <c r="M120" i="1"/>
  <c r="O120" i="1"/>
  <c r="P120" i="1"/>
  <c r="Q120" i="1"/>
  <c r="S120" i="1"/>
  <c r="T120" i="1"/>
  <c r="U120" i="1"/>
  <c r="V120" i="1"/>
  <c r="W120" i="1"/>
  <c r="X120" i="1"/>
  <c r="Y120" i="1"/>
  <c r="Z120" i="1"/>
  <c r="AA120" i="1"/>
  <c r="AB120" i="1"/>
  <c r="AC120" i="1"/>
  <c r="AD120" i="1"/>
  <c r="AF120" i="1"/>
  <c r="AH120" i="1"/>
  <c r="AJ120" i="1"/>
  <c r="I125" i="1"/>
  <c r="K125" i="1"/>
  <c r="L125" i="1"/>
  <c r="M125" i="1"/>
  <c r="O125" i="1"/>
  <c r="P125" i="1"/>
  <c r="Q125" i="1"/>
  <c r="S125" i="1"/>
  <c r="T125" i="1"/>
  <c r="U125" i="1"/>
  <c r="V125" i="1"/>
  <c r="W125" i="1"/>
  <c r="X125" i="1"/>
  <c r="Y125" i="1"/>
  <c r="Z125" i="1"/>
  <c r="AA125" i="1"/>
  <c r="AB125" i="1"/>
  <c r="AC125" i="1"/>
  <c r="AD125" i="1"/>
  <c r="AF125" i="1"/>
  <c r="AH125" i="1"/>
  <c r="AJ125" i="1"/>
  <c r="H126" i="1"/>
  <c r="I126" i="1"/>
  <c r="J126" i="1"/>
  <c r="K126" i="1"/>
  <c r="L126" i="1"/>
  <c r="M126" i="1"/>
  <c r="S126" i="1"/>
  <c r="T126" i="1"/>
  <c r="U126" i="1"/>
  <c r="V126" i="1"/>
  <c r="W126" i="1"/>
  <c r="X126" i="1"/>
  <c r="Y126" i="1"/>
  <c r="Z126" i="1"/>
  <c r="AA126" i="1"/>
  <c r="AB126" i="1"/>
  <c r="AC126" i="1"/>
  <c r="AD126" i="1"/>
  <c r="AF126" i="1"/>
  <c r="AH126" i="1"/>
  <c r="AJ126" i="1"/>
  <c r="K133" i="1"/>
  <c r="L133" i="1"/>
  <c r="M133" i="1"/>
  <c r="O133" i="1"/>
  <c r="P133" i="1"/>
  <c r="Q133" i="1"/>
  <c r="S133" i="1"/>
  <c r="T133" i="1"/>
  <c r="U133" i="1"/>
  <c r="V133" i="1"/>
  <c r="W133" i="1"/>
  <c r="X133" i="1"/>
  <c r="Y133" i="1"/>
  <c r="Z133" i="1"/>
  <c r="AA133" i="1"/>
  <c r="AB133" i="1"/>
  <c r="AC133" i="1"/>
  <c r="AD133" i="1"/>
  <c r="AF133" i="1"/>
  <c r="AH133" i="1"/>
  <c r="AJ133" i="1"/>
  <c r="H134" i="1"/>
  <c r="I134" i="1"/>
  <c r="J134" i="1"/>
  <c r="K134" i="1"/>
  <c r="L134" i="1"/>
  <c r="M134" i="1"/>
  <c r="S134" i="1"/>
  <c r="T134" i="1"/>
  <c r="U134" i="1"/>
  <c r="V134" i="1"/>
  <c r="W134" i="1"/>
  <c r="X134" i="1"/>
  <c r="Y134" i="1"/>
  <c r="Z134" i="1"/>
  <c r="AA134" i="1"/>
  <c r="AB134" i="1"/>
  <c r="AC134" i="1"/>
  <c r="AD134" i="1"/>
  <c r="AF134" i="1"/>
  <c r="AH134" i="1"/>
  <c r="AJ134" i="1"/>
  <c r="H135" i="1"/>
  <c r="I135" i="1"/>
  <c r="J135" i="1"/>
  <c r="K135" i="1"/>
  <c r="L135" i="1"/>
  <c r="M135" i="1"/>
  <c r="S135" i="1"/>
  <c r="T135" i="1"/>
  <c r="U135" i="1"/>
  <c r="V135" i="1"/>
  <c r="W135" i="1"/>
  <c r="X135" i="1"/>
  <c r="Y135" i="1"/>
  <c r="Z135" i="1"/>
  <c r="AA135" i="1"/>
  <c r="AB135" i="1"/>
  <c r="AC135" i="1"/>
  <c r="AD135" i="1"/>
  <c r="AF135" i="1"/>
  <c r="AH135" i="1"/>
  <c r="AJ135" i="1"/>
  <c r="H144" i="1"/>
  <c r="I144" i="1"/>
  <c r="J144" i="1"/>
  <c r="K144" i="1"/>
  <c r="L144" i="1"/>
  <c r="M144" i="1"/>
  <c r="O144" i="1"/>
  <c r="P144" i="1"/>
  <c r="Q144" i="1"/>
  <c r="S144" i="1"/>
  <c r="T144" i="1"/>
  <c r="U144" i="1"/>
  <c r="V144" i="1"/>
  <c r="W144" i="1"/>
  <c r="X144" i="1"/>
  <c r="Y144" i="1"/>
  <c r="Z144" i="1"/>
  <c r="AA144" i="1"/>
  <c r="AB144" i="1"/>
  <c r="AC144" i="1"/>
  <c r="AD144" i="1"/>
  <c r="AF144" i="1"/>
  <c r="AH144" i="1"/>
  <c r="AJ144" i="1"/>
  <c r="G146" i="1"/>
  <c r="N146" i="1"/>
  <c r="R146" i="1"/>
  <c r="AE146" i="1"/>
  <c r="AG146" i="1"/>
  <c r="AI146" i="1"/>
  <c r="K153" i="1"/>
  <c r="H153" i="1"/>
  <c r="I153" i="1"/>
  <c r="J153" i="1"/>
  <c r="L153" i="1"/>
  <c r="M153" i="1"/>
  <c r="O153" i="1"/>
  <c r="P153" i="1"/>
  <c r="Q153" i="1"/>
  <c r="S153" i="1"/>
  <c r="T153" i="1"/>
  <c r="U153" i="1"/>
  <c r="V153" i="1"/>
  <c r="W153" i="1"/>
  <c r="X153" i="1"/>
  <c r="Y153" i="1"/>
  <c r="Z153" i="1"/>
  <c r="AA153" i="1"/>
  <c r="AB153" i="1"/>
  <c r="AC153" i="1"/>
  <c r="AD153" i="1"/>
  <c r="AF153" i="1"/>
  <c r="AH153" i="1"/>
  <c r="AJ153" i="1"/>
  <c r="K156" i="1"/>
  <c r="L156" i="1"/>
  <c r="M156" i="1"/>
  <c r="O156" i="1"/>
  <c r="P156" i="1"/>
  <c r="Q156" i="1"/>
  <c r="S156" i="1"/>
  <c r="T156" i="1"/>
  <c r="U156" i="1"/>
  <c r="V156" i="1"/>
  <c r="W156" i="1"/>
  <c r="X156" i="1"/>
  <c r="Y156" i="1"/>
  <c r="Z156" i="1"/>
  <c r="AA156" i="1"/>
  <c r="AB156" i="1"/>
  <c r="AC156" i="1"/>
  <c r="AD156" i="1"/>
  <c r="AF156" i="1"/>
  <c r="AH156" i="1"/>
  <c r="AJ156" i="1"/>
  <c r="I157" i="1"/>
  <c r="K157" i="1"/>
  <c r="L157" i="1"/>
  <c r="M157" i="1"/>
  <c r="O157" i="1"/>
  <c r="P157" i="1"/>
  <c r="Q157" i="1"/>
  <c r="S157" i="1"/>
  <c r="T157" i="1"/>
  <c r="U157" i="1"/>
  <c r="V157" i="1"/>
  <c r="W157" i="1"/>
  <c r="X157" i="1"/>
  <c r="Y157" i="1"/>
  <c r="Z157" i="1"/>
  <c r="AA157" i="1"/>
  <c r="AB157" i="1"/>
  <c r="AC157" i="1"/>
  <c r="AD157" i="1"/>
  <c r="AF157" i="1"/>
  <c r="AH157" i="1"/>
  <c r="AJ157" i="1"/>
  <c r="F169" i="1"/>
  <c r="H164" i="1"/>
  <c r="K164" i="1"/>
  <c r="L164" i="1"/>
  <c r="M164" i="1"/>
  <c r="O164" i="1"/>
  <c r="P164" i="1"/>
  <c r="Q164" i="1"/>
  <c r="S164" i="1"/>
  <c r="T164" i="1"/>
  <c r="U164" i="1"/>
  <c r="V164" i="1"/>
  <c r="W164" i="1"/>
  <c r="X164" i="1"/>
  <c r="Y164" i="1"/>
  <c r="Z164" i="1"/>
  <c r="AA164" i="1"/>
  <c r="AB164" i="1"/>
  <c r="AC164" i="1"/>
  <c r="AD164" i="1"/>
  <c r="AF164" i="1"/>
  <c r="AH164" i="1"/>
  <c r="AJ164" i="1"/>
  <c r="K165" i="1"/>
  <c r="H165" i="1"/>
  <c r="I165" i="1"/>
  <c r="J165" i="1"/>
  <c r="L165" i="1"/>
  <c r="M165" i="1"/>
  <c r="O165" i="1"/>
  <c r="P165" i="1"/>
  <c r="Q165" i="1"/>
  <c r="S165" i="1"/>
  <c r="T165" i="1"/>
  <c r="U165" i="1"/>
  <c r="V165" i="1"/>
  <c r="W165" i="1"/>
  <c r="X165" i="1"/>
  <c r="Y165" i="1"/>
  <c r="Z165" i="1"/>
  <c r="AA165" i="1"/>
  <c r="AB165" i="1"/>
  <c r="AC165" i="1"/>
  <c r="AD165" i="1"/>
  <c r="AF165" i="1"/>
  <c r="AH165" i="1"/>
  <c r="AJ165" i="1"/>
  <c r="K166" i="1"/>
  <c r="H166" i="1"/>
  <c r="I166" i="1"/>
  <c r="J166" i="1"/>
  <c r="L166" i="1"/>
  <c r="M166" i="1"/>
  <c r="O166" i="1"/>
  <c r="P166" i="1"/>
  <c r="Q166" i="1"/>
  <c r="S166" i="1"/>
  <c r="T166" i="1"/>
  <c r="U166" i="1"/>
  <c r="V166" i="1"/>
  <c r="W166" i="1"/>
  <c r="X166" i="1"/>
  <c r="Y166" i="1"/>
  <c r="Z166" i="1"/>
  <c r="AA166" i="1"/>
  <c r="AB166" i="1"/>
  <c r="AC166" i="1"/>
  <c r="AD166" i="1"/>
  <c r="AF166" i="1"/>
  <c r="AH166" i="1"/>
  <c r="AJ166" i="1"/>
  <c r="K167" i="1"/>
  <c r="H167" i="1"/>
  <c r="I167" i="1"/>
  <c r="J167" i="1"/>
  <c r="L167" i="1"/>
  <c r="M167" i="1"/>
  <c r="O167" i="1"/>
  <c r="P167" i="1"/>
  <c r="Q167" i="1"/>
  <c r="S167" i="1"/>
  <c r="T167" i="1"/>
  <c r="U167" i="1"/>
  <c r="V167" i="1"/>
  <c r="W167" i="1"/>
  <c r="X167" i="1"/>
  <c r="Y167" i="1"/>
  <c r="Z167" i="1"/>
  <c r="AA167" i="1"/>
  <c r="AB167" i="1"/>
  <c r="AC167" i="1"/>
  <c r="AD167" i="1"/>
  <c r="AF167" i="1"/>
  <c r="AH167" i="1"/>
  <c r="AJ167" i="1"/>
  <c r="K175" i="1"/>
  <c r="L175" i="1"/>
  <c r="M175" i="1"/>
  <c r="O175" i="1"/>
  <c r="P175" i="1"/>
  <c r="Q175" i="1"/>
  <c r="S175" i="1"/>
  <c r="T175" i="1"/>
  <c r="U175" i="1"/>
  <c r="V175" i="1"/>
  <c r="W175" i="1"/>
  <c r="X175" i="1"/>
  <c r="Y175" i="1"/>
  <c r="Z175" i="1"/>
  <c r="AA175" i="1"/>
  <c r="AB175" i="1"/>
  <c r="AC175" i="1"/>
  <c r="AD175" i="1"/>
  <c r="AF175" i="1"/>
  <c r="AH175" i="1"/>
  <c r="AJ175" i="1"/>
  <c r="I176" i="1"/>
  <c r="K176" i="1"/>
  <c r="L176" i="1"/>
  <c r="M176" i="1"/>
  <c r="O176" i="1"/>
  <c r="P176" i="1"/>
  <c r="Q176" i="1"/>
  <c r="S176" i="1"/>
  <c r="T176" i="1"/>
  <c r="U176" i="1"/>
  <c r="V176" i="1"/>
  <c r="W176" i="1"/>
  <c r="X176" i="1"/>
  <c r="Y176" i="1"/>
  <c r="Z176" i="1"/>
  <c r="AA176" i="1"/>
  <c r="AB176" i="1"/>
  <c r="AC176" i="1"/>
  <c r="AD176" i="1"/>
  <c r="AF176" i="1"/>
  <c r="AH176" i="1"/>
  <c r="AJ176" i="1"/>
  <c r="I178" i="1"/>
  <c r="K178" i="1"/>
  <c r="L178" i="1"/>
  <c r="M178" i="1"/>
  <c r="O178" i="1"/>
  <c r="P178" i="1"/>
  <c r="Q178" i="1"/>
  <c r="S178" i="1"/>
  <c r="T178" i="1"/>
  <c r="U178" i="1"/>
  <c r="V178" i="1"/>
  <c r="W178" i="1"/>
  <c r="X178" i="1"/>
  <c r="Y178" i="1"/>
  <c r="Z178" i="1"/>
  <c r="AA178" i="1"/>
  <c r="AB178" i="1"/>
  <c r="AC178" i="1"/>
  <c r="AD178" i="1"/>
  <c r="AF178" i="1"/>
  <c r="AH178" i="1"/>
  <c r="AJ178" i="1"/>
  <c r="I179" i="1"/>
  <c r="K179" i="1"/>
  <c r="L179" i="1"/>
  <c r="M179" i="1"/>
  <c r="O179" i="1"/>
  <c r="P179" i="1"/>
  <c r="Q179" i="1"/>
  <c r="S179" i="1"/>
  <c r="T179" i="1"/>
  <c r="U179" i="1"/>
  <c r="V179" i="1"/>
  <c r="W179" i="1"/>
  <c r="X179" i="1"/>
  <c r="Y179" i="1"/>
  <c r="Z179" i="1"/>
  <c r="AA179" i="1"/>
  <c r="AB179" i="1"/>
  <c r="AC179" i="1"/>
  <c r="AD179" i="1"/>
  <c r="AF179" i="1"/>
  <c r="AH179" i="1"/>
  <c r="AJ179" i="1"/>
  <c r="H185" i="1"/>
  <c r="K185" i="1"/>
  <c r="L185" i="1"/>
  <c r="M185" i="1"/>
  <c r="O185" i="1"/>
  <c r="P185" i="1"/>
  <c r="Q185" i="1"/>
  <c r="S185" i="1"/>
  <c r="T185" i="1"/>
  <c r="U185" i="1"/>
  <c r="V185" i="1"/>
  <c r="W185" i="1"/>
  <c r="X185" i="1"/>
  <c r="Y185" i="1"/>
  <c r="Z185" i="1"/>
  <c r="AA185" i="1"/>
  <c r="AB185" i="1"/>
  <c r="AC185" i="1"/>
  <c r="AD185" i="1"/>
  <c r="AF185" i="1"/>
  <c r="AH185" i="1"/>
  <c r="AJ185" i="1"/>
  <c r="K186" i="1"/>
  <c r="L186" i="1"/>
  <c r="M186" i="1"/>
  <c r="O186" i="1"/>
  <c r="P186" i="1"/>
  <c r="Q186" i="1"/>
  <c r="S186" i="1"/>
  <c r="T186" i="1"/>
  <c r="U186" i="1"/>
  <c r="V186" i="1"/>
  <c r="W186" i="1"/>
  <c r="X186" i="1"/>
  <c r="Y186" i="1"/>
  <c r="Z186" i="1"/>
  <c r="AA186" i="1"/>
  <c r="AB186" i="1"/>
  <c r="AC186" i="1"/>
  <c r="AD186" i="1"/>
  <c r="AF186" i="1"/>
  <c r="AH186" i="1"/>
  <c r="AJ186" i="1"/>
  <c r="K187" i="1"/>
  <c r="H187" i="1"/>
  <c r="I187" i="1"/>
  <c r="J187" i="1"/>
  <c r="L187" i="1"/>
  <c r="M187" i="1"/>
  <c r="O187" i="1"/>
  <c r="P187" i="1"/>
  <c r="Q187" i="1"/>
  <c r="S187" i="1"/>
  <c r="T187" i="1"/>
  <c r="U187" i="1"/>
  <c r="V187" i="1"/>
  <c r="W187" i="1"/>
  <c r="X187" i="1"/>
  <c r="Y187" i="1"/>
  <c r="Z187" i="1"/>
  <c r="AA187" i="1"/>
  <c r="AB187" i="1"/>
  <c r="AC187" i="1"/>
  <c r="AD187" i="1"/>
  <c r="AF187" i="1"/>
  <c r="AH187" i="1"/>
  <c r="AJ187" i="1"/>
  <c r="K188" i="1"/>
  <c r="H188" i="1"/>
  <c r="J188" i="1"/>
  <c r="L188" i="1"/>
  <c r="M188" i="1"/>
  <c r="O188" i="1"/>
  <c r="P188" i="1"/>
  <c r="Q188" i="1"/>
  <c r="S188" i="1"/>
  <c r="T188" i="1"/>
  <c r="U188" i="1"/>
  <c r="V188" i="1"/>
  <c r="W188" i="1"/>
  <c r="X188" i="1"/>
  <c r="Y188" i="1"/>
  <c r="Z188" i="1"/>
  <c r="AA188" i="1"/>
  <c r="AB188" i="1"/>
  <c r="AC188" i="1"/>
  <c r="AD188" i="1"/>
  <c r="AF188" i="1"/>
  <c r="AH188" i="1"/>
  <c r="AJ188" i="1"/>
  <c r="K198" i="1"/>
  <c r="H198" i="1"/>
  <c r="I198" i="1"/>
  <c r="J198" i="1"/>
  <c r="L198" i="1"/>
  <c r="M198" i="1"/>
  <c r="O198" i="1"/>
  <c r="P198" i="1"/>
  <c r="Q198" i="1"/>
  <c r="S198" i="1"/>
  <c r="T198" i="1"/>
  <c r="U198" i="1"/>
  <c r="V198" i="1"/>
  <c r="W198" i="1"/>
  <c r="X198" i="1"/>
  <c r="Y198" i="1"/>
  <c r="Z198" i="1"/>
  <c r="AA198" i="1"/>
  <c r="AB198" i="1"/>
  <c r="AC198" i="1"/>
  <c r="AD198" i="1"/>
  <c r="AF198" i="1"/>
  <c r="AH198" i="1"/>
  <c r="AJ198" i="1"/>
  <c r="J199" i="1"/>
  <c r="K199" i="1"/>
  <c r="L199" i="1"/>
  <c r="M199" i="1"/>
  <c r="O199" i="1"/>
  <c r="P199" i="1"/>
  <c r="Q199" i="1"/>
  <c r="S199" i="1"/>
  <c r="T199" i="1"/>
  <c r="U199" i="1"/>
  <c r="V199" i="1"/>
  <c r="W199" i="1"/>
  <c r="X199" i="1"/>
  <c r="Y199" i="1"/>
  <c r="Z199" i="1"/>
  <c r="AA199" i="1"/>
  <c r="AB199" i="1"/>
  <c r="AC199" i="1"/>
  <c r="AD199" i="1"/>
  <c r="AF199" i="1"/>
  <c r="AH199" i="1"/>
  <c r="AJ199" i="1"/>
  <c r="K200" i="1"/>
  <c r="L200" i="1"/>
  <c r="M200" i="1"/>
  <c r="O200" i="1"/>
  <c r="P200" i="1"/>
  <c r="Q200" i="1"/>
  <c r="S200" i="1"/>
  <c r="T200" i="1"/>
  <c r="U200" i="1"/>
  <c r="V200" i="1"/>
  <c r="W200" i="1"/>
  <c r="X200" i="1"/>
  <c r="Y200" i="1"/>
  <c r="Z200" i="1"/>
  <c r="AA200" i="1"/>
  <c r="AB200" i="1"/>
  <c r="AC200" i="1"/>
  <c r="AD200" i="1"/>
  <c r="AF200" i="1"/>
  <c r="AH200" i="1"/>
  <c r="AJ200" i="1"/>
  <c r="H201" i="1"/>
  <c r="I201" i="1"/>
  <c r="J201" i="1"/>
  <c r="K201" i="1"/>
  <c r="L201" i="1"/>
  <c r="M201" i="1"/>
  <c r="O201" i="1"/>
  <c r="P201" i="1"/>
  <c r="Q201" i="1"/>
  <c r="S201" i="1"/>
  <c r="T201" i="1"/>
  <c r="U201" i="1"/>
  <c r="V201" i="1"/>
  <c r="W201" i="1"/>
  <c r="X201" i="1"/>
  <c r="Y201" i="1"/>
  <c r="Z201" i="1"/>
  <c r="AA201" i="1"/>
  <c r="AB201" i="1"/>
  <c r="AC201" i="1"/>
  <c r="AD201" i="1"/>
  <c r="AF201" i="1"/>
  <c r="AH201" i="1"/>
  <c r="AJ201" i="1"/>
  <c r="I206" i="1"/>
  <c r="K206" i="1"/>
  <c r="L206" i="1"/>
  <c r="M206" i="1"/>
  <c r="O206" i="1"/>
  <c r="P206" i="1"/>
  <c r="Q206" i="1"/>
  <c r="S206" i="1"/>
  <c r="T206" i="1"/>
  <c r="U206" i="1"/>
  <c r="V206" i="1"/>
  <c r="W206" i="1"/>
  <c r="X206" i="1"/>
  <c r="Y206" i="1"/>
  <c r="Z206" i="1"/>
  <c r="AA206" i="1"/>
  <c r="AB206" i="1"/>
  <c r="AC206" i="1"/>
  <c r="AD206" i="1"/>
  <c r="AF206" i="1"/>
  <c r="AH206" i="1"/>
  <c r="AJ206" i="1"/>
  <c r="K207" i="1"/>
  <c r="L207" i="1"/>
  <c r="M207" i="1"/>
  <c r="O207" i="1"/>
  <c r="P207" i="1"/>
  <c r="Q207" i="1"/>
  <c r="S207" i="1"/>
  <c r="T207" i="1"/>
  <c r="U207" i="1"/>
  <c r="V207" i="1"/>
  <c r="W207" i="1"/>
  <c r="X207" i="1"/>
  <c r="Y207" i="1"/>
  <c r="Z207" i="1"/>
  <c r="AA207" i="1"/>
  <c r="AB207" i="1"/>
  <c r="AC207" i="1"/>
  <c r="AD207" i="1"/>
  <c r="AF207" i="1"/>
  <c r="AH207" i="1"/>
  <c r="AJ207" i="1"/>
  <c r="I208" i="1"/>
  <c r="K208" i="1"/>
  <c r="L208" i="1"/>
  <c r="M208" i="1"/>
  <c r="O208" i="1"/>
  <c r="P208" i="1"/>
  <c r="Q208" i="1"/>
  <c r="S208" i="1"/>
  <c r="T208" i="1"/>
  <c r="U208" i="1"/>
  <c r="V208" i="1"/>
  <c r="W208" i="1"/>
  <c r="X208" i="1"/>
  <c r="Y208" i="1"/>
  <c r="Z208" i="1"/>
  <c r="AA208" i="1"/>
  <c r="AB208" i="1"/>
  <c r="AC208" i="1"/>
  <c r="AD208" i="1"/>
  <c r="AF208" i="1"/>
  <c r="AH208" i="1"/>
  <c r="AJ208" i="1"/>
  <c r="H209" i="1"/>
  <c r="K209" i="1"/>
  <c r="L209" i="1"/>
  <c r="M209" i="1"/>
  <c r="O209" i="1"/>
  <c r="P209" i="1"/>
  <c r="Q209" i="1"/>
  <c r="S209" i="1"/>
  <c r="T209" i="1"/>
  <c r="U209" i="1"/>
  <c r="V209" i="1"/>
  <c r="W209" i="1"/>
  <c r="X209" i="1"/>
  <c r="Y209" i="1"/>
  <c r="Z209" i="1"/>
  <c r="AA209" i="1"/>
  <c r="AB209" i="1"/>
  <c r="AC209" i="1"/>
  <c r="AD209" i="1"/>
  <c r="AF209" i="1"/>
  <c r="AH209" i="1"/>
  <c r="AJ209" i="1"/>
  <c r="I222" i="1"/>
  <c r="K222" i="1"/>
  <c r="L222" i="1"/>
  <c r="M222" i="1"/>
  <c r="O222" i="1"/>
  <c r="P222" i="1"/>
  <c r="Q222" i="1"/>
  <c r="S222" i="1"/>
  <c r="T222" i="1"/>
  <c r="U222" i="1"/>
  <c r="V222" i="1"/>
  <c r="W222" i="1"/>
  <c r="X222" i="1"/>
  <c r="Y222" i="1"/>
  <c r="Z222" i="1"/>
  <c r="AA222" i="1"/>
  <c r="AB222" i="1"/>
  <c r="AC222" i="1"/>
  <c r="AD222" i="1"/>
  <c r="AF222" i="1"/>
  <c r="AH222" i="1"/>
  <c r="AJ222" i="1"/>
  <c r="K223" i="1"/>
  <c r="L223" i="1"/>
  <c r="M223" i="1"/>
  <c r="O223" i="1"/>
  <c r="P223" i="1"/>
  <c r="Q223" i="1"/>
  <c r="S223" i="1"/>
  <c r="T223" i="1"/>
  <c r="U223" i="1"/>
  <c r="V223" i="1"/>
  <c r="W223" i="1"/>
  <c r="X223" i="1"/>
  <c r="Y223" i="1"/>
  <c r="Z223" i="1"/>
  <c r="AA223" i="1"/>
  <c r="AB223" i="1"/>
  <c r="AC223" i="1"/>
  <c r="AD223" i="1"/>
  <c r="AF223" i="1"/>
  <c r="AH223" i="1"/>
  <c r="AJ223" i="1"/>
  <c r="G247" i="1"/>
  <c r="H257" i="1"/>
  <c r="I257" i="1"/>
  <c r="J257" i="1"/>
  <c r="K257" i="1"/>
  <c r="L257" i="1"/>
  <c r="M257" i="1"/>
  <c r="O257" i="1"/>
  <c r="P257" i="1"/>
  <c r="Q257" i="1"/>
  <c r="S257" i="1"/>
  <c r="T257" i="1"/>
  <c r="U257" i="1"/>
  <c r="V257" i="1"/>
  <c r="W257" i="1"/>
  <c r="X257" i="1"/>
  <c r="Y257" i="1"/>
  <c r="Z257" i="1"/>
  <c r="AA257" i="1"/>
  <c r="AB257" i="1"/>
  <c r="AC257" i="1"/>
  <c r="AD257" i="1"/>
  <c r="AF257" i="1"/>
  <c r="AH257" i="1"/>
  <c r="AJ257" i="1"/>
  <c r="G263" i="1"/>
  <c r="G278" i="1"/>
  <c r="H287" i="1"/>
  <c r="I287" i="1"/>
  <c r="J287" i="1"/>
  <c r="K287" i="1"/>
  <c r="L287" i="1"/>
  <c r="M287" i="1"/>
  <c r="O287" i="1"/>
  <c r="P287" i="1"/>
  <c r="Q287" i="1"/>
  <c r="S287" i="1"/>
  <c r="T287" i="1"/>
  <c r="U287" i="1"/>
  <c r="V287" i="1"/>
  <c r="W287" i="1"/>
  <c r="X287" i="1"/>
  <c r="Y287" i="1"/>
  <c r="Z287" i="1"/>
  <c r="AA287" i="1"/>
  <c r="AB287" i="1"/>
  <c r="AC287" i="1"/>
  <c r="AD287" i="1"/>
  <c r="AH287" i="1"/>
  <c r="AJ287" i="1"/>
  <c r="H288" i="1"/>
  <c r="I288" i="1"/>
  <c r="J288" i="1"/>
  <c r="K288" i="1"/>
  <c r="L288" i="1"/>
  <c r="M288" i="1"/>
  <c r="O288" i="1"/>
  <c r="P288" i="1"/>
  <c r="Q288" i="1"/>
  <c r="S288" i="1"/>
  <c r="T288" i="1"/>
  <c r="U288" i="1"/>
  <c r="V288" i="1"/>
  <c r="W288" i="1"/>
  <c r="X288" i="1"/>
  <c r="Y288" i="1"/>
  <c r="Z288" i="1"/>
  <c r="AA288" i="1"/>
  <c r="AB288" i="1"/>
  <c r="AC288" i="1"/>
  <c r="AD288" i="1"/>
  <c r="AH288" i="1"/>
  <c r="AJ288" i="1"/>
  <c r="H289" i="1"/>
  <c r="I289" i="1"/>
  <c r="J289" i="1"/>
  <c r="K289" i="1"/>
  <c r="L289" i="1"/>
  <c r="M289" i="1"/>
  <c r="O289" i="1"/>
  <c r="P289" i="1"/>
  <c r="Q289" i="1"/>
  <c r="S289" i="1"/>
  <c r="T289" i="1"/>
  <c r="U289" i="1"/>
  <c r="V289" i="1"/>
  <c r="W289" i="1"/>
  <c r="X289" i="1"/>
  <c r="Y289" i="1"/>
  <c r="Z289" i="1"/>
  <c r="AA289" i="1"/>
  <c r="AB289" i="1"/>
  <c r="AC289" i="1"/>
  <c r="AD289" i="1"/>
  <c r="AH289" i="1"/>
  <c r="AJ289" i="1"/>
  <c r="H290" i="1"/>
  <c r="I290" i="1"/>
  <c r="J290" i="1"/>
  <c r="K290" i="1"/>
  <c r="L290" i="1"/>
  <c r="M290" i="1"/>
  <c r="O290" i="1"/>
  <c r="P290" i="1"/>
  <c r="Q290" i="1"/>
  <c r="S290" i="1"/>
  <c r="T290" i="1"/>
  <c r="U290" i="1"/>
  <c r="V290" i="1"/>
  <c r="W290" i="1"/>
  <c r="X290" i="1"/>
  <c r="Y290" i="1"/>
  <c r="Z290" i="1"/>
  <c r="AA290" i="1"/>
  <c r="AB290" i="1"/>
  <c r="AC290" i="1"/>
  <c r="AD290" i="1"/>
  <c r="AH290" i="1"/>
  <c r="AJ290" i="1"/>
  <c r="H291" i="1"/>
  <c r="I291" i="1"/>
  <c r="J291" i="1"/>
  <c r="K291" i="1"/>
  <c r="L291" i="1"/>
  <c r="M291" i="1"/>
  <c r="O291" i="1"/>
  <c r="P291" i="1"/>
  <c r="Q291" i="1"/>
  <c r="S291" i="1"/>
  <c r="T291" i="1"/>
  <c r="U291" i="1"/>
  <c r="V291" i="1"/>
  <c r="W291" i="1"/>
  <c r="X291" i="1"/>
  <c r="Y291" i="1"/>
  <c r="Z291" i="1"/>
  <c r="AA291" i="1"/>
  <c r="AB291" i="1"/>
  <c r="AC291" i="1"/>
  <c r="AD291" i="1"/>
  <c r="AH291" i="1"/>
  <c r="AJ291" i="1"/>
  <c r="G293" i="1"/>
  <c r="H296" i="1"/>
  <c r="I296" i="1"/>
  <c r="J296" i="1"/>
  <c r="K296" i="1"/>
  <c r="L296" i="1"/>
  <c r="M296" i="1"/>
  <c r="O296" i="1"/>
  <c r="P296" i="1"/>
  <c r="Q296" i="1"/>
  <c r="S296" i="1"/>
  <c r="T296" i="1"/>
  <c r="U296" i="1"/>
  <c r="V296" i="1"/>
  <c r="W296" i="1"/>
  <c r="X296" i="1"/>
  <c r="Y296" i="1"/>
  <c r="Z296" i="1"/>
  <c r="AA296" i="1"/>
  <c r="AB296" i="1"/>
  <c r="AC296" i="1"/>
  <c r="AD296" i="1"/>
  <c r="AF296" i="1"/>
  <c r="AJ296" i="1"/>
  <c r="H297" i="1"/>
  <c r="I297" i="1"/>
  <c r="J297" i="1"/>
  <c r="K297" i="1"/>
  <c r="L297" i="1"/>
  <c r="M297" i="1"/>
  <c r="O297" i="1"/>
  <c r="P297" i="1"/>
  <c r="Q297" i="1"/>
  <c r="S297" i="1"/>
  <c r="T297" i="1"/>
  <c r="U297" i="1"/>
  <c r="V297" i="1"/>
  <c r="W297" i="1"/>
  <c r="X297" i="1"/>
  <c r="Y297" i="1"/>
  <c r="Z297" i="1"/>
  <c r="AA297" i="1"/>
  <c r="AB297" i="1"/>
  <c r="AC297" i="1"/>
  <c r="AD297" i="1"/>
  <c r="AF297" i="1"/>
  <c r="AJ297" i="1"/>
  <c r="H298" i="1"/>
  <c r="I298" i="1"/>
  <c r="J298" i="1"/>
  <c r="K298" i="1"/>
  <c r="L298" i="1"/>
  <c r="M298" i="1"/>
  <c r="O298" i="1"/>
  <c r="P298" i="1"/>
  <c r="Q298" i="1"/>
  <c r="S298" i="1"/>
  <c r="T298" i="1"/>
  <c r="U298" i="1"/>
  <c r="V298" i="1"/>
  <c r="W298" i="1"/>
  <c r="X298" i="1"/>
  <c r="Y298" i="1"/>
  <c r="Z298" i="1"/>
  <c r="AA298" i="1"/>
  <c r="AB298" i="1"/>
  <c r="AC298" i="1"/>
  <c r="AD298" i="1"/>
  <c r="AF298" i="1"/>
  <c r="AH298" i="1"/>
  <c r="AJ298" i="1"/>
  <c r="H299" i="1"/>
  <c r="I299" i="1"/>
  <c r="J299" i="1"/>
  <c r="K299" i="1"/>
  <c r="L299" i="1"/>
  <c r="M299" i="1"/>
  <c r="O299" i="1"/>
  <c r="P299" i="1"/>
  <c r="Q299" i="1"/>
  <c r="S299" i="1"/>
  <c r="T299" i="1"/>
  <c r="U299" i="1"/>
  <c r="V299" i="1"/>
  <c r="W299" i="1"/>
  <c r="X299" i="1"/>
  <c r="Y299" i="1"/>
  <c r="Z299" i="1"/>
  <c r="AA299" i="1"/>
  <c r="AB299" i="1"/>
  <c r="AC299" i="1"/>
  <c r="AD299" i="1"/>
  <c r="AF299" i="1"/>
  <c r="AJ299" i="1"/>
  <c r="H300" i="1"/>
  <c r="I300" i="1"/>
  <c r="J300" i="1"/>
  <c r="K300" i="1"/>
  <c r="L300" i="1"/>
  <c r="M300" i="1"/>
  <c r="O300" i="1"/>
  <c r="P300" i="1"/>
  <c r="Q300" i="1"/>
  <c r="S300" i="1"/>
  <c r="T300" i="1"/>
  <c r="U300" i="1"/>
  <c r="V300" i="1"/>
  <c r="W300" i="1"/>
  <c r="X300" i="1"/>
  <c r="Y300" i="1"/>
  <c r="Z300" i="1"/>
  <c r="AA300" i="1"/>
  <c r="AB300" i="1"/>
  <c r="AC300" i="1"/>
  <c r="AD300" i="1"/>
  <c r="AF300" i="1"/>
  <c r="AH300" i="1"/>
  <c r="AJ300" i="1"/>
  <c r="H301" i="1"/>
  <c r="I301" i="1"/>
  <c r="J301" i="1"/>
  <c r="K301" i="1"/>
  <c r="L301" i="1"/>
  <c r="M301" i="1"/>
  <c r="O301" i="1"/>
  <c r="P301" i="1"/>
  <c r="Q301" i="1"/>
  <c r="S301" i="1"/>
  <c r="T301" i="1"/>
  <c r="U301" i="1"/>
  <c r="V301" i="1"/>
  <c r="W301" i="1"/>
  <c r="X301" i="1"/>
  <c r="Y301" i="1"/>
  <c r="Z301" i="1"/>
  <c r="AA301" i="1"/>
  <c r="AB301" i="1"/>
  <c r="AC301" i="1"/>
  <c r="AD301" i="1"/>
  <c r="AF301" i="1"/>
  <c r="AJ301" i="1"/>
  <c r="H302" i="1"/>
  <c r="I302" i="1"/>
  <c r="J302" i="1"/>
  <c r="K302" i="1"/>
  <c r="L302" i="1"/>
  <c r="M302" i="1"/>
  <c r="O302" i="1"/>
  <c r="P302" i="1"/>
  <c r="Q302" i="1"/>
  <c r="S302" i="1"/>
  <c r="T302" i="1"/>
  <c r="U302" i="1"/>
  <c r="V302" i="1"/>
  <c r="W302" i="1"/>
  <c r="X302" i="1"/>
  <c r="Y302" i="1"/>
  <c r="Z302" i="1"/>
  <c r="AA302" i="1"/>
  <c r="AB302" i="1"/>
  <c r="AC302" i="1"/>
  <c r="AD302" i="1"/>
  <c r="AF302" i="1"/>
  <c r="AJ302" i="1"/>
  <c r="H303" i="1"/>
  <c r="I303" i="1"/>
  <c r="J303" i="1"/>
  <c r="K303" i="1"/>
  <c r="L303" i="1"/>
  <c r="M303" i="1"/>
  <c r="O303" i="1"/>
  <c r="P303" i="1"/>
  <c r="Q303" i="1"/>
  <c r="S303" i="1"/>
  <c r="T303" i="1"/>
  <c r="U303" i="1"/>
  <c r="V303" i="1"/>
  <c r="W303" i="1"/>
  <c r="X303" i="1"/>
  <c r="Y303" i="1"/>
  <c r="Z303" i="1"/>
  <c r="AA303" i="1"/>
  <c r="AB303" i="1"/>
  <c r="AC303" i="1"/>
  <c r="AD303" i="1"/>
  <c r="AF303" i="1"/>
  <c r="AJ303" i="1"/>
  <c r="H304" i="1"/>
  <c r="I304" i="1"/>
  <c r="J304" i="1"/>
  <c r="K304" i="1"/>
  <c r="L304" i="1"/>
  <c r="M304" i="1"/>
  <c r="O304" i="1"/>
  <c r="P304" i="1"/>
  <c r="Q304" i="1"/>
  <c r="S304" i="1"/>
  <c r="T304" i="1"/>
  <c r="U304" i="1"/>
  <c r="V304" i="1"/>
  <c r="W304" i="1"/>
  <c r="X304" i="1"/>
  <c r="Y304" i="1"/>
  <c r="Z304" i="1"/>
  <c r="AA304" i="1"/>
  <c r="AB304" i="1"/>
  <c r="AC304" i="1"/>
  <c r="AD304" i="1"/>
  <c r="AF304" i="1"/>
  <c r="AJ304" i="1"/>
  <c r="AH305" i="1"/>
  <c r="H305" i="1"/>
  <c r="I305" i="1"/>
  <c r="J305" i="1"/>
  <c r="K305" i="1"/>
  <c r="L305" i="1"/>
  <c r="M305" i="1"/>
  <c r="O305" i="1"/>
  <c r="P305" i="1"/>
  <c r="Q305" i="1"/>
  <c r="S305" i="1"/>
  <c r="T305" i="1"/>
  <c r="U305" i="1"/>
  <c r="V305" i="1"/>
  <c r="W305" i="1"/>
  <c r="X305" i="1"/>
  <c r="Y305" i="1"/>
  <c r="Z305" i="1"/>
  <c r="AA305" i="1"/>
  <c r="AB305" i="1"/>
  <c r="AC305" i="1"/>
  <c r="AD305" i="1"/>
  <c r="AF305" i="1"/>
  <c r="AJ305" i="1"/>
  <c r="G307" i="1"/>
  <c r="G331" i="1"/>
  <c r="G335" i="1"/>
  <c r="H341" i="1"/>
  <c r="I341" i="1"/>
  <c r="J341" i="1"/>
  <c r="L341" i="1"/>
  <c r="M341" i="1"/>
  <c r="O341" i="1"/>
  <c r="P341" i="1"/>
  <c r="Q341" i="1"/>
  <c r="S341" i="1"/>
  <c r="T341" i="1"/>
  <c r="U341" i="1"/>
  <c r="V341" i="1"/>
  <c r="W341" i="1"/>
  <c r="X341" i="1"/>
  <c r="Y341" i="1"/>
  <c r="Z341" i="1"/>
  <c r="AA341" i="1"/>
  <c r="AB341" i="1"/>
  <c r="AC341" i="1"/>
  <c r="AD341" i="1"/>
  <c r="AF341" i="1"/>
  <c r="AH341" i="1"/>
  <c r="AJ341" i="1"/>
  <c r="I342" i="1"/>
  <c r="I154" i="1" s="1"/>
  <c r="K342" i="1"/>
  <c r="L342" i="1"/>
  <c r="M342" i="1"/>
  <c r="O342" i="1"/>
  <c r="P342" i="1"/>
  <c r="Q342" i="1"/>
  <c r="S342" i="1"/>
  <c r="T342" i="1"/>
  <c r="U342" i="1"/>
  <c r="V342" i="1"/>
  <c r="W342" i="1"/>
  <c r="X342" i="1"/>
  <c r="Y342" i="1"/>
  <c r="Z342" i="1"/>
  <c r="AA342" i="1"/>
  <c r="AB342" i="1"/>
  <c r="AC342" i="1"/>
  <c r="AD342" i="1"/>
  <c r="AF342" i="1"/>
  <c r="AH342" i="1"/>
  <c r="AJ342" i="1"/>
  <c r="K343" i="1"/>
  <c r="L343" i="1"/>
  <c r="M343" i="1"/>
  <c r="O343" i="1"/>
  <c r="P343" i="1"/>
  <c r="Q343" i="1"/>
  <c r="S343" i="1"/>
  <c r="T343" i="1"/>
  <c r="U343" i="1"/>
  <c r="V343" i="1"/>
  <c r="W343" i="1"/>
  <c r="X343" i="1"/>
  <c r="Y343" i="1"/>
  <c r="Z343" i="1"/>
  <c r="AA343" i="1"/>
  <c r="AB343" i="1"/>
  <c r="AC343" i="1"/>
  <c r="AD343" i="1"/>
  <c r="AF343" i="1"/>
  <c r="AH343" i="1"/>
  <c r="AJ343" i="1"/>
  <c r="K344" i="1"/>
  <c r="L344" i="1"/>
  <c r="M344" i="1"/>
  <c r="O344" i="1"/>
  <c r="P344" i="1"/>
  <c r="Q344" i="1"/>
  <c r="S344" i="1"/>
  <c r="T344" i="1"/>
  <c r="U344" i="1"/>
  <c r="V344" i="1"/>
  <c r="W344" i="1"/>
  <c r="X344" i="1"/>
  <c r="Y344" i="1"/>
  <c r="Z344" i="1"/>
  <c r="AA344" i="1"/>
  <c r="AB344" i="1"/>
  <c r="AC344" i="1"/>
  <c r="AD344" i="1"/>
  <c r="AF344" i="1"/>
  <c r="AH344" i="1"/>
  <c r="AJ344" i="1"/>
  <c r="H345" i="1"/>
  <c r="I345" i="1"/>
  <c r="J345" i="1"/>
  <c r="K345" i="1"/>
  <c r="L345" i="1"/>
  <c r="M345" i="1"/>
  <c r="O345" i="1"/>
  <c r="P345" i="1"/>
  <c r="Q345" i="1"/>
  <c r="S345" i="1"/>
  <c r="T345" i="1"/>
  <c r="U345" i="1"/>
  <c r="V345" i="1"/>
  <c r="W345" i="1"/>
  <c r="X345" i="1"/>
  <c r="Y345" i="1"/>
  <c r="Z345" i="1"/>
  <c r="AA345" i="1"/>
  <c r="AB345" i="1"/>
  <c r="AC345" i="1"/>
  <c r="AD345" i="1"/>
  <c r="AF345" i="1"/>
  <c r="AH345" i="1"/>
  <c r="AJ345" i="1"/>
  <c r="K351" i="1"/>
  <c r="L351" i="1"/>
  <c r="M351" i="1"/>
  <c r="O351" i="1"/>
  <c r="P351" i="1"/>
  <c r="Q351" i="1"/>
  <c r="S351" i="1"/>
  <c r="T351" i="1"/>
  <c r="U351" i="1"/>
  <c r="V351" i="1"/>
  <c r="W351" i="1"/>
  <c r="X351" i="1"/>
  <c r="Y351" i="1"/>
  <c r="Z351" i="1"/>
  <c r="AA351" i="1"/>
  <c r="AB351" i="1"/>
  <c r="AC351" i="1"/>
  <c r="AD351" i="1"/>
  <c r="AF351" i="1"/>
  <c r="AH351" i="1"/>
  <c r="AJ351" i="1"/>
  <c r="H352" i="1"/>
  <c r="I352" i="1"/>
  <c r="J352" i="1"/>
  <c r="L352" i="1"/>
  <c r="M352" i="1"/>
  <c r="O352" i="1"/>
  <c r="P352" i="1"/>
  <c r="Q352" i="1"/>
  <c r="S352" i="1"/>
  <c r="T352" i="1"/>
  <c r="U352" i="1"/>
  <c r="V352" i="1"/>
  <c r="W352" i="1"/>
  <c r="X352" i="1"/>
  <c r="Y352" i="1"/>
  <c r="Z352" i="1"/>
  <c r="AA352" i="1"/>
  <c r="AB352" i="1"/>
  <c r="AC352" i="1"/>
  <c r="AD352" i="1"/>
  <c r="AF352" i="1"/>
  <c r="AH352" i="1"/>
  <c r="AJ352" i="1"/>
  <c r="H353" i="1"/>
  <c r="I353" i="1"/>
  <c r="J353" i="1"/>
  <c r="L353" i="1"/>
  <c r="M353" i="1"/>
  <c r="O353" i="1"/>
  <c r="P353" i="1"/>
  <c r="Q353" i="1"/>
  <c r="S353" i="1"/>
  <c r="T353" i="1"/>
  <c r="U353" i="1"/>
  <c r="V353" i="1"/>
  <c r="W353" i="1"/>
  <c r="X353" i="1"/>
  <c r="Y353" i="1"/>
  <c r="Z353" i="1"/>
  <c r="AA353" i="1"/>
  <c r="AB353" i="1"/>
  <c r="AC353" i="1"/>
  <c r="AD353" i="1"/>
  <c r="AF353" i="1"/>
  <c r="AH353" i="1"/>
  <c r="AJ353" i="1"/>
  <c r="H354" i="1"/>
  <c r="I354" i="1"/>
  <c r="J354" i="1"/>
  <c r="L354" i="1"/>
  <c r="M354" i="1"/>
  <c r="O354" i="1"/>
  <c r="P354" i="1"/>
  <c r="Q354" i="1"/>
  <c r="S354" i="1"/>
  <c r="T354" i="1"/>
  <c r="U354" i="1"/>
  <c r="V354" i="1"/>
  <c r="W354" i="1"/>
  <c r="X354" i="1"/>
  <c r="Y354" i="1"/>
  <c r="Z354" i="1"/>
  <c r="AA354" i="1"/>
  <c r="AB354" i="1"/>
  <c r="AC354" i="1"/>
  <c r="AD354" i="1"/>
  <c r="AF354" i="1"/>
  <c r="AH354" i="1"/>
  <c r="AJ354" i="1"/>
  <c r="H362" i="1"/>
  <c r="I362" i="1"/>
  <c r="J362" i="1"/>
  <c r="K362" i="1"/>
  <c r="L362" i="1"/>
  <c r="M362" i="1"/>
  <c r="O362" i="1"/>
  <c r="P362" i="1"/>
  <c r="Q362" i="1"/>
  <c r="S362" i="1"/>
  <c r="T362" i="1"/>
  <c r="U362" i="1"/>
  <c r="V362" i="1"/>
  <c r="W362" i="1"/>
  <c r="X362" i="1"/>
  <c r="Y362" i="1"/>
  <c r="Z362" i="1"/>
  <c r="AA362" i="1"/>
  <c r="AB362" i="1"/>
  <c r="AC362" i="1"/>
  <c r="AD362" i="1"/>
  <c r="AF362" i="1"/>
  <c r="AH362" i="1"/>
  <c r="AJ362" i="1"/>
  <c r="H363" i="1"/>
  <c r="I363" i="1"/>
  <c r="J363" i="1"/>
  <c r="K363" i="1"/>
  <c r="L363" i="1"/>
  <c r="M363" i="1"/>
  <c r="O363" i="1"/>
  <c r="P363" i="1"/>
  <c r="Q363" i="1"/>
  <c r="S363" i="1"/>
  <c r="T363" i="1"/>
  <c r="U363" i="1"/>
  <c r="V363" i="1"/>
  <c r="W363" i="1"/>
  <c r="X363" i="1"/>
  <c r="Y363" i="1"/>
  <c r="Z363" i="1"/>
  <c r="AA363" i="1"/>
  <c r="AB363" i="1"/>
  <c r="AC363" i="1"/>
  <c r="AD363" i="1"/>
  <c r="AF363" i="1"/>
  <c r="AH363" i="1"/>
  <c r="AJ363" i="1"/>
  <c r="K364" i="1"/>
  <c r="L364" i="1"/>
  <c r="M364" i="1"/>
  <c r="O364" i="1"/>
  <c r="P364" i="1"/>
  <c r="Q364" i="1"/>
  <c r="S364" i="1"/>
  <c r="T364" i="1"/>
  <c r="U364" i="1"/>
  <c r="V364" i="1"/>
  <c r="W364" i="1"/>
  <c r="X364" i="1"/>
  <c r="Y364" i="1"/>
  <c r="Z364" i="1"/>
  <c r="AA364" i="1"/>
  <c r="AB364" i="1"/>
  <c r="AC364" i="1"/>
  <c r="AD364" i="1"/>
  <c r="AF364" i="1"/>
  <c r="AH364" i="1"/>
  <c r="AJ364" i="1"/>
  <c r="H365" i="1"/>
  <c r="K365" i="1"/>
  <c r="L365" i="1"/>
  <c r="M365" i="1"/>
  <c r="O365" i="1"/>
  <c r="P365" i="1"/>
  <c r="Q365" i="1"/>
  <c r="S365" i="1"/>
  <c r="T365" i="1"/>
  <c r="U365" i="1"/>
  <c r="V365" i="1"/>
  <c r="W365" i="1"/>
  <c r="X365" i="1"/>
  <c r="Y365" i="1"/>
  <c r="Z365" i="1"/>
  <c r="AA365" i="1"/>
  <c r="AB365" i="1"/>
  <c r="AC365" i="1"/>
  <c r="AD365" i="1"/>
  <c r="AF365" i="1"/>
  <c r="AH365" i="1"/>
  <c r="AJ365" i="1"/>
  <c r="H366" i="1"/>
  <c r="I366" i="1"/>
  <c r="J366" i="1"/>
  <c r="K366" i="1"/>
  <c r="L366" i="1"/>
  <c r="M366" i="1"/>
  <c r="O366" i="1"/>
  <c r="P366" i="1"/>
  <c r="Q366" i="1"/>
  <c r="S366" i="1"/>
  <c r="T366" i="1"/>
  <c r="U366" i="1"/>
  <c r="V366" i="1"/>
  <c r="W366" i="1"/>
  <c r="X366" i="1"/>
  <c r="Y366" i="1"/>
  <c r="Z366" i="1"/>
  <c r="AA366" i="1"/>
  <c r="AB366" i="1"/>
  <c r="AC366" i="1"/>
  <c r="AD366" i="1"/>
  <c r="AF366" i="1"/>
  <c r="AH366" i="1"/>
  <c r="AJ366" i="1"/>
  <c r="I372" i="1"/>
  <c r="K372" i="1"/>
  <c r="L372" i="1"/>
  <c r="M372" i="1"/>
  <c r="O372" i="1"/>
  <c r="P372" i="1"/>
  <c r="Q372" i="1"/>
  <c r="S372" i="1"/>
  <c r="T372" i="1"/>
  <c r="U372" i="1"/>
  <c r="V372" i="1"/>
  <c r="W372" i="1"/>
  <c r="X372" i="1"/>
  <c r="Y372" i="1"/>
  <c r="Z372" i="1"/>
  <c r="AA372" i="1"/>
  <c r="AB372" i="1"/>
  <c r="AC372" i="1"/>
  <c r="AD372" i="1"/>
  <c r="AF372" i="1"/>
  <c r="AH372" i="1"/>
  <c r="AJ372" i="1"/>
  <c r="I373" i="1"/>
  <c r="J373" i="1"/>
  <c r="K373" i="1"/>
  <c r="L373" i="1"/>
  <c r="M373" i="1"/>
  <c r="O373" i="1"/>
  <c r="P373" i="1"/>
  <c r="Q373" i="1"/>
  <c r="S373" i="1"/>
  <c r="T373" i="1"/>
  <c r="U373" i="1"/>
  <c r="V373" i="1"/>
  <c r="W373" i="1"/>
  <c r="X373" i="1"/>
  <c r="Y373" i="1"/>
  <c r="Z373" i="1"/>
  <c r="AA373" i="1"/>
  <c r="AB373" i="1"/>
  <c r="AC373" i="1"/>
  <c r="AD373" i="1"/>
  <c r="AF373" i="1"/>
  <c r="AH373" i="1"/>
  <c r="AJ373" i="1"/>
  <c r="H374" i="1"/>
  <c r="I374" i="1"/>
  <c r="J374" i="1"/>
  <c r="L374" i="1"/>
  <c r="M374" i="1"/>
  <c r="O374" i="1"/>
  <c r="P374" i="1"/>
  <c r="Q374" i="1"/>
  <c r="S374" i="1"/>
  <c r="T374" i="1"/>
  <c r="U374" i="1"/>
  <c r="V374" i="1"/>
  <c r="W374" i="1"/>
  <c r="X374" i="1"/>
  <c r="Y374" i="1"/>
  <c r="Z374" i="1"/>
  <c r="AA374" i="1"/>
  <c r="AB374" i="1"/>
  <c r="AC374" i="1"/>
  <c r="AD374" i="1"/>
  <c r="AF374" i="1"/>
  <c r="AH374" i="1"/>
  <c r="AJ374" i="1"/>
  <c r="H375" i="1"/>
  <c r="I375" i="1"/>
  <c r="J375" i="1"/>
  <c r="L375" i="1"/>
  <c r="M375" i="1"/>
  <c r="O375" i="1"/>
  <c r="P375" i="1"/>
  <c r="Q375" i="1"/>
  <c r="S375" i="1"/>
  <c r="T375" i="1"/>
  <c r="U375" i="1"/>
  <c r="V375" i="1"/>
  <c r="W375" i="1"/>
  <c r="X375" i="1"/>
  <c r="Y375" i="1"/>
  <c r="Z375" i="1"/>
  <c r="AA375" i="1"/>
  <c r="AB375" i="1"/>
  <c r="AC375" i="1"/>
  <c r="AD375" i="1"/>
  <c r="AF375" i="1"/>
  <c r="AH375" i="1"/>
  <c r="AJ375" i="1"/>
  <c r="I384" i="1"/>
  <c r="K384" i="1"/>
  <c r="L384" i="1"/>
  <c r="M384" i="1"/>
  <c r="O384" i="1"/>
  <c r="P384" i="1"/>
  <c r="Q384" i="1"/>
  <c r="S384" i="1"/>
  <c r="T384" i="1"/>
  <c r="U384" i="1"/>
  <c r="V384" i="1"/>
  <c r="W384" i="1"/>
  <c r="X384" i="1"/>
  <c r="Y384" i="1"/>
  <c r="Z384" i="1"/>
  <c r="AA384" i="1"/>
  <c r="AB384" i="1"/>
  <c r="AC384" i="1"/>
  <c r="AD384" i="1"/>
  <c r="AF384" i="1"/>
  <c r="AH384" i="1"/>
  <c r="AJ384" i="1"/>
  <c r="H385" i="1"/>
  <c r="I385" i="1"/>
  <c r="J385" i="1"/>
  <c r="L385" i="1"/>
  <c r="M385" i="1"/>
  <c r="O385" i="1"/>
  <c r="P385" i="1"/>
  <c r="Q385" i="1"/>
  <c r="S385" i="1"/>
  <c r="T385" i="1"/>
  <c r="U385" i="1"/>
  <c r="V385" i="1"/>
  <c r="W385" i="1"/>
  <c r="X385" i="1"/>
  <c r="Y385" i="1"/>
  <c r="Z385" i="1"/>
  <c r="AA385" i="1"/>
  <c r="AB385" i="1"/>
  <c r="AC385" i="1"/>
  <c r="AD385" i="1"/>
  <c r="AF385" i="1"/>
  <c r="AH385" i="1"/>
  <c r="AJ385" i="1"/>
  <c r="I386" i="1"/>
  <c r="K386" i="1"/>
  <c r="L386" i="1"/>
  <c r="M386" i="1"/>
  <c r="O386" i="1"/>
  <c r="P386" i="1"/>
  <c r="Q386" i="1"/>
  <c r="S386" i="1"/>
  <c r="T386" i="1"/>
  <c r="U386" i="1"/>
  <c r="V386" i="1"/>
  <c r="W386" i="1"/>
  <c r="X386" i="1"/>
  <c r="Y386" i="1"/>
  <c r="Z386" i="1"/>
  <c r="AA386" i="1"/>
  <c r="AB386" i="1"/>
  <c r="AC386" i="1"/>
  <c r="AD386" i="1"/>
  <c r="AF386" i="1"/>
  <c r="AH386" i="1"/>
  <c r="AJ386" i="1"/>
  <c r="K387" i="1"/>
  <c r="L387" i="1"/>
  <c r="M387" i="1"/>
  <c r="O387" i="1"/>
  <c r="P387" i="1"/>
  <c r="Q387" i="1"/>
  <c r="S387" i="1"/>
  <c r="T387" i="1"/>
  <c r="U387" i="1"/>
  <c r="V387" i="1"/>
  <c r="W387" i="1"/>
  <c r="X387" i="1"/>
  <c r="Y387" i="1"/>
  <c r="Z387" i="1"/>
  <c r="AA387" i="1"/>
  <c r="AB387" i="1"/>
  <c r="AC387" i="1"/>
  <c r="AD387" i="1"/>
  <c r="AF387" i="1"/>
  <c r="AH387" i="1"/>
  <c r="AJ387" i="1"/>
  <c r="I388" i="1"/>
  <c r="K388" i="1"/>
  <c r="L388" i="1"/>
  <c r="M388" i="1"/>
  <c r="O388" i="1"/>
  <c r="P388" i="1"/>
  <c r="Q388" i="1"/>
  <c r="S388" i="1"/>
  <c r="T388" i="1"/>
  <c r="U388" i="1"/>
  <c r="V388" i="1"/>
  <c r="W388" i="1"/>
  <c r="X388" i="1"/>
  <c r="Y388" i="1"/>
  <c r="Z388" i="1"/>
  <c r="AA388" i="1"/>
  <c r="AB388" i="1"/>
  <c r="AC388" i="1"/>
  <c r="AD388" i="1"/>
  <c r="AF388" i="1"/>
  <c r="AH388" i="1"/>
  <c r="AJ388" i="1"/>
  <c r="I393" i="1"/>
  <c r="K393" i="1"/>
  <c r="L393" i="1"/>
  <c r="M393" i="1"/>
  <c r="O393" i="1"/>
  <c r="P393" i="1"/>
  <c r="Q393" i="1"/>
  <c r="S393" i="1"/>
  <c r="T393" i="1"/>
  <c r="U393" i="1"/>
  <c r="V393" i="1"/>
  <c r="W393" i="1"/>
  <c r="X393" i="1"/>
  <c r="Y393" i="1"/>
  <c r="Z393" i="1"/>
  <c r="AA393" i="1"/>
  <c r="AB393" i="1"/>
  <c r="AC393" i="1"/>
  <c r="AD393" i="1"/>
  <c r="AF393" i="1"/>
  <c r="AH393" i="1"/>
  <c r="AJ393" i="1"/>
  <c r="J394" i="1"/>
  <c r="K394" i="1"/>
  <c r="L394" i="1"/>
  <c r="M394" i="1"/>
  <c r="O394" i="1"/>
  <c r="P394" i="1"/>
  <c r="Q394" i="1"/>
  <c r="S394" i="1"/>
  <c r="T394" i="1"/>
  <c r="U394" i="1"/>
  <c r="V394" i="1"/>
  <c r="W394" i="1"/>
  <c r="X394" i="1"/>
  <c r="Y394" i="1"/>
  <c r="Z394" i="1"/>
  <c r="AA394" i="1"/>
  <c r="AB394" i="1"/>
  <c r="AC394" i="1"/>
  <c r="AD394" i="1"/>
  <c r="AF394" i="1"/>
  <c r="AH394" i="1"/>
  <c r="AJ394" i="1"/>
  <c r="I395" i="1"/>
  <c r="K395" i="1"/>
  <c r="L395" i="1"/>
  <c r="M395" i="1"/>
  <c r="O395" i="1"/>
  <c r="P395" i="1"/>
  <c r="Q395" i="1"/>
  <c r="S395" i="1"/>
  <c r="T395" i="1"/>
  <c r="U395" i="1"/>
  <c r="V395" i="1"/>
  <c r="W395" i="1"/>
  <c r="X395" i="1"/>
  <c r="Y395" i="1"/>
  <c r="Z395" i="1"/>
  <c r="AA395" i="1"/>
  <c r="AB395" i="1"/>
  <c r="AC395" i="1"/>
  <c r="AD395" i="1"/>
  <c r="AF395" i="1"/>
  <c r="AH395" i="1"/>
  <c r="AJ395" i="1"/>
  <c r="J396" i="1"/>
  <c r="K396" i="1"/>
  <c r="L396" i="1"/>
  <c r="M396" i="1"/>
  <c r="O396" i="1"/>
  <c r="P396" i="1"/>
  <c r="Q396" i="1"/>
  <c r="S396" i="1"/>
  <c r="T396" i="1"/>
  <c r="U396" i="1"/>
  <c r="V396" i="1"/>
  <c r="W396" i="1"/>
  <c r="X396" i="1"/>
  <c r="Y396" i="1"/>
  <c r="Z396" i="1"/>
  <c r="AA396" i="1"/>
  <c r="AB396" i="1"/>
  <c r="AC396" i="1"/>
  <c r="AD396" i="1"/>
  <c r="AF396" i="1"/>
  <c r="AH396" i="1"/>
  <c r="AJ396" i="1"/>
  <c r="I406" i="1"/>
  <c r="K406" i="1"/>
  <c r="L406" i="1"/>
  <c r="M406" i="1"/>
  <c r="O406" i="1"/>
  <c r="P406" i="1"/>
  <c r="Q406" i="1"/>
  <c r="S406" i="1"/>
  <c r="T406" i="1"/>
  <c r="U406" i="1"/>
  <c r="V406" i="1"/>
  <c r="W406" i="1"/>
  <c r="X406" i="1"/>
  <c r="Y406" i="1"/>
  <c r="Z406" i="1"/>
  <c r="AA406" i="1"/>
  <c r="AB406" i="1"/>
  <c r="AC406" i="1"/>
  <c r="AD406" i="1"/>
  <c r="AF406" i="1"/>
  <c r="AH406" i="1"/>
  <c r="AJ406" i="1"/>
  <c r="J407" i="1"/>
  <c r="K407" i="1"/>
  <c r="L407" i="1"/>
  <c r="M407" i="1"/>
  <c r="O407" i="1"/>
  <c r="P407" i="1"/>
  <c r="Q407" i="1"/>
  <c r="S407" i="1"/>
  <c r="T407" i="1"/>
  <c r="U407" i="1"/>
  <c r="V407" i="1"/>
  <c r="W407" i="1"/>
  <c r="X407" i="1"/>
  <c r="Y407" i="1"/>
  <c r="Z407" i="1"/>
  <c r="AA407" i="1"/>
  <c r="AB407" i="1"/>
  <c r="AC407" i="1"/>
  <c r="AD407" i="1"/>
  <c r="AF407" i="1"/>
  <c r="AH407" i="1"/>
  <c r="AJ407" i="1"/>
  <c r="G425" i="1"/>
  <c r="H435" i="1"/>
  <c r="I435" i="1"/>
  <c r="J435" i="1"/>
  <c r="K435" i="1"/>
  <c r="L435" i="1"/>
  <c r="M435" i="1"/>
  <c r="O435" i="1"/>
  <c r="P435" i="1"/>
  <c r="Q435" i="1"/>
  <c r="S435" i="1"/>
  <c r="T435" i="1"/>
  <c r="U435" i="1"/>
  <c r="V435" i="1"/>
  <c r="W435" i="1"/>
  <c r="X435" i="1"/>
  <c r="Y435" i="1"/>
  <c r="Z435" i="1"/>
  <c r="AA435" i="1"/>
  <c r="AB435" i="1"/>
  <c r="AC435" i="1"/>
  <c r="AD435" i="1"/>
  <c r="AF435" i="1"/>
  <c r="AH435" i="1"/>
  <c r="AJ435" i="1"/>
  <c r="G440" i="1"/>
  <c r="G456" i="1"/>
  <c r="H465" i="1"/>
  <c r="I465" i="1"/>
  <c r="J465" i="1"/>
  <c r="K465" i="1"/>
  <c r="L465" i="1"/>
  <c r="M465" i="1"/>
  <c r="O465" i="1"/>
  <c r="P465" i="1"/>
  <c r="Q465" i="1"/>
  <c r="S465" i="1"/>
  <c r="T465" i="1"/>
  <c r="U465" i="1"/>
  <c r="V465" i="1"/>
  <c r="W465" i="1"/>
  <c r="X465" i="1"/>
  <c r="Y465" i="1"/>
  <c r="Z465" i="1"/>
  <c r="AA465" i="1"/>
  <c r="AB465" i="1"/>
  <c r="AC465" i="1"/>
  <c r="AD465" i="1"/>
  <c r="AH465" i="1"/>
  <c r="AJ465" i="1"/>
  <c r="AF466" i="1"/>
  <c r="H466" i="1"/>
  <c r="I466" i="1"/>
  <c r="J466" i="1"/>
  <c r="K466" i="1"/>
  <c r="L466" i="1"/>
  <c r="M466" i="1"/>
  <c r="O466" i="1"/>
  <c r="P466" i="1"/>
  <c r="Q466" i="1"/>
  <c r="S466" i="1"/>
  <c r="T466" i="1"/>
  <c r="U466" i="1"/>
  <c r="V466" i="1"/>
  <c r="W466" i="1"/>
  <c r="X466" i="1"/>
  <c r="Y466" i="1"/>
  <c r="Z466" i="1"/>
  <c r="AA466" i="1"/>
  <c r="AB466" i="1"/>
  <c r="AC466" i="1"/>
  <c r="AD466" i="1"/>
  <c r="AH466" i="1"/>
  <c r="AJ466" i="1"/>
  <c r="AF467" i="1"/>
  <c r="H467" i="1"/>
  <c r="I467" i="1"/>
  <c r="J467" i="1"/>
  <c r="K467" i="1"/>
  <c r="L467" i="1"/>
  <c r="M467" i="1"/>
  <c r="O467" i="1"/>
  <c r="P467" i="1"/>
  <c r="Q467" i="1"/>
  <c r="S467" i="1"/>
  <c r="T467" i="1"/>
  <c r="U467" i="1"/>
  <c r="V467" i="1"/>
  <c r="W467" i="1"/>
  <c r="X467" i="1"/>
  <c r="Y467" i="1"/>
  <c r="Z467" i="1"/>
  <c r="AA467" i="1"/>
  <c r="AB467" i="1"/>
  <c r="AC467" i="1"/>
  <c r="AD467" i="1"/>
  <c r="AH467" i="1"/>
  <c r="AJ467" i="1"/>
  <c r="AF468" i="1"/>
  <c r="H468" i="1"/>
  <c r="I468" i="1"/>
  <c r="J468" i="1"/>
  <c r="K468" i="1"/>
  <c r="L468" i="1"/>
  <c r="M468" i="1"/>
  <c r="O468" i="1"/>
  <c r="P468" i="1"/>
  <c r="Q468" i="1"/>
  <c r="S468" i="1"/>
  <c r="T468" i="1"/>
  <c r="U468" i="1"/>
  <c r="V468" i="1"/>
  <c r="W468" i="1"/>
  <c r="X468" i="1"/>
  <c r="Y468" i="1"/>
  <c r="Z468" i="1"/>
  <c r="AA468" i="1"/>
  <c r="AB468" i="1"/>
  <c r="AC468" i="1"/>
  <c r="AD468" i="1"/>
  <c r="AH468" i="1"/>
  <c r="AJ468" i="1"/>
  <c r="AF469" i="1"/>
  <c r="H469" i="1"/>
  <c r="I469" i="1"/>
  <c r="J469" i="1"/>
  <c r="K469" i="1"/>
  <c r="L469" i="1"/>
  <c r="M469" i="1"/>
  <c r="O469" i="1"/>
  <c r="P469" i="1"/>
  <c r="Q469" i="1"/>
  <c r="S469" i="1"/>
  <c r="T469" i="1"/>
  <c r="U469" i="1"/>
  <c r="V469" i="1"/>
  <c r="W469" i="1"/>
  <c r="X469" i="1"/>
  <c r="Y469" i="1"/>
  <c r="Z469" i="1"/>
  <c r="AA469" i="1"/>
  <c r="AB469" i="1"/>
  <c r="AC469" i="1"/>
  <c r="AD469" i="1"/>
  <c r="AH469" i="1"/>
  <c r="AJ469" i="1"/>
  <c r="G471" i="1"/>
  <c r="H474" i="1"/>
  <c r="I474" i="1"/>
  <c r="J474" i="1"/>
  <c r="K474" i="1"/>
  <c r="L474" i="1"/>
  <c r="M474" i="1"/>
  <c r="O474" i="1"/>
  <c r="P474" i="1"/>
  <c r="Q474" i="1"/>
  <c r="S474" i="1"/>
  <c r="T474" i="1"/>
  <c r="U474" i="1"/>
  <c r="V474" i="1"/>
  <c r="W474" i="1"/>
  <c r="X474" i="1"/>
  <c r="Y474" i="1"/>
  <c r="Z474" i="1"/>
  <c r="AA474" i="1"/>
  <c r="AB474" i="1"/>
  <c r="AC474" i="1"/>
  <c r="AD474" i="1"/>
  <c r="AF474" i="1"/>
  <c r="AJ474" i="1"/>
  <c r="AH475" i="1"/>
  <c r="H475" i="1"/>
  <c r="I475" i="1"/>
  <c r="J475" i="1"/>
  <c r="K475" i="1"/>
  <c r="L475" i="1"/>
  <c r="M475" i="1"/>
  <c r="O475" i="1"/>
  <c r="P475" i="1"/>
  <c r="Q475" i="1"/>
  <c r="S475" i="1"/>
  <c r="T475" i="1"/>
  <c r="U475" i="1"/>
  <c r="V475" i="1"/>
  <c r="W475" i="1"/>
  <c r="X475" i="1"/>
  <c r="Y475" i="1"/>
  <c r="Z475" i="1"/>
  <c r="AA475" i="1"/>
  <c r="AB475" i="1"/>
  <c r="AC475" i="1"/>
  <c r="AD475" i="1"/>
  <c r="AF475" i="1"/>
  <c r="AJ475" i="1"/>
  <c r="H476" i="1"/>
  <c r="I476" i="1"/>
  <c r="J476" i="1"/>
  <c r="K476" i="1"/>
  <c r="L476" i="1"/>
  <c r="M476" i="1"/>
  <c r="O476" i="1"/>
  <c r="P476" i="1"/>
  <c r="Q476" i="1"/>
  <c r="S476" i="1"/>
  <c r="T476" i="1"/>
  <c r="U476" i="1"/>
  <c r="V476" i="1"/>
  <c r="W476" i="1"/>
  <c r="X476" i="1"/>
  <c r="Y476" i="1"/>
  <c r="Z476" i="1"/>
  <c r="AA476" i="1"/>
  <c r="AB476" i="1"/>
  <c r="AC476" i="1"/>
  <c r="AD476" i="1"/>
  <c r="AF476" i="1"/>
  <c r="AH476" i="1"/>
  <c r="AJ476" i="1"/>
  <c r="AH477" i="1"/>
  <c r="H477" i="1"/>
  <c r="I477" i="1"/>
  <c r="J477" i="1"/>
  <c r="K477" i="1"/>
  <c r="L477" i="1"/>
  <c r="M477" i="1"/>
  <c r="O477" i="1"/>
  <c r="P477" i="1"/>
  <c r="Q477" i="1"/>
  <c r="S477" i="1"/>
  <c r="T477" i="1"/>
  <c r="U477" i="1"/>
  <c r="V477" i="1"/>
  <c r="W477" i="1"/>
  <c r="X477" i="1"/>
  <c r="Y477" i="1"/>
  <c r="Z477" i="1"/>
  <c r="AA477" i="1"/>
  <c r="AB477" i="1"/>
  <c r="AC477" i="1"/>
  <c r="AD477" i="1"/>
  <c r="AF477" i="1"/>
  <c r="AJ477" i="1"/>
  <c r="H478" i="1"/>
  <c r="I478" i="1"/>
  <c r="J478" i="1"/>
  <c r="K478" i="1"/>
  <c r="L478" i="1"/>
  <c r="M478" i="1"/>
  <c r="O478" i="1"/>
  <c r="P478" i="1"/>
  <c r="Q478" i="1"/>
  <c r="S478" i="1"/>
  <c r="T478" i="1"/>
  <c r="U478" i="1"/>
  <c r="V478" i="1"/>
  <c r="W478" i="1"/>
  <c r="X478" i="1"/>
  <c r="Y478" i="1"/>
  <c r="Z478" i="1"/>
  <c r="AA478" i="1"/>
  <c r="AB478" i="1"/>
  <c r="AC478" i="1"/>
  <c r="AD478" i="1"/>
  <c r="AF478" i="1"/>
  <c r="AH478" i="1"/>
  <c r="AJ478" i="1"/>
  <c r="AH479" i="1"/>
  <c r="H479" i="1"/>
  <c r="I479" i="1"/>
  <c r="J479" i="1"/>
  <c r="K479" i="1"/>
  <c r="L479" i="1"/>
  <c r="M479" i="1"/>
  <c r="O479" i="1"/>
  <c r="P479" i="1"/>
  <c r="Q479" i="1"/>
  <c r="S479" i="1"/>
  <c r="T479" i="1"/>
  <c r="U479" i="1"/>
  <c r="V479" i="1"/>
  <c r="W479" i="1"/>
  <c r="X479" i="1"/>
  <c r="Y479" i="1"/>
  <c r="Z479" i="1"/>
  <c r="AA479" i="1"/>
  <c r="AB479" i="1"/>
  <c r="AC479" i="1"/>
  <c r="AD479" i="1"/>
  <c r="AF479" i="1"/>
  <c r="AJ479" i="1"/>
  <c r="H480" i="1"/>
  <c r="I480" i="1"/>
  <c r="J480" i="1"/>
  <c r="K480" i="1"/>
  <c r="L480" i="1"/>
  <c r="M480" i="1"/>
  <c r="O480" i="1"/>
  <c r="P480" i="1"/>
  <c r="Q480" i="1"/>
  <c r="S480" i="1"/>
  <c r="T480" i="1"/>
  <c r="U480" i="1"/>
  <c r="V480" i="1"/>
  <c r="W480" i="1"/>
  <c r="X480" i="1"/>
  <c r="Y480" i="1"/>
  <c r="Z480" i="1"/>
  <c r="AA480" i="1"/>
  <c r="AB480" i="1"/>
  <c r="AC480" i="1"/>
  <c r="AD480" i="1"/>
  <c r="AF480" i="1"/>
  <c r="AH480" i="1"/>
  <c r="AJ480" i="1"/>
  <c r="H481" i="1"/>
  <c r="I481" i="1"/>
  <c r="J481" i="1"/>
  <c r="K481" i="1"/>
  <c r="L481" i="1"/>
  <c r="M481" i="1"/>
  <c r="O481" i="1"/>
  <c r="P481" i="1"/>
  <c r="Q481" i="1"/>
  <c r="S481" i="1"/>
  <c r="T481" i="1"/>
  <c r="U481" i="1"/>
  <c r="V481" i="1"/>
  <c r="W481" i="1"/>
  <c r="X481" i="1"/>
  <c r="Y481" i="1"/>
  <c r="Z481" i="1"/>
  <c r="AA481" i="1"/>
  <c r="AB481" i="1"/>
  <c r="AC481" i="1"/>
  <c r="AD481" i="1"/>
  <c r="AF481" i="1"/>
  <c r="AJ481" i="1"/>
  <c r="AH482" i="1"/>
  <c r="H482" i="1"/>
  <c r="I482" i="1"/>
  <c r="J482" i="1"/>
  <c r="K482" i="1"/>
  <c r="L482" i="1"/>
  <c r="M482" i="1"/>
  <c r="O482" i="1"/>
  <c r="P482" i="1"/>
  <c r="Q482" i="1"/>
  <c r="S482" i="1"/>
  <c r="T482" i="1"/>
  <c r="U482" i="1"/>
  <c r="V482" i="1"/>
  <c r="W482" i="1"/>
  <c r="X482" i="1"/>
  <c r="Y482" i="1"/>
  <c r="Z482" i="1"/>
  <c r="AA482" i="1"/>
  <c r="AB482" i="1"/>
  <c r="AC482" i="1"/>
  <c r="AD482" i="1"/>
  <c r="AF482" i="1"/>
  <c r="AJ482" i="1"/>
  <c r="H483" i="1"/>
  <c r="I483" i="1"/>
  <c r="J483" i="1"/>
  <c r="K483" i="1"/>
  <c r="L483" i="1"/>
  <c r="M483" i="1"/>
  <c r="O483" i="1"/>
  <c r="P483" i="1"/>
  <c r="Q483" i="1"/>
  <c r="S483" i="1"/>
  <c r="T483" i="1"/>
  <c r="U483" i="1"/>
  <c r="V483" i="1"/>
  <c r="W483" i="1"/>
  <c r="X483" i="1"/>
  <c r="Y483" i="1"/>
  <c r="Z483" i="1"/>
  <c r="AA483" i="1"/>
  <c r="AB483" i="1"/>
  <c r="AC483" i="1"/>
  <c r="AD483" i="1"/>
  <c r="AF483" i="1"/>
  <c r="AH483" i="1"/>
  <c r="AJ483" i="1"/>
  <c r="G485" i="1"/>
  <c r="G506" i="1"/>
  <c r="G510" i="1"/>
  <c r="T516" i="1"/>
  <c r="W516" i="1"/>
  <c r="X516" i="1"/>
  <c r="Y516" i="1"/>
  <c r="AB516" i="1"/>
  <c r="AC516" i="1"/>
  <c r="T517" i="1"/>
  <c r="W517" i="1"/>
  <c r="X517" i="1"/>
  <c r="Y517" i="1"/>
  <c r="AB517" i="1"/>
  <c r="AC517" i="1"/>
  <c r="T518" i="1"/>
  <c r="W518" i="1"/>
  <c r="X518" i="1"/>
  <c r="Y518" i="1"/>
  <c r="AB518" i="1"/>
  <c r="AC518" i="1"/>
  <c r="T529" i="1"/>
  <c r="W529" i="1"/>
  <c r="X529" i="1"/>
  <c r="Y529" i="1"/>
  <c r="AB529" i="1"/>
  <c r="AC529" i="1"/>
  <c r="AG533" i="1"/>
  <c r="K539" i="1"/>
  <c r="F526" i="2" s="1"/>
  <c r="H539" i="1"/>
  <c r="F523" i="2" s="1"/>
  <c r="I539" i="1"/>
  <c r="F524" i="2" s="1"/>
  <c r="J539" i="1"/>
  <c r="F525" i="2" s="1"/>
  <c r="L539" i="1"/>
  <c r="F527" i="2" s="1"/>
  <c r="M539" i="1"/>
  <c r="F528" i="2" s="1"/>
  <c r="O539" i="1"/>
  <c r="F532" i="2" s="1"/>
  <c r="P539" i="1"/>
  <c r="F533" i="2" s="1"/>
  <c r="Q539" i="1"/>
  <c r="F534" i="2" s="1"/>
  <c r="S539" i="1"/>
  <c r="F538" i="2" s="1"/>
  <c r="T539" i="1"/>
  <c r="F541" i="2" s="1"/>
  <c r="U539" i="1"/>
  <c r="F544" i="2" s="1"/>
  <c r="V539" i="1"/>
  <c r="F545" i="2" s="1"/>
  <c r="W539" i="1"/>
  <c r="F546" i="2" s="1"/>
  <c r="X539" i="1"/>
  <c r="F547" i="2" s="1"/>
  <c r="Y539" i="1"/>
  <c r="F548" i="2" s="1"/>
  <c r="Z539" i="1"/>
  <c r="F552" i="2" s="1"/>
  <c r="AA539" i="1"/>
  <c r="F553" i="2" s="1"/>
  <c r="AB539" i="1"/>
  <c r="F557" i="2" s="1"/>
  <c r="AC539" i="1"/>
  <c r="F560" i="2" s="1"/>
  <c r="AD539" i="1"/>
  <c r="F563" i="2" s="1"/>
  <c r="AF539" i="1"/>
  <c r="F566" i="2" s="1"/>
  <c r="AH539" i="1"/>
  <c r="F569" i="2" s="1"/>
  <c r="AJ539" i="1"/>
  <c r="F572" i="2" s="1"/>
  <c r="G547" i="1"/>
  <c r="AE547" i="1"/>
  <c r="AG547" i="1"/>
  <c r="AI547" i="1"/>
  <c r="AK563" i="1"/>
  <c r="AL563" i="1" s="1"/>
  <c r="V565" i="1"/>
  <c r="W565" i="1"/>
  <c r="X565" i="1"/>
  <c r="Y565" i="1"/>
  <c r="W75" i="1"/>
  <c r="Y75" i="1"/>
  <c r="AK567" i="1"/>
  <c r="AL567" i="1" s="1"/>
  <c r="AK568" i="1"/>
  <c r="AL568" i="1" s="1"/>
  <c r="AK569" i="1"/>
  <c r="AL569" i="1" s="1"/>
  <c r="AK570" i="1"/>
  <c r="AL570" i="1" s="1"/>
  <c r="AK571" i="1"/>
  <c r="AL571" i="1" s="1"/>
  <c r="AK572" i="1"/>
  <c r="AL572" i="1" s="1"/>
  <c r="O29" i="1"/>
  <c r="AK574" i="1"/>
  <c r="AL574" i="1" s="1"/>
  <c r="AK575" i="1"/>
  <c r="AL575" i="1" s="1"/>
  <c r="AK576" i="1"/>
  <c r="AL576" i="1" s="1"/>
  <c r="AK577" i="1"/>
  <c r="AL577" i="1" s="1"/>
  <c r="AK579" i="1"/>
  <c r="AL579" i="1" s="1"/>
  <c r="AK585" i="1"/>
  <c r="AL585" i="1" s="1"/>
  <c r="AK586" i="1"/>
  <c r="AL586" i="1" s="1"/>
  <c r="K589" i="1"/>
  <c r="L589" i="1"/>
  <c r="M589" i="1"/>
  <c r="O589" i="1"/>
  <c r="P589" i="1"/>
  <c r="Q589" i="1"/>
  <c r="S589" i="1"/>
  <c r="T589" i="1"/>
  <c r="U589" i="1"/>
  <c r="V589" i="1"/>
  <c r="W589" i="1"/>
  <c r="X589" i="1"/>
  <c r="Y589" i="1"/>
  <c r="Z589" i="1"/>
  <c r="AA589" i="1"/>
  <c r="AB589" i="1"/>
  <c r="AC589" i="1"/>
  <c r="AD589" i="1"/>
  <c r="AF589" i="1"/>
  <c r="AH589" i="1"/>
  <c r="AJ589" i="1"/>
  <c r="K590" i="1"/>
  <c r="H590" i="1"/>
  <c r="I590" i="1"/>
  <c r="J590" i="1"/>
  <c r="L590" i="1"/>
  <c r="L591" i="1" s="1"/>
  <c r="L221" i="1" s="1"/>
  <c r="M590" i="1"/>
  <c r="O590" i="1"/>
  <c r="P590" i="1"/>
  <c r="Q590" i="1"/>
  <c r="S590" i="1"/>
  <c r="T590" i="1"/>
  <c r="U590" i="1"/>
  <c r="V590" i="1"/>
  <c r="W590" i="1"/>
  <c r="X590" i="1"/>
  <c r="Y590" i="1"/>
  <c r="Z590" i="1"/>
  <c r="AA590" i="1"/>
  <c r="AB590" i="1"/>
  <c r="AC590" i="1"/>
  <c r="AD590" i="1"/>
  <c r="AF590" i="1"/>
  <c r="AF591" i="1" s="1"/>
  <c r="AH590" i="1"/>
  <c r="AJ590" i="1"/>
  <c r="AE591" i="1"/>
  <c r="AG591" i="1"/>
  <c r="AI591" i="1"/>
  <c r="AK593" i="1"/>
  <c r="AL593" i="1" s="1"/>
  <c r="AK594" i="1"/>
  <c r="AL594" i="1" s="1"/>
  <c r="AK595" i="1"/>
  <c r="AL595" i="1" s="1"/>
  <c r="AK596" i="1"/>
  <c r="AL596" i="1" s="1"/>
  <c r="H178" i="1"/>
  <c r="I20" i="1"/>
  <c r="V75" i="1"/>
  <c r="K67" i="7"/>
  <c r="J406" i="1"/>
  <c r="J16" i="1"/>
  <c r="J20" i="1"/>
  <c r="AH474" i="1"/>
  <c r="E51" i="14"/>
  <c r="F51" i="14"/>
  <c r="G51" i="14"/>
  <c r="H51" i="14"/>
  <c r="H406" i="1"/>
  <c r="D32" i="7"/>
  <c r="E32" i="7" s="1"/>
  <c r="G22" i="6"/>
  <c r="D24" i="7"/>
  <c r="E24" i="7" s="1"/>
  <c r="H386" i="1"/>
  <c r="J178" i="1"/>
  <c r="G661" i="2" l="1"/>
  <c r="G1" i="2"/>
  <c r="K47" i="7"/>
  <c r="K65" i="7"/>
  <c r="K22" i="7"/>
  <c r="K20" i="7"/>
  <c r="K49" i="7"/>
  <c r="K51" i="7"/>
  <c r="K26" i="7"/>
  <c r="K53" i="7"/>
  <c r="K28" i="7"/>
  <c r="K57" i="7"/>
  <c r="K30" i="7"/>
  <c r="K59" i="7"/>
  <c r="K24" i="7"/>
  <c r="K69" i="7"/>
  <c r="K43" i="7"/>
  <c r="K61" i="7"/>
  <c r="K18" i="7"/>
  <c r="K45" i="7"/>
  <c r="K63" i="7"/>
  <c r="K939" i="2"/>
  <c r="K932" i="2"/>
  <c r="K925" i="2"/>
  <c r="K918" i="2"/>
  <c r="K911" i="2"/>
  <c r="K904" i="2"/>
  <c r="G939" i="2"/>
  <c r="G918" i="2"/>
  <c r="G911" i="2"/>
  <c r="G904" i="2"/>
  <c r="G932" i="2"/>
  <c r="G925" i="2"/>
  <c r="L939" i="2"/>
  <c r="L925" i="2"/>
  <c r="L918" i="2"/>
  <c r="L911" i="2"/>
  <c r="L904" i="2"/>
  <c r="L932" i="2"/>
  <c r="D10" i="7"/>
  <c r="G458" i="1"/>
  <c r="G460" i="1" s="1"/>
  <c r="G462" i="1" s="1"/>
  <c r="G34" i="6"/>
  <c r="D30" i="7"/>
  <c r="E30" i="7" s="1"/>
  <c r="D28" i="7"/>
  <c r="E28" i="7" s="1"/>
  <c r="G32" i="6"/>
  <c r="G36" i="6"/>
  <c r="G28" i="6"/>
  <c r="G26" i="6"/>
  <c r="D22" i="7"/>
  <c r="E22" i="7" s="1"/>
  <c r="E18" i="7"/>
  <c r="D20" i="7"/>
  <c r="E20" i="7" s="1"/>
  <c r="E14" i="7"/>
  <c r="G18" i="6"/>
  <c r="L293" i="1"/>
  <c r="F526" i="1"/>
  <c r="G280" i="1"/>
  <c r="G282" i="1" s="1"/>
  <c r="G284" i="1" s="1"/>
  <c r="P30" i="1"/>
  <c r="AK566" i="1"/>
  <c r="AL566" i="1" s="1"/>
  <c r="P72" i="1"/>
  <c r="Q30" i="1"/>
  <c r="Z38" i="1"/>
  <c r="Z451" i="1" s="1"/>
  <c r="AK565" i="1"/>
  <c r="AL565" i="1" s="1"/>
  <c r="X75" i="1"/>
  <c r="AK75" i="1" s="1"/>
  <c r="AL75" i="1" s="1"/>
  <c r="AK573" i="1"/>
  <c r="AL573" i="1" s="1"/>
  <c r="AK564" i="1"/>
  <c r="AL564" i="1" s="1"/>
  <c r="P126" i="1"/>
  <c r="O72" i="1"/>
  <c r="O30" i="1"/>
  <c r="O32" i="1" s="1"/>
  <c r="M580" i="1"/>
  <c r="L580" i="1"/>
  <c r="AK177" i="1"/>
  <c r="AL177" i="1" s="1"/>
  <c r="J386" i="1"/>
  <c r="AK386" i="1" s="1"/>
  <c r="AL386" i="1" s="1"/>
  <c r="H372" i="1"/>
  <c r="AD582" i="1"/>
  <c r="AD371" i="1" s="1"/>
  <c r="AD377" i="1" s="1"/>
  <c r="AD184" i="1" s="1"/>
  <c r="AD190" i="1" s="1"/>
  <c r="S429" i="1"/>
  <c r="Z450" i="1"/>
  <c r="I269" i="1"/>
  <c r="L432" i="1"/>
  <c r="I252" i="1"/>
  <c r="S252" i="1"/>
  <c r="X580" i="1"/>
  <c r="X350" i="1" s="1"/>
  <c r="X356" i="1" s="1"/>
  <c r="X163" i="1" s="1"/>
  <c r="X169" i="1" s="1"/>
  <c r="Z272" i="1"/>
  <c r="I447" i="1"/>
  <c r="S269" i="1"/>
  <c r="I449" i="1"/>
  <c r="I270" i="1"/>
  <c r="I448" i="1"/>
  <c r="Z32" i="1"/>
  <c r="Z521" i="1" s="1"/>
  <c r="V582" i="1"/>
  <c r="V371" i="1" s="1"/>
  <c r="V377" i="1" s="1"/>
  <c r="V184" i="1" s="1"/>
  <c r="V190" i="1" s="1"/>
  <c r="AA451" i="1"/>
  <c r="J372" i="1"/>
  <c r="J582" i="1" s="1"/>
  <c r="L582" i="1"/>
  <c r="L371" i="1" s="1"/>
  <c r="L377" i="1" s="1"/>
  <c r="L184" i="1" s="1"/>
  <c r="L190" i="1" s="1"/>
  <c r="AJ32" i="1"/>
  <c r="AJ521" i="1" s="1"/>
  <c r="L32" i="1"/>
  <c r="L521" i="1" s="1"/>
  <c r="Q448" i="1"/>
  <c r="Z252" i="1"/>
  <c r="J254" i="1"/>
  <c r="P271" i="1"/>
  <c r="T432" i="1"/>
  <c r="Z270" i="1"/>
  <c r="AH272" i="1"/>
  <c r="AA293" i="1"/>
  <c r="P430" i="1"/>
  <c r="P429" i="1"/>
  <c r="Z269" i="1"/>
  <c r="J432" i="1"/>
  <c r="Z448" i="1"/>
  <c r="Y434" i="1"/>
  <c r="AH32" i="1"/>
  <c r="AH521" i="1" s="1"/>
  <c r="X32" i="1"/>
  <c r="X521" i="1" s="1"/>
  <c r="K32" i="1"/>
  <c r="K521" i="1" s="1"/>
  <c r="P270" i="1"/>
  <c r="P253" i="1"/>
  <c r="J272" i="1"/>
  <c r="T450" i="1"/>
  <c r="P269" i="1"/>
  <c r="P431" i="1"/>
  <c r="T254" i="1"/>
  <c r="P448" i="1"/>
  <c r="Z251" i="1"/>
  <c r="AC253" i="1"/>
  <c r="AC449" i="1"/>
  <c r="P252" i="1"/>
  <c r="Z430" i="1"/>
  <c r="AC431" i="1"/>
  <c r="AH254" i="1"/>
  <c r="Z447" i="1"/>
  <c r="P251" i="1"/>
  <c r="AH432" i="1"/>
  <c r="O255" i="1"/>
  <c r="O453" i="1"/>
  <c r="AJ452" i="1"/>
  <c r="X433" i="1"/>
  <c r="X258" i="1"/>
  <c r="X452" i="1"/>
  <c r="X255" i="1"/>
  <c r="X434" i="1"/>
  <c r="AH451" i="1"/>
  <c r="AJ436" i="1"/>
  <c r="AJ453" i="1"/>
  <c r="AD429" i="1"/>
  <c r="S273" i="1"/>
  <c r="V251" i="1"/>
  <c r="K269" i="1"/>
  <c r="AD293" i="1"/>
  <c r="AB258" i="1"/>
  <c r="AB432" i="1"/>
  <c r="K270" i="1"/>
  <c r="P135" i="1"/>
  <c r="F471" i="1"/>
  <c r="H342" i="1"/>
  <c r="H154" i="1" s="1"/>
  <c r="J342" i="1"/>
  <c r="J154" i="1" s="1"/>
  <c r="AH453" i="1"/>
  <c r="AJ448" i="1"/>
  <c r="M274" i="1"/>
  <c r="K274" i="1"/>
  <c r="U451" i="1"/>
  <c r="AH433" i="1"/>
  <c r="O269" i="1"/>
  <c r="AH256" i="1"/>
  <c r="AF26" i="1"/>
  <c r="M26" i="1"/>
  <c r="Y429" i="1"/>
  <c r="I450" i="1"/>
  <c r="M436" i="1"/>
  <c r="AB431" i="1"/>
  <c r="O431" i="1"/>
  <c r="AB271" i="1"/>
  <c r="AJ447" i="1"/>
  <c r="H293" i="1"/>
  <c r="O271" i="1"/>
  <c r="AB253" i="1"/>
  <c r="AF451" i="1"/>
  <c r="AH580" i="1"/>
  <c r="AH350" i="1" s="1"/>
  <c r="AH356" i="1" s="1"/>
  <c r="AH163" i="1" s="1"/>
  <c r="AH169" i="1" s="1"/>
  <c r="O580" i="1"/>
  <c r="O350" i="1" s="1"/>
  <c r="O356" i="1" s="1"/>
  <c r="O163" i="1" s="1"/>
  <c r="O169" i="1" s="1"/>
  <c r="Y293" i="1"/>
  <c r="AH255" i="1"/>
  <c r="AF32" i="1"/>
  <c r="AF521" i="1" s="1"/>
  <c r="W32" i="1"/>
  <c r="W521" i="1" s="1"/>
  <c r="J32" i="1"/>
  <c r="J521" i="1" s="1"/>
  <c r="U32" i="1"/>
  <c r="U521" i="1" s="1"/>
  <c r="H32" i="1"/>
  <c r="H521" i="1" s="1"/>
  <c r="AA26" i="1"/>
  <c r="S26" i="1"/>
  <c r="AJ26" i="1"/>
  <c r="M453" i="1"/>
  <c r="M433" i="1"/>
  <c r="L451" i="1"/>
  <c r="Y448" i="1"/>
  <c r="Y447" i="1"/>
  <c r="AH434" i="1"/>
  <c r="Y430" i="1"/>
  <c r="O429" i="1"/>
  <c r="Y270" i="1"/>
  <c r="W255" i="1"/>
  <c r="AJ252" i="1"/>
  <c r="AF432" i="1"/>
  <c r="O430" i="1"/>
  <c r="O270" i="1"/>
  <c r="Y252" i="1"/>
  <c r="AH452" i="1"/>
  <c r="AF450" i="1"/>
  <c r="O447" i="1"/>
  <c r="AF254" i="1"/>
  <c r="W452" i="1"/>
  <c r="O449" i="1"/>
  <c r="AH436" i="1"/>
  <c r="M434" i="1"/>
  <c r="I432" i="1"/>
  <c r="AJ429" i="1"/>
  <c r="M452" i="1"/>
  <c r="Y269" i="1"/>
  <c r="I254" i="1"/>
  <c r="Z293" i="1"/>
  <c r="K452" i="1"/>
  <c r="AF433" i="1"/>
  <c r="Q582" i="1"/>
  <c r="Q371" i="1" s="1"/>
  <c r="Q377" i="1" s="1"/>
  <c r="Q184" i="1" s="1"/>
  <c r="Q190" i="1" s="1"/>
  <c r="L220" i="1"/>
  <c r="AB591" i="1"/>
  <c r="AB405" i="1" s="1"/>
  <c r="AB409" i="1" s="1"/>
  <c r="V434" i="1"/>
  <c r="V275" i="1"/>
  <c r="J343" i="1"/>
  <c r="J155" i="1" s="1"/>
  <c r="AD256" i="1"/>
  <c r="AF465" i="1"/>
  <c r="AK465" i="1" s="1"/>
  <c r="AL465" i="1" s="1"/>
  <c r="M448" i="1"/>
  <c r="AD26" i="1"/>
  <c r="J176" i="1"/>
  <c r="U433" i="1"/>
  <c r="AF452" i="1"/>
  <c r="X429" i="1"/>
  <c r="AF582" i="1"/>
  <c r="AF371" i="1" s="1"/>
  <c r="AF377" i="1" s="1"/>
  <c r="AF184" i="1" s="1"/>
  <c r="AF190" i="1" s="1"/>
  <c r="M582" i="1"/>
  <c r="M371" i="1" s="1"/>
  <c r="M377" i="1" s="1"/>
  <c r="M184" i="1" s="1"/>
  <c r="M190" i="1" s="1"/>
  <c r="J293" i="1"/>
  <c r="L258" i="1"/>
  <c r="AD434" i="1"/>
  <c r="X270" i="1"/>
  <c r="L433" i="1"/>
  <c r="U436" i="1"/>
  <c r="L434" i="1"/>
  <c r="AA581" i="1"/>
  <c r="AA361" i="1" s="1"/>
  <c r="AA368" i="1" s="1"/>
  <c r="AA174" i="1" s="1"/>
  <c r="AA181" i="1" s="1"/>
  <c r="Z307" i="1"/>
  <c r="Q307" i="1"/>
  <c r="S293" i="1"/>
  <c r="J125" i="1"/>
  <c r="AF436" i="1"/>
  <c r="H208" i="1"/>
  <c r="H125" i="1"/>
  <c r="AD275" i="1"/>
  <c r="V256" i="1"/>
  <c r="Y580" i="1"/>
  <c r="Y350" i="1" s="1"/>
  <c r="Y356" i="1" s="1"/>
  <c r="Y163" i="1" s="1"/>
  <c r="Y169" i="1" s="1"/>
  <c r="AF274" i="1"/>
  <c r="J24" i="1"/>
  <c r="J26" i="1" s="1"/>
  <c r="J60" i="1" s="1"/>
  <c r="P580" i="1"/>
  <c r="P350" i="1" s="1"/>
  <c r="P356" i="1" s="1"/>
  <c r="P163" i="1" s="1"/>
  <c r="P169" i="1" s="1"/>
  <c r="I407" i="1"/>
  <c r="L453" i="1"/>
  <c r="J433" i="1"/>
  <c r="V32" i="1"/>
  <c r="V521" i="1" s="1"/>
  <c r="Z26" i="1"/>
  <c r="AH270" i="1"/>
  <c r="J133" i="1"/>
  <c r="J436" i="1"/>
  <c r="I396" i="1"/>
  <c r="J365" i="1"/>
  <c r="AB434" i="1"/>
  <c r="M430" i="1"/>
  <c r="AB582" i="1"/>
  <c r="AB371" i="1" s="1"/>
  <c r="AB377" i="1" s="1"/>
  <c r="AB184" i="1" s="1"/>
  <c r="AB190" i="1" s="1"/>
  <c r="AD272" i="1"/>
  <c r="L251" i="1"/>
  <c r="AD211" i="1"/>
  <c r="V211" i="1"/>
  <c r="AB211" i="1"/>
  <c r="I164" i="1"/>
  <c r="AA32" i="1"/>
  <c r="AA521" i="1" s="1"/>
  <c r="U26" i="1"/>
  <c r="U60" i="1" s="1"/>
  <c r="K26" i="1"/>
  <c r="X251" i="1"/>
  <c r="AD451" i="1"/>
  <c r="H206" i="1"/>
  <c r="AH251" i="1"/>
  <c r="T433" i="1"/>
  <c r="K451" i="1"/>
  <c r="X448" i="1"/>
  <c r="AH447" i="1"/>
  <c r="F440" i="1"/>
  <c r="X390" i="1"/>
  <c r="X197" i="1" s="1"/>
  <c r="X203" i="1" s="1"/>
  <c r="AA582" i="1"/>
  <c r="AA371" i="1" s="1"/>
  <c r="AA377" i="1" s="1"/>
  <c r="AA184" i="1" s="1"/>
  <c r="AA190" i="1" s="1"/>
  <c r="S582" i="1"/>
  <c r="S371" i="1" s="1"/>
  <c r="S377" i="1" s="1"/>
  <c r="X307" i="1"/>
  <c r="AF307" i="1"/>
  <c r="AJ293" i="1"/>
  <c r="O293" i="1"/>
  <c r="Q272" i="1"/>
  <c r="K211" i="1"/>
  <c r="J434" i="1"/>
  <c r="H432" i="1"/>
  <c r="Q450" i="1"/>
  <c r="M447" i="1"/>
  <c r="T258" i="1"/>
  <c r="T453" i="1"/>
  <c r="J452" i="1"/>
  <c r="H450" i="1"/>
  <c r="M449" i="1"/>
  <c r="AD432" i="1"/>
  <c r="S398" i="1"/>
  <c r="V580" i="1"/>
  <c r="V350" i="1" s="1"/>
  <c r="V356" i="1" s="1"/>
  <c r="V163" i="1" s="1"/>
  <c r="V169" i="1" s="1"/>
  <c r="U578" i="1"/>
  <c r="U340" i="1" s="1"/>
  <c r="U347" i="1" s="1"/>
  <c r="U152" i="1" s="1"/>
  <c r="U160" i="1" s="1"/>
  <c r="V307" i="1"/>
  <c r="M293" i="1"/>
  <c r="J274" i="1"/>
  <c r="I24" i="1"/>
  <c r="AB436" i="1"/>
  <c r="X430" i="1"/>
  <c r="T256" i="1"/>
  <c r="T451" i="1"/>
  <c r="AA449" i="1"/>
  <c r="U582" i="1"/>
  <c r="U371" i="1" s="1"/>
  <c r="U377" i="1" s="1"/>
  <c r="U184" i="1" s="1"/>
  <c r="U190" i="1" s="1"/>
  <c r="AA431" i="1"/>
  <c r="J206" i="1"/>
  <c r="Q587" i="1"/>
  <c r="Q143" i="1" s="1"/>
  <c r="AK468" i="1"/>
  <c r="AL468" i="1" s="1"/>
  <c r="T434" i="1"/>
  <c r="Q432" i="1"/>
  <c r="P582" i="1"/>
  <c r="P371" i="1" s="1"/>
  <c r="P377" i="1" s="1"/>
  <c r="P184" i="1" s="1"/>
  <c r="P190" i="1" s="1"/>
  <c r="AK362" i="1"/>
  <c r="AL362" i="1" s="1"/>
  <c r="V293" i="1"/>
  <c r="X252" i="1"/>
  <c r="AH448" i="1"/>
  <c r="AH429" i="1"/>
  <c r="M429" i="1"/>
  <c r="M270" i="1"/>
  <c r="AA253" i="1"/>
  <c r="M251" i="1"/>
  <c r="I365" i="1"/>
  <c r="AD450" i="1"/>
  <c r="X447" i="1"/>
  <c r="AH430" i="1"/>
  <c r="M252" i="1"/>
  <c r="F506" i="1"/>
  <c r="F584" i="1"/>
  <c r="AK165" i="1"/>
  <c r="AL165" i="1" s="1"/>
  <c r="H452" i="1"/>
  <c r="AK201" i="1"/>
  <c r="AL201" i="1" s="1"/>
  <c r="J344" i="1"/>
  <c r="Q453" i="1"/>
  <c r="P452" i="1"/>
  <c r="AC390" i="1"/>
  <c r="AC197" i="1" s="1"/>
  <c r="AC203" i="1" s="1"/>
  <c r="AH582" i="1"/>
  <c r="AH371" i="1" s="1"/>
  <c r="AH377" i="1" s="1"/>
  <c r="AH184" i="1" s="1"/>
  <c r="AH190" i="1" s="1"/>
  <c r="M32" i="1"/>
  <c r="M521" i="1" s="1"/>
  <c r="F190" i="1"/>
  <c r="P453" i="1"/>
  <c r="I307" i="1"/>
  <c r="J393" i="1"/>
  <c r="Z580" i="1"/>
  <c r="Z350" i="1" s="1"/>
  <c r="Z356" i="1" s="1"/>
  <c r="Z163" i="1" s="1"/>
  <c r="Z169" i="1" s="1"/>
  <c r="I293" i="1"/>
  <c r="Y256" i="1"/>
  <c r="I582" i="1"/>
  <c r="I343" i="1"/>
  <c r="I155" i="1" s="1"/>
  <c r="AB587" i="1"/>
  <c r="AB143" i="1" s="1"/>
  <c r="AA275" i="1"/>
  <c r="AA453" i="1"/>
  <c r="L253" i="1"/>
  <c r="L271" i="1"/>
  <c r="L431" i="1"/>
  <c r="Q255" i="1"/>
  <c r="Q274" i="1"/>
  <c r="Z256" i="1"/>
  <c r="Z453" i="1"/>
  <c r="AD251" i="1"/>
  <c r="AD447" i="1"/>
  <c r="AD448" i="1"/>
  <c r="AD252" i="1"/>
  <c r="Q452" i="1"/>
  <c r="AF429" i="1"/>
  <c r="Z271" i="1"/>
  <c r="Y433" i="1"/>
  <c r="Y436" i="1"/>
  <c r="AH431" i="1"/>
  <c r="AH587" i="1"/>
  <c r="AH143" i="1" s="1"/>
  <c r="J45" i="1"/>
  <c r="I451" i="1"/>
  <c r="AA433" i="1"/>
  <c r="L581" i="1"/>
  <c r="L361" i="1" s="1"/>
  <c r="L368" i="1" s="1"/>
  <c r="L174" i="1" s="1"/>
  <c r="AB581" i="1"/>
  <c r="AB361" i="1" s="1"/>
  <c r="AB368" i="1" s="1"/>
  <c r="AB174" i="1" s="1"/>
  <c r="AB181" i="1" s="1"/>
  <c r="AC580" i="1"/>
  <c r="AC350" i="1" s="1"/>
  <c r="AC356" i="1" s="1"/>
  <c r="AC163" i="1" s="1"/>
  <c r="AC169" i="1" s="1"/>
  <c r="U580" i="1"/>
  <c r="U350" i="1" s="1"/>
  <c r="U356" i="1" s="1"/>
  <c r="U163" i="1" s="1"/>
  <c r="U169" i="1" s="1"/>
  <c r="I344" i="1"/>
  <c r="AD578" i="1"/>
  <c r="AD340" i="1" s="1"/>
  <c r="AD347" i="1" s="1"/>
  <c r="AD152" i="1" s="1"/>
  <c r="AD160" i="1" s="1"/>
  <c r="AD307" i="1"/>
  <c r="L307" i="1"/>
  <c r="Z275" i="1"/>
  <c r="Y258" i="1"/>
  <c r="AK257" i="1"/>
  <c r="AL257" i="1" s="1"/>
  <c r="H156" i="1"/>
  <c r="J156" i="1"/>
  <c r="I453" i="1"/>
  <c r="I275" i="1"/>
  <c r="AC432" i="1"/>
  <c r="AC450" i="1"/>
  <c r="AC587" i="1"/>
  <c r="AC143" i="1" s="1"/>
  <c r="AC254" i="1"/>
  <c r="W251" i="1"/>
  <c r="W270" i="1"/>
  <c r="W269" i="1"/>
  <c r="W430" i="1"/>
  <c r="W447" i="1"/>
  <c r="W448" i="1"/>
  <c r="Z274" i="1"/>
  <c r="Z452" i="1"/>
  <c r="AB273" i="1"/>
  <c r="AB451" i="1"/>
  <c r="O450" i="1"/>
  <c r="O254" i="1"/>
  <c r="AD270" i="1"/>
  <c r="O587" i="1"/>
  <c r="O143" i="1" s="1"/>
  <c r="AC451" i="1"/>
  <c r="L447" i="1"/>
  <c r="X211" i="1"/>
  <c r="AK167" i="1"/>
  <c r="AL167" i="1" s="1"/>
  <c r="Y255" i="1"/>
  <c r="Y452" i="1"/>
  <c r="J431" i="1"/>
  <c r="J587" i="1"/>
  <c r="J143" i="1" s="1"/>
  <c r="AD269" i="1"/>
  <c r="F160" i="1"/>
  <c r="F171" i="1" s="1"/>
  <c r="P587" i="1"/>
  <c r="P143" i="1" s="1"/>
  <c r="AB485" i="1"/>
  <c r="P450" i="1"/>
  <c r="F456" i="1"/>
  <c r="AA436" i="1"/>
  <c r="O582" i="1"/>
  <c r="O371" i="1" s="1"/>
  <c r="O377" i="1" s="1"/>
  <c r="O184" i="1" s="1"/>
  <c r="O190" i="1" s="1"/>
  <c r="S581" i="1"/>
  <c r="S361" i="1" s="1"/>
  <c r="S368" i="1" s="1"/>
  <c r="S174" i="1" s="1"/>
  <c r="S181" i="1" s="1"/>
  <c r="J351" i="1"/>
  <c r="J580" i="1" s="1"/>
  <c r="T307" i="1"/>
  <c r="J307" i="1"/>
  <c r="AC293" i="1"/>
  <c r="U293" i="1"/>
  <c r="K293" i="1"/>
  <c r="Y275" i="1"/>
  <c r="AC272" i="1"/>
  <c r="Z449" i="1"/>
  <c r="L252" i="1"/>
  <c r="L429" i="1"/>
  <c r="Z433" i="1"/>
  <c r="Z436" i="1"/>
  <c r="H275" i="1"/>
  <c r="H256" i="1"/>
  <c r="H434" i="1"/>
  <c r="K449" i="1"/>
  <c r="K271" i="1"/>
  <c r="K431" i="1"/>
  <c r="K253" i="1"/>
  <c r="J175" i="1"/>
  <c r="I175" i="1"/>
  <c r="H175" i="1"/>
  <c r="AA432" i="1"/>
  <c r="AA450" i="1"/>
  <c r="AA587" i="1"/>
  <c r="AA143" i="1" s="1"/>
  <c r="O432" i="1"/>
  <c r="AK188" i="1"/>
  <c r="AL188" i="1" s="1"/>
  <c r="AJ431" i="1"/>
  <c r="O45" i="1"/>
  <c r="O61" i="1" s="1"/>
  <c r="J71" i="1"/>
  <c r="L448" i="1"/>
  <c r="T578" i="1"/>
  <c r="T340" i="1" s="1"/>
  <c r="T347" i="1" s="1"/>
  <c r="T152" i="1" s="1"/>
  <c r="T160" i="1" s="1"/>
  <c r="AA307" i="1"/>
  <c r="S307" i="1"/>
  <c r="AB293" i="1"/>
  <c r="T293" i="1"/>
  <c r="P255" i="1"/>
  <c r="Z253" i="1"/>
  <c r="I207" i="1"/>
  <c r="H207" i="1"/>
  <c r="J207" i="1"/>
  <c r="S433" i="1"/>
  <c r="S258" i="1"/>
  <c r="S453" i="1"/>
  <c r="S434" i="1"/>
  <c r="S256" i="1"/>
  <c r="P254" i="1"/>
  <c r="P272" i="1"/>
  <c r="Y37" i="1"/>
  <c r="W37" i="1"/>
  <c r="AF252" i="1"/>
  <c r="AF447" i="1"/>
  <c r="AF448" i="1"/>
  <c r="Z587" i="1"/>
  <c r="Z143" i="1" s="1"/>
  <c r="L449" i="1"/>
  <c r="Q434" i="1"/>
  <c r="Q275" i="1"/>
  <c r="AB450" i="1"/>
  <c r="AB254" i="1"/>
  <c r="U449" i="1"/>
  <c r="U271" i="1"/>
  <c r="V269" i="1"/>
  <c r="V270" i="1"/>
  <c r="V429" i="1"/>
  <c r="V447" i="1"/>
  <c r="V430" i="1"/>
  <c r="V448" i="1"/>
  <c r="K251" i="1"/>
  <c r="K252" i="1"/>
  <c r="I256" i="1"/>
  <c r="K447" i="1"/>
  <c r="AF430" i="1"/>
  <c r="AH211" i="1"/>
  <c r="O211" i="1"/>
  <c r="H157" i="1"/>
  <c r="J157" i="1"/>
  <c r="P433" i="1"/>
  <c r="P258" i="1"/>
  <c r="Y451" i="1"/>
  <c r="Y273" i="1"/>
  <c r="M254" i="1"/>
  <c r="M272" i="1"/>
  <c r="M450" i="1"/>
  <c r="M587" i="1"/>
  <c r="M143" i="1" s="1"/>
  <c r="T587" i="1"/>
  <c r="T143" i="1" s="1"/>
  <c r="U269" i="1"/>
  <c r="U448" i="1"/>
  <c r="Z255" i="1"/>
  <c r="AC447" i="1"/>
  <c r="Z258" i="1"/>
  <c r="W252" i="1"/>
  <c r="AF211" i="1"/>
  <c r="H451" i="1"/>
  <c r="AJ253" i="1"/>
  <c r="O272" i="1"/>
  <c r="L45" i="1"/>
  <c r="L61" i="1" s="1"/>
  <c r="Q451" i="1"/>
  <c r="K430" i="1"/>
  <c r="AJ271" i="1"/>
  <c r="S45" i="1"/>
  <c r="S61" i="1" s="1"/>
  <c r="J451" i="1"/>
  <c r="W429" i="1"/>
  <c r="J387" i="1"/>
  <c r="H387" i="1"/>
  <c r="I387" i="1"/>
  <c r="I390" i="1" s="1"/>
  <c r="H274" i="1"/>
  <c r="K429" i="1"/>
  <c r="U253" i="1"/>
  <c r="J208" i="1"/>
  <c r="V37" i="1"/>
  <c r="P45" i="1"/>
  <c r="P61" i="1" s="1"/>
  <c r="AH481" i="1"/>
  <c r="AK481" i="1" s="1"/>
  <c r="AL481" i="1" s="1"/>
  <c r="F485" i="1"/>
  <c r="H485" i="1"/>
  <c r="AA434" i="1"/>
  <c r="I434" i="1"/>
  <c r="M432" i="1"/>
  <c r="L430" i="1"/>
  <c r="AK305" i="1"/>
  <c r="AL305" i="1" s="1"/>
  <c r="AB430" i="1"/>
  <c r="X451" i="1"/>
  <c r="AB429" i="1"/>
  <c r="I253" i="1"/>
  <c r="T211" i="1"/>
  <c r="AB269" i="1"/>
  <c r="I587" i="1"/>
  <c r="I143" i="1" s="1"/>
  <c r="X37" i="1"/>
  <c r="X272" i="1" s="1"/>
  <c r="F554" i="2"/>
  <c r="S448" i="1"/>
  <c r="AJ434" i="1"/>
  <c r="S430" i="1"/>
  <c r="I429" i="1"/>
  <c r="O274" i="1"/>
  <c r="AJ255" i="1"/>
  <c r="AB252" i="1"/>
  <c r="J164" i="1"/>
  <c r="AJ433" i="1"/>
  <c r="I431" i="1"/>
  <c r="F583" i="1"/>
  <c r="AJ256" i="1"/>
  <c r="I430" i="1"/>
  <c r="Z432" i="1"/>
  <c r="P451" i="1"/>
  <c r="AB448" i="1"/>
  <c r="O433" i="1"/>
  <c r="W591" i="1"/>
  <c r="W220" i="1" s="1"/>
  <c r="K398" i="1"/>
  <c r="AJ581" i="1"/>
  <c r="AJ361" i="1" s="1"/>
  <c r="AJ368" i="1" s="1"/>
  <c r="AJ174" i="1" s="1"/>
  <c r="AJ181" i="1" s="1"/>
  <c r="S211" i="1"/>
  <c r="AJ211" i="1"/>
  <c r="Y211" i="1"/>
  <c r="P211" i="1"/>
  <c r="W211" i="1"/>
  <c r="AC211" i="1"/>
  <c r="T32" i="1"/>
  <c r="T521" i="1" s="1"/>
  <c r="O26" i="1"/>
  <c r="V26" i="1"/>
  <c r="AD591" i="1"/>
  <c r="AD219" i="1" s="1"/>
  <c r="AH398" i="1"/>
  <c r="X398" i="1"/>
  <c r="O398" i="1"/>
  <c r="AD398" i="1"/>
  <c r="L398" i="1"/>
  <c r="Z398" i="1"/>
  <c r="AA390" i="1"/>
  <c r="AA197" i="1" s="1"/>
  <c r="AA203" i="1" s="1"/>
  <c r="S390" i="1"/>
  <c r="S197" i="1" s="1"/>
  <c r="S203" i="1" s="1"/>
  <c r="Y582" i="1"/>
  <c r="Y371" i="1" s="1"/>
  <c r="Y377" i="1" s="1"/>
  <c r="Y184" i="1" s="1"/>
  <c r="Y190" i="1" s="1"/>
  <c r="AF581" i="1"/>
  <c r="AF361" i="1" s="1"/>
  <c r="AF368" i="1" s="1"/>
  <c r="W581" i="1"/>
  <c r="W361" i="1" s="1"/>
  <c r="W368" i="1" s="1"/>
  <c r="M581" i="1"/>
  <c r="M361" i="1" s="1"/>
  <c r="M368" i="1" s="1"/>
  <c r="K581" i="1"/>
  <c r="K361" i="1" s="1"/>
  <c r="K368" i="1" s="1"/>
  <c r="K174" i="1" s="1"/>
  <c r="AB578" i="1"/>
  <c r="AB340" i="1" s="1"/>
  <c r="AB347" i="1" s="1"/>
  <c r="O307" i="1"/>
  <c r="AC32" i="1"/>
  <c r="AC521" i="1" s="1"/>
  <c r="S32" i="1"/>
  <c r="S521" i="1" s="1"/>
  <c r="P26" i="1"/>
  <c r="P60" i="1" s="1"/>
  <c r="L485" i="1"/>
  <c r="AK477" i="1"/>
  <c r="AL477" i="1" s="1"/>
  <c r="AK476" i="1"/>
  <c r="AL476" i="1" s="1"/>
  <c r="AJ485" i="1"/>
  <c r="P471" i="1"/>
  <c r="K471" i="1"/>
  <c r="AK435" i="1"/>
  <c r="AL435" i="1" s="1"/>
  <c r="AH45" i="1"/>
  <c r="AA591" i="1"/>
  <c r="AA221" i="1" s="1"/>
  <c r="S591" i="1"/>
  <c r="S405" i="1" s="1"/>
  <c r="S409" i="1" s="1"/>
  <c r="U398" i="1"/>
  <c r="AF398" i="1"/>
  <c r="AJ390" i="1"/>
  <c r="AJ197" i="1" s="1"/>
  <c r="AJ203" i="1" s="1"/>
  <c r="T581" i="1"/>
  <c r="T361" i="1" s="1"/>
  <c r="T368" i="1" s="1"/>
  <c r="T174" i="1" s="1"/>
  <c r="T181" i="1" s="1"/>
  <c r="AK363" i="1"/>
  <c r="AL363" i="1" s="1"/>
  <c r="Z581" i="1"/>
  <c r="Z361" i="1" s="1"/>
  <c r="Z368" i="1" s="1"/>
  <c r="Z174" i="1" s="1"/>
  <c r="Z181" i="1" s="1"/>
  <c r="AJ578" i="1"/>
  <c r="AJ340" i="1" s="1"/>
  <c r="AJ347" i="1" s="1"/>
  <c r="AJ152" i="1" s="1"/>
  <c r="AJ160" i="1" s="1"/>
  <c r="Y578" i="1"/>
  <c r="Y340" i="1" s="1"/>
  <c r="Y347" i="1" s="1"/>
  <c r="Y152" i="1" s="1"/>
  <c r="Y160" i="1" s="1"/>
  <c r="P578" i="1"/>
  <c r="P340" i="1" s="1"/>
  <c r="P347" i="1" s="1"/>
  <c r="P152" i="1" s="1"/>
  <c r="P160" i="1" s="1"/>
  <c r="AC578" i="1"/>
  <c r="AC340" i="1" s="1"/>
  <c r="AC347" i="1" s="1"/>
  <c r="AC152" i="1" s="1"/>
  <c r="AC160" i="1" s="1"/>
  <c r="AC307" i="1"/>
  <c r="U307" i="1"/>
  <c r="K307" i="1"/>
  <c r="AK483" i="1"/>
  <c r="AL483" i="1" s="1"/>
  <c r="AA485" i="1"/>
  <c r="AD471" i="1"/>
  <c r="X471" i="1"/>
  <c r="I156" i="1"/>
  <c r="AH591" i="1"/>
  <c r="AH218" i="1" s="1"/>
  <c r="J589" i="1"/>
  <c r="J591" i="1" s="1"/>
  <c r="J405" i="1" s="1"/>
  <c r="J409" i="1" s="1"/>
  <c r="H589" i="1"/>
  <c r="H591" i="1" s="1"/>
  <c r="H405" i="1" s="1"/>
  <c r="AK469" i="1"/>
  <c r="AL469" i="1" s="1"/>
  <c r="AD485" i="1"/>
  <c r="AF485" i="1"/>
  <c r="J485" i="1"/>
  <c r="AC485" i="1"/>
  <c r="H471" i="1"/>
  <c r="AH390" i="1"/>
  <c r="AH197" i="1" s="1"/>
  <c r="AH203" i="1" s="1"/>
  <c r="O390" i="1"/>
  <c r="O197" i="1" s="1"/>
  <c r="O203" i="1" s="1"/>
  <c r="AK366" i="1"/>
  <c r="AL366" i="1" s="1"/>
  <c r="J364" i="1"/>
  <c r="Q581" i="1"/>
  <c r="Q361" i="1" s="1"/>
  <c r="Q368" i="1" s="1"/>
  <c r="I351" i="1"/>
  <c r="I580" i="1" s="1"/>
  <c r="AK345" i="1"/>
  <c r="AL345" i="1" s="1"/>
  <c r="AA578" i="1"/>
  <c r="AA340" i="1" s="1"/>
  <c r="AA347" i="1" s="1"/>
  <c r="AA152" i="1" s="1"/>
  <c r="AA160" i="1" s="1"/>
  <c r="L218" i="1"/>
  <c r="L405" i="1"/>
  <c r="L409" i="1" s="1"/>
  <c r="L219" i="1"/>
  <c r="Q485" i="1"/>
  <c r="AK475" i="1"/>
  <c r="AL475" i="1" s="1"/>
  <c r="AK478" i="1"/>
  <c r="AL478" i="1" s="1"/>
  <c r="Q471" i="1"/>
  <c r="I364" i="1"/>
  <c r="W275" i="1"/>
  <c r="W453" i="1"/>
  <c r="W256" i="1"/>
  <c r="W434" i="1"/>
  <c r="AJ254" i="1"/>
  <c r="AJ272" i="1"/>
  <c r="AJ450" i="1"/>
  <c r="AJ432" i="1"/>
  <c r="AJ587" i="1"/>
  <c r="AJ143" i="1" s="1"/>
  <c r="AD253" i="1"/>
  <c r="AD271" i="1"/>
  <c r="AD449" i="1"/>
  <c r="AD587" i="1"/>
  <c r="AD143" i="1" s="1"/>
  <c r="AD431" i="1"/>
  <c r="Q253" i="1"/>
  <c r="Q271" i="1"/>
  <c r="Q449" i="1"/>
  <c r="Q431" i="1"/>
  <c r="H271" i="1"/>
  <c r="H587" i="1"/>
  <c r="H143" i="1" s="1"/>
  <c r="H449" i="1"/>
  <c r="H431" i="1"/>
  <c r="AA251" i="1"/>
  <c r="AA269" i="1"/>
  <c r="AA270" i="1"/>
  <c r="AA252" i="1"/>
  <c r="AA430" i="1"/>
  <c r="AA448" i="1"/>
  <c r="AA447" i="1"/>
  <c r="Q269" i="1"/>
  <c r="Q270" i="1"/>
  <c r="Q430" i="1"/>
  <c r="Q251" i="1"/>
  <c r="Q252" i="1"/>
  <c r="Q447" i="1"/>
  <c r="H269" i="1"/>
  <c r="H251" i="1"/>
  <c r="H270" i="1"/>
  <c r="H430" i="1"/>
  <c r="H448" i="1"/>
  <c r="H429" i="1"/>
  <c r="H45" i="1"/>
  <c r="H61" i="1" s="1"/>
  <c r="Y471" i="1"/>
  <c r="AF218" i="1"/>
  <c r="AF405" i="1"/>
  <c r="AF409" i="1" s="1"/>
  <c r="I485" i="1"/>
  <c r="U485" i="1"/>
  <c r="J222" i="1"/>
  <c r="AF219" i="1"/>
  <c r="V433" i="1"/>
  <c r="V436" i="1"/>
  <c r="AF256" i="1"/>
  <c r="AF434" i="1"/>
  <c r="AF275" i="1"/>
  <c r="AF453" i="1"/>
  <c r="AA273" i="1"/>
  <c r="AK406" i="1"/>
  <c r="AL406" i="1" s="1"/>
  <c r="I589" i="1"/>
  <c r="I591" i="1" s="1"/>
  <c r="I220" i="1" s="1"/>
  <c r="H407" i="1"/>
  <c r="F409" i="1"/>
  <c r="AC398" i="1"/>
  <c r="AA398" i="1"/>
  <c r="J384" i="1"/>
  <c r="P581" i="1"/>
  <c r="P361" i="1" s="1"/>
  <c r="P368" i="1" s="1"/>
  <c r="P174" i="1" s="1"/>
  <c r="P181" i="1" s="1"/>
  <c r="M275" i="1"/>
  <c r="H252" i="1"/>
  <c r="M485" i="1"/>
  <c r="X485" i="1"/>
  <c r="I471" i="1"/>
  <c r="AK467" i="1"/>
  <c r="AL467" i="1" s="1"/>
  <c r="I394" i="1"/>
  <c r="AJ582" i="1"/>
  <c r="AJ371" i="1" s="1"/>
  <c r="AJ377" i="1" s="1"/>
  <c r="AJ184" i="1" s="1"/>
  <c r="AJ190" i="1" s="1"/>
  <c r="AH581" i="1"/>
  <c r="AH361" i="1" s="1"/>
  <c r="AH368" i="1" s="1"/>
  <c r="AH174" i="1" s="1"/>
  <c r="AH181" i="1" s="1"/>
  <c r="O581" i="1"/>
  <c r="O361" i="1" s="1"/>
  <c r="O368" i="1" s="1"/>
  <c r="AC581" i="1"/>
  <c r="AC361" i="1" s="1"/>
  <c r="AC368" i="1" s="1"/>
  <c r="AC174" i="1" s="1"/>
  <c r="AC181" i="1" s="1"/>
  <c r="U581" i="1"/>
  <c r="U361" i="1" s="1"/>
  <c r="U368" i="1" s="1"/>
  <c r="U174" i="1" s="1"/>
  <c r="U181" i="1" s="1"/>
  <c r="W580" i="1"/>
  <c r="W350" i="1" s="1"/>
  <c r="W356" i="1" s="1"/>
  <c r="V578" i="1"/>
  <c r="V340" i="1" s="1"/>
  <c r="V347" i="1" s="1"/>
  <c r="L578" i="1"/>
  <c r="L340" i="1" s="1"/>
  <c r="L347" i="1" s="1"/>
  <c r="X293" i="1"/>
  <c r="H253" i="1"/>
  <c r="AK474" i="1"/>
  <c r="AL474" i="1" s="1"/>
  <c r="AJ591" i="1"/>
  <c r="Q591" i="1"/>
  <c r="Q221" i="1" s="1"/>
  <c r="K485" i="1"/>
  <c r="W398" i="1"/>
  <c r="M398" i="1"/>
  <c r="AJ398" i="1"/>
  <c r="Y398" i="1"/>
  <c r="P398" i="1"/>
  <c r="AF390" i="1"/>
  <c r="M390" i="1"/>
  <c r="X275" i="1"/>
  <c r="X256" i="1"/>
  <c r="P275" i="1"/>
  <c r="P256" i="1"/>
  <c r="AA272" i="1"/>
  <c r="AA254" i="1"/>
  <c r="AH253" i="1"/>
  <c r="AH271" i="1"/>
  <c r="O591" i="1"/>
  <c r="O220" i="1" s="1"/>
  <c r="Q29" i="1"/>
  <c r="AK178" i="1"/>
  <c r="AL178" i="1" s="1"/>
  <c r="AA471" i="1"/>
  <c r="AB398" i="1"/>
  <c r="T398" i="1"/>
  <c r="Q398" i="1"/>
  <c r="W582" i="1"/>
  <c r="W371" i="1" s="1"/>
  <c r="W377" i="1" s="1"/>
  <c r="W184" i="1" s="1"/>
  <c r="W190" i="1" s="1"/>
  <c r="Z211" i="1"/>
  <c r="O256" i="1"/>
  <c r="O434" i="1"/>
  <c r="S270" i="1"/>
  <c r="S447" i="1"/>
  <c r="F32" i="1"/>
  <c r="V398" i="1"/>
  <c r="J388" i="1"/>
  <c r="H388" i="1"/>
  <c r="AC582" i="1"/>
  <c r="AC371" i="1" s="1"/>
  <c r="AC377" i="1" s="1"/>
  <c r="AC184" i="1" s="1"/>
  <c r="AC190" i="1" s="1"/>
  <c r="I199" i="1"/>
  <c r="H199" i="1"/>
  <c r="AK187" i="1"/>
  <c r="AL187" i="1" s="1"/>
  <c r="U255" i="1"/>
  <c r="U274" i="1"/>
  <c r="AC436" i="1"/>
  <c r="AC258" i="1"/>
  <c r="K258" i="1"/>
  <c r="K436" i="1"/>
  <c r="T591" i="1"/>
  <c r="AC591" i="1"/>
  <c r="AC219" i="1" s="1"/>
  <c r="AB255" i="1"/>
  <c r="AB274" i="1"/>
  <c r="AK16" i="1"/>
  <c r="AL16" i="1" s="1"/>
  <c r="U591" i="1"/>
  <c r="U221" i="1" s="1"/>
  <c r="W485" i="1"/>
  <c r="Z485" i="1"/>
  <c r="J209" i="1"/>
  <c r="F211" i="1"/>
  <c r="F203" i="1"/>
  <c r="S255" i="1"/>
  <c r="S274" i="1"/>
  <c r="I274" i="1"/>
  <c r="I452" i="1"/>
  <c r="Y591" i="1"/>
  <c r="Y405" i="1" s="1"/>
  <c r="Y409" i="1" s="1"/>
  <c r="F535" i="2"/>
  <c r="AF578" i="1"/>
  <c r="AF340" i="1" s="1"/>
  <c r="AF347" i="1" s="1"/>
  <c r="W578" i="1"/>
  <c r="W340" i="1" s="1"/>
  <c r="W347" i="1" s="1"/>
  <c r="W152" i="1" s="1"/>
  <c r="W160" i="1" s="1"/>
  <c r="M578" i="1"/>
  <c r="M340" i="1" s="1"/>
  <c r="M347" i="1" s="1"/>
  <c r="S578" i="1"/>
  <c r="S340" i="1" s="1"/>
  <c r="S347" i="1" s="1"/>
  <c r="S152" i="1" s="1"/>
  <c r="S160" i="1" s="1"/>
  <c r="H307" i="1"/>
  <c r="AB307" i="1"/>
  <c r="Q211" i="1"/>
  <c r="Y32" i="1"/>
  <c r="Y521" i="1" s="1"/>
  <c r="AJ580" i="1"/>
  <c r="AJ350" i="1" s="1"/>
  <c r="AJ356" i="1" s="1"/>
  <c r="Q578" i="1"/>
  <c r="Q340" i="1" s="1"/>
  <c r="Q347" i="1" s="1"/>
  <c r="I45" i="1"/>
  <c r="I61" i="1" s="1"/>
  <c r="AA256" i="1"/>
  <c r="X581" i="1"/>
  <c r="X361" i="1" s="1"/>
  <c r="X368" i="1" s="1"/>
  <c r="X174" i="1" s="1"/>
  <c r="X181" i="1" s="1"/>
  <c r="Z578" i="1"/>
  <c r="Z340" i="1" s="1"/>
  <c r="Z347" i="1" s="1"/>
  <c r="AK166" i="1"/>
  <c r="AL166" i="1" s="1"/>
  <c r="AD32" i="1"/>
  <c r="AD521" i="1" s="1"/>
  <c r="I32" i="1"/>
  <c r="I521" i="1" s="1"/>
  <c r="AH26" i="1"/>
  <c r="P293" i="1"/>
  <c r="Q45" i="1"/>
  <c r="Q61" i="1" s="1"/>
  <c r="Q436" i="1"/>
  <c r="Q293" i="1"/>
  <c r="F549" i="2"/>
  <c r="P485" i="1"/>
  <c r="W471" i="1"/>
  <c r="AH471" i="1"/>
  <c r="M471" i="1"/>
  <c r="AK198" i="1"/>
  <c r="AL198" i="1" s="1"/>
  <c r="AF271" i="1"/>
  <c r="AF449" i="1"/>
  <c r="AF45" i="1"/>
  <c r="AF61" i="1" s="1"/>
  <c r="S271" i="1"/>
  <c r="S253" i="1"/>
  <c r="S431" i="1"/>
  <c r="S449" i="1"/>
  <c r="S587" i="1"/>
  <c r="S143" i="1" s="1"/>
  <c r="U587" i="1"/>
  <c r="U143" i="1" s="1"/>
  <c r="U272" i="1"/>
  <c r="U432" i="1"/>
  <c r="U450" i="1"/>
  <c r="AK539" i="1"/>
  <c r="AL539" i="1" s="1"/>
  <c r="H200" i="1"/>
  <c r="AH578" i="1"/>
  <c r="AH340" i="1" s="1"/>
  <c r="AH347" i="1" s="1"/>
  <c r="X578" i="1"/>
  <c r="X340" i="1" s="1"/>
  <c r="X347" i="1" s="1"/>
  <c r="O578" i="1"/>
  <c r="O340" i="1" s="1"/>
  <c r="O347" i="1" s="1"/>
  <c r="V273" i="1"/>
  <c r="V451" i="1"/>
  <c r="J100" i="1"/>
  <c r="I100" i="1"/>
  <c r="H100" i="1"/>
  <c r="K272" i="1"/>
  <c r="K587" i="1"/>
  <c r="K143" i="1" s="1"/>
  <c r="K432" i="1"/>
  <c r="K450" i="1"/>
  <c r="K45" i="1"/>
  <c r="K61" i="1" s="1"/>
  <c r="K254" i="1"/>
  <c r="T390" i="1"/>
  <c r="AD581" i="1"/>
  <c r="AD361" i="1" s="1"/>
  <c r="AD368" i="1" s="1"/>
  <c r="I223" i="1"/>
  <c r="J223" i="1"/>
  <c r="J101" i="1"/>
  <c r="I101" i="1"/>
  <c r="K434" i="1"/>
  <c r="K256" i="1"/>
  <c r="K275" i="1"/>
  <c r="AK300" i="1"/>
  <c r="AL300" i="1" s="1"/>
  <c r="Y307" i="1"/>
  <c r="P307" i="1"/>
  <c r="AJ307" i="1"/>
  <c r="U254" i="1"/>
  <c r="AK153" i="1"/>
  <c r="AL153" i="1" s="1"/>
  <c r="AK144" i="1"/>
  <c r="AL144" i="1" s="1"/>
  <c r="F529" i="2"/>
  <c r="AK482" i="1"/>
  <c r="AL482" i="1" s="1"/>
  <c r="AK480" i="1"/>
  <c r="AL480" i="1" s="1"/>
  <c r="AK479" i="1"/>
  <c r="AL479" i="1" s="1"/>
  <c r="S485" i="1"/>
  <c r="T485" i="1"/>
  <c r="J395" i="1"/>
  <c r="W307" i="1"/>
  <c r="V255" i="1"/>
  <c r="V452" i="1"/>
  <c r="AK590" i="1"/>
  <c r="AL590" i="1" s="1"/>
  <c r="F425" i="1"/>
  <c r="H186" i="1"/>
  <c r="I186" i="1"/>
  <c r="J186" i="1"/>
  <c r="I99" i="1"/>
  <c r="H99" i="1"/>
  <c r="J99" i="1"/>
  <c r="AC452" i="1"/>
  <c r="AC255" i="1"/>
  <c r="AC274" i="1"/>
  <c r="J449" i="1"/>
  <c r="J253" i="1"/>
  <c r="J271" i="1"/>
  <c r="AC252" i="1"/>
  <c r="AC448" i="1"/>
  <c r="AC270" i="1"/>
  <c r="AC251" i="1"/>
  <c r="AC429" i="1"/>
  <c r="AC430" i="1"/>
  <c r="AC269" i="1"/>
  <c r="U251" i="1"/>
  <c r="U429" i="1"/>
  <c r="U430" i="1"/>
  <c r="U252" i="1"/>
  <c r="U447" i="1"/>
  <c r="U270" i="1"/>
  <c r="J252" i="1"/>
  <c r="J429" i="1"/>
  <c r="J430" i="1"/>
  <c r="J448" i="1"/>
  <c r="J251" i="1"/>
  <c r="J270" i="1"/>
  <c r="J269" i="1"/>
  <c r="J447" i="1"/>
  <c r="L211" i="1"/>
  <c r="Y390" i="1"/>
  <c r="Q390" i="1"/>
  <c r="AA211" i="1"/>
  <c r="F533" i="1"/>
  <c r="V471" i="1"/>
  <c r="AJ471" i="1"/>
  <c r="W390" i="1"/>
  <c r="AB580" i="1"/>
  <c r="AB350" i="1" s="1"/>
  <c r="AB356" i="1" s="1"/>
  <c r="AH293" i="1"/>
  <c r="U390" i="1"/>
  <c r="L390" i="1"/>
  <c r="T582" i="1"/>
  <c r="T371" i="1" s="1"/>
  <c r="T377" i="1" s="1"/>
  <c r="T184" i="1" s="1"/>
  <c r="T190" i="1" s="1"/>
  <c r="AA580" i="1"/>
  <c r="AA350" i="1" s="1"/>
  <c r="AA356" i="1" s="1"/>
  <c r="S580" i="1"/>
  <c r="S350" i="1" s="1"/>
  <c r="S356" i="1" s="1"/>
  <c r="I209" i="1"/>
  <c r="Q26" i="1"/>
  <c r="Q60" i="1" s="1"/>
  <c r="O471" i="1"/>
  <c r="M211" i="1"/>
  <c r="M591" i="1"/>
  <c r="Z471" i="1"/>
  <c r="AB471" i="1"/>
  <c r="L471" i="1"/>
  <c r="H396" i="1"/>
  <c r="AD580" i="1"/>
  <c r="AD350" i="1" s="1"/>
  <c r="AD356" i="1" s="1"/>
  <c r="AF580" i="1"/>
  <c r="AF350" i="1" s="1"/>
  <c r="AF356" i="1" s="1"/>
  <c r="AF163" i="1" s="1"/>
  <c r="AF169" i="1" s="1"/>
  <c r="Z390" i="1"/>
  <c r="X582" i="1"/>
  <c r="X371" i="1" s="1"/>
  <c r="X377" i="1" s="1"/>
  <c r="V581" i="1"/>
  <c r="V361" i="1" s="1"/>
  <c r="V368" i="1" s="1"/>
  <c r="H176" i="1"/>
  <c r="O436" i="1"/>
  <c r="AB32" i="1"/>
  <c r="F12" i="1"/>
  <c r="D26" i="7"/>
  <c r="E26" i="7" s="1"/>
  <c r="G30" i="6"/>
  <c r="S471" i="1"/>
  <c r="AK466" i="1"/>
  <c r="AL466" i="1" s="1"/>
  <c r="Q134" i="1"/>
  <c r="Q135" i="1"/>
  <c r="Q72" i="1"/>
  <c r="Q126" i="1"/>
  <c r="O485" i="1"/>
  <c r="K591" i="1"/>
  <c r="T471" i="1"/>
  <c r="W293" i="1"/>
  <c r="J179" i="1"/>
  <c r="F181" i="1"/>
  <c r="H179" i="1"/>
  <c r="O134" i="1"/>
  <c r="AK120" i="1"/>
  <c r="AL120" i="1" s="1"/>
  <c r="P591" i="1"/>
  <c r="AF221" i="1"/>
  <c r="AF220" i="1"/>
  <c r="V591" i="1"/>
  <c r="P134" i="1"/>
  <c r="V485" i="1"/>
  <c r="T452" i="1"/>
  <c r="T255" i="1"/>
  <c r="P29" i="1"/>
  <c r="X591" i="1"/>
  <c r="AC471" i="1"/>
  <c r="U471" i="1"/>
  <c r="AA274" i="1"/>
  <c r="AA452" i="1"/>
  <c r="AK298" i="1"/>
  <c r="AL298" i="1" s="1"/>
  <c r="J185" i="1"/>
  <c r="I185" i="1"/>
  <c r="Z591" i="1"/>
  <c r="Y485" i="1"/>
  <c r="AJ273" i="1"/>
  <c r="AJ45" i="1"/>
  <c r="AJ61" i="1" s="1"/>
  <c r="W273" i="1"/>
  <c r="W451" i="1"/>
  <c r="O273" i="1"/>
  <c r="O451" i="1"/>
  <c r="L272" i="1"/>
  <c r="L254" i="1"/>
  <c r="L587" i="1"/>
  <c r="T271" i="1"/>
  <c r="T253" i="1"/>
  <c r="T449" i="1"/>
  <c r="T431" i="1"/>
  <c r="M307" i="1"/>
  <c r="J200" i="1"/>
  <c r="I200" i="1"/>
  <c r="Q433" i="1"/>
  <c r="Q258" i="1"/>
  <c r="I258" i="1"/>
  <c r="I433" i="1"/>
  <c r="I436" i="1"/>
  <c r="U434" i="1"/>
  <c r="U275" i="1"/>
  <c r="U45" i="1"/>
  <c r="U61" i="1" s="1"/>
  <c r="U256" i="1"/>
  <c r="U453" i="1"/>
  <c r="M45" i="1"/>
  <c r="M61" i="1" s="1"/>
  <c r="M451" i="1"/>
  <c r="AF431" i="1"/>
  <c r="AF587" i="1"/>
  <c r="AF143" i="1" s="1"/>
  <c r="AF253" i="1"/>
  <c r="J51" i="27"/>
  <c r="AD390" i="1"/>
  <c r="V390" i="1"/>
  <c r="H433" i="1"/>
  <c r="H258" i="1"/>
  <c r="H436" i="1"/>
  <c r="U211" i="1"/>
  <c r="J256" i="1"/>
  <c r="J275" i="1"/>
  <c r="AB270" i="1"/>
  <c r="AB447" i="1"/>
  <c r="J471" i="1"/>
  <c r="AB390" i="1"/>
  <c r="Z582" i="1"/>
  <c r="T580" i="1"/>
  <c r="T350" i="1" s="1"/>
  <c r="T356" i="1" s="1"/>
  <c r="W258" i="1"/>
  <c r="W433" i="1"/>
  <c r="S272" i="1"/>
  <c r="S432" i="1"/>
  <c r="S450" i="1"/>
  <c r="Q580" i="1"/>
  <c r="M253" i="1"/>
  <c r="M271" i="1"/>
  <c r="AJ430" i="1"/>
  <c r="AJ269" i="1"/>
  <c r="AJ270" i="1"/>
  <c r="O251" i="1"/>
  <c r="O252" i="1"/>
  <c r="P390" i="1"/>
  <c r="Y581" i="1"/>
  <c r="L255" i="1"/>
  <c r="L274" i="1"/>
  <c r="L26" i="1"/>
  <c r="L60" i="1" s="1"/>
  <c r="I71" i="1"/>
  <c r="AB275" i="1"/>
  <c r="AB256" i="1"/>
  <c r="L275" i="1"/>
  <c r="H254" i="1"/>
  <c r="AH252" i="1"/>
  <c r="AF251" i="1"/>
  <c r="Y274" i="1"/>
  <c r="AF270" i="1"/>
  <c r="L270" i="1"/>
  <c r="H1" i="2" l="1"/>
  <c r="H682" i="2" s="1"/>
  <c r="G682" i="2"/>
  <c r="I1" i="2"/>
  <c r="I682" i="2" s="1"/>
  <c r="H785" i="2"/>
  <c r="H822" i="2"/>
  <c r="H563" i="2" s="1"/>
  <c r="H786" i="2"/>
  <c r="H816" i="2"/>
  <c r="H528" i="2" s="1"/>
  <c r="H823" i="2"/>
  <c r="H569" i="2" s="1"/>
  <c r="H824" i="2"/>
  <c r="H819" i="2"/>
  <c r="H661" i="2"/>
  <c r="H654" i="2"/>
  <c r="H553" i="2"/>
  <c r="H546" i="2"/>
  <c r="H538" i="2"/>
  <c r="H552" i="2"/>
  <c r="H545" i="2"/>
  <c r="H664" i="2"/>
  <c r="H660" i="2"/>
  <c r="H652" i="2"/>
  <c r="H663" i="2"/>
  <c r="H656" i="2"/>
  <c r="H548" i="2"/>
  <c r="H544" i="2"/>
  <c r="H662" i="2"/>
  <c r="H655" i="2"/>
  <c r="H560" i="2"/>
  <c r="H547" i="2"/>
  <c r="H541" i="2"/>
  <c r="H526" i="2"/>
  <c r="H524" i="2"/>
  <c r="H534" i="2"/>
  <c r="H532" i="2"/>
  <c r="H523" i="2"/>
  <c r="H525" i="2"/>
  <c r="H533" i="2"/>
  <c r="H659" i="2"/>
  <c r="H651" i="2"/>
  <c r="H782" i="2" s="1"/>
  <c r="G782" i="2" s="1"/>
  <c r="E10" i="7"/>
  <c r="K70" i="7"/>
  <c r="M939" i="2"/>
  <c r="M918" i="2"/>
  <c r="M911" i="2"/>
  <c r="M904" i="2"/>
  <c r="M932" i="2"/>
  <c r="M925" i="2"/>
  <c r="N939" i="2"/>
  <c r="N911" i="2"/>
  <c r="N932" i="2"/>
  <c r="N925" i="2"/>
  <c r="N918" i="2"/>
  <c r="N904" i="2"/>
  <c r="O939" i="2"/>
  <c r="O932" i="2"/>
  <c r="O925" i="2"/>
  <c r="O918" i="2"/>
  <c r="O911" i="2"/>
  <c r="O904" i="2"/>
  <c r="R939" i="2"/>
  <c r="R932" i="2"/>
  <c r="R925" i="2"/>
  <c r="R918" i="2"/>
  <c r="R911" i="2"/>
  <c r="R904" i="2"/>
  <c r="Q939" i="2"/>
  <c r="Q918" i="2"/>
  <c r="Q911" i="2"/>
  <c r="Q904" i="2"/>
  <c r="Q925" i="2"/>
  <c r="Q932" i="2"/>
  <c r="P939" i="2"/>
  <c r="P932" i="2"/>
  <c r="P918" i="2"/>
  <c r="P911" i="2"/>
  <c r="P904" i="2"/>
  <c r="P925" i="2"/>
  <c r="O521" i="1"/>
  <c r="AB104" i="1"/>
  <c r="AB521" i="1"/>
  <c r="O104" i="1"/>
  <c r="AD245" i="1"/>
  <c r="AD104" i="1"/>
  <c r="Y422" i="1"/>
  <c r="Y104" i="1"/>
  <c r="AC102" i="1"/>
  <c r="AC104" i="1"/>
  <c r="H421" i="1"/>
  <c r="H104" i="1"/>
  <c r="AF414" i="1"/>
  <c r="AF104" i="1"/>
  <c r="X520" i="1"/>
  <c r="X104" i="1"/>
  <c r="L421" i="1"/>
  <c r="L104" i="1"/>
  <c r="AA419" i="1"/>
  <c r="AA104" i="1"/>
  <c r="V102" i="1"/>
  <c r="V104" i="1"/>
  <c r="U423" i="1"/>
  <c r="U104" i="1"/>
  <c r="AH417" i="1"/>
  <c r="AH104" i="1"/>
  <c r="AJ421" i="1"/>
  <c r="AJ104" i="1"/>
  <c r="M420" i="1"/>
  <c r="M104" i="1"/>
  <c r="J417" i="1"/>
  <c r="J104" i="1"/>
  <c r="Z422" i="1"/>
  <c r="Z104" i="1"/>
  <c r="I415" i="1"/>
  <c r="I104" i="1"/>
  <c r="S419" i="1"/>
  <c r="S104" i="1"/>
  <c r="T418" i="1"/>
  <c r="T104" i="1"/>
  <c r="W245" i="1"/>
  <c r="W104" i="1"/>
  <c r="K245" i="1"/>
  <c r="K104" i="1"/>
  <c r="Z517" i="1"/>
  <c r="Z60" i="1"/>
  <c r="AD529" i="1"/>
  <c r="AD60" i="1"/>
  <c r="M529" i="1"/>
  <c r="M60" i="1"/>
  <c r="V518" i="1"/>
  <c r="V60" i="1"/>
  <c r="AJ516" i="1"/>
  <c r="AJ60" i="1"/>
  <c r="AF516" i="1"/>
  <c r="AF60" i="1"/>
  <c r="AH517" i="1"/>
  <c r="AH60" i="1"/>
  <c r="AH522" i="1"/>
  <c r="AH61" i="1"/>
  <c r="O517" i="1"/>
  <c r="O60" i="1"/>
  <c r="S518" i="1"/>
  <c r="S60" i="1"/>
  <c r="J260" i="1"/>
  <c r="J61" i="1"/>
  <c r="K517" i="1"/>
  <c r="K60" i="1"/>
  <c r="AA516" i="1"/>
  <c r="AA60" i="1"/>
  <c r="F545" i="1"/>
  <c r="G309" i="1"/>
  <c r="AK30" i="1"/>
  <c r="AL30" i="1" s="1"/>
  <c r="Q32" i="1"/>
  <c r="Q521" i="1" s="1"/>
  <c r="AK38" i="1"/>
  <c r="AL38" i="1" s="1"/>
  <c r="Z273" i="1"/>
  <c r="AK273" i="1" s="1"/>
  <c r="AL273" i="1" s="1"/>
  <c r="Z237" i="1"/>
  <c r="F458" i="1"/>
  <c r="F460" i="1" s="1"/>
  <c r="X358" i="1"/>
  <c r="Z416" i="1"/>
  <c r="Z414" i="1"/>
  <c r="Z238" i="1"/>
  <c r="Z415" i="1"/>
  <c r="Z244" i="1"/>
  <c r="Z530" i="1"/>
  <c r="Z417" i="1"/>
  <c r="Z418" i="1"/>
  <c r="Z103" i="1"/>
  <c r="Z419" i="1"/>
  <c r="Z102" i="1"/>
  <c r="Z420" i="1"/>
  <c r="Z245" i="1"/>
  <c r="Z423" i="1"/>
  <c r="Z520" i="1"/>
  <c r="Z421" i="1"/>
  <c r="Z519" i="1"/>
  <c r="V379" i="1"/>
  <c r="K103" i="1"/>
  <c r="L519" i="1"/>
  <c r="AJ520" i="1"/>
  <c r="L420" i="1"/>
  <c r="AH102" i="1"/>
  <c r="AJ418" i="1"/>
  <c r="AJ238" i="1"/>
  <c r="L244" i="1"/>
  <c r="AJ530" i="1"/>
  <c r="AJ519" i="1"/>
  <c r="AJ417" i="1"/>
  <c r="L245" i="1"/>
  <c r="AJ420" i="1"/>
  <c r="L237" i="1"/>
  <c r="AJ423" i="1"/>
  <c r="AJ415" i="1"/>
  <c r="AJ245" i="1"/>
  <c r="AJ414" i="1"/>
  <c r="AJ422" i="1"/>
  <c r="AJ102" i="1"/>
  <c r="AJ103" i="1"/>
  <c r="AJ419" i="1"/>
  <c r="AJ244" i="1"/>
  <c r="AJ416" i="1"/>
  <c r="AJ237" i="1"/>
  <c r="AK372" i="1"/>
  <c r="AL372" i="1" s="1"/>
  <c r="L520" i="1"/>
  <c r="L102" i="1"/>
  <c r="L417" i="1"/>
  <c r="L416" i="1"/>
  <c r="L415" i="1"/>
  <c r="L414" i="1"/>
  <c r="L423" i="1"/>
  <c r="L103" i="1"/>
  <c r="L530" i="1"/>
  <c r="L418" i="1"/>
  <c r="L238" i="1"/>
  <c r="L419" i="1"/>
  <c r="L422" i="1"/>
  <c r="K102" i="1"/>
  <c r="K530" i="1"/>
  <c r="K238" i="1"/>
  <c r="K422" i="1"/>
  <c r="W418" i="1"/>
  <c r="K415" i="1"/>
  <c r="K418" i="1"/>
  <c r="K237" i="1"/>
  <c r="K417" i="1"/>
  <c r="K414" i="1"/>
  <c r="K416" i="1"/>
  <c r="K520" i="1"/>
  <c r="K244" i="1"/>
  <c r="K423" i="1"/>
  <c r="K420" i="1"/>
  <c r="X102" i="1"/>
  <c r="K519" i="1"/>
  <c r="K421" i="1"/>
  <c r="X416" i="1"/>
  <c r="AH415" i="1"/>
  <c r="X530" i="1"/>
  <c r="X422" i="1"/>
  <c r="K419" i="1"/>
  <c r="AH423" i="1"/>
  <c r="AH520" i="1"/>
  <c r="AH103" i="1"/>
  <c r="X244" i="1"/>
  <c r="AH244" i="1"/>
  <c r="AH418" i="1"/>
  <c r="AH414" i="1"/>
  <c r="X423" i="1"/>
  <c r="AH421" i="1"/>
  <c r="X238" i="1"/>
  <c r="AH238" i="1"/>
  <c r="AH419" i="1"/>
  <c r="X420" i="1"/>
  <c r="AH530" i="1"/>
  <c r="X415" i="1"/>
  <c r="X418" i="1"/>
  <c r="AH422" i="1"/>
  <c r="AH420" i="1"/>
  <c r="X237" i="1"/>
  <c r="AH237" i="1"/>
  <c r="X421" i="1"/>
  <c r="X414" i="1"/>
  <c r="X417" i="1"/>
  <c r="AH245" i="1"/>
  <c r="X103" i="1"/>
  <c r="X519" i="1"/>
  <c r="AH519" i="1"/>
  <c r="AH416" i="1"/>
  <c r="X245" i="1"/>
  <c r="X419" i="1"/>
  <c r="K154" i="1"/>
  <c r="AK154" i="1" s="1"/>
  <c r="AL154" i="1" s="1"/>
  <c r="Q379" i="1"/>
  <c r="V519" i="1"/>
  <c r="H519" i="1"/>
  <c r="AA414" i="1"/>
  <c r="AA519" i="1"/>
  <c r="W420" i="1"/>
  <c r="W417" i="1"/>
  <c r="T420" i="1"/>
  <c r="AH454" i="1"/>
  <c r="AH584" i="1" s="1"/>
  <c r="AH446" i="1" s="1"/>
  <c r="AH456" i="1" s="1"/>
  <c r="AH268" i="1" s="1"/>
  <c r="U421" i="1"/>
  <c r="T245" i="1"/>
  <c r="AD358" i="1"/>
  <c r="T103" i="1"/>
  <c r="T416" i="1"/>
  <c r="W422" i="1"/>
  <c r="AB192" i="1"/>
  <c r="AF519" i="1"/>
  <c r="H419" i="1"/>
  <c r="H416" i="1"/>
  <c r="AK342" i="1"/>
  <c r="AL342" i="1" s="1"/>
  <c r="H237" i="1"/>
  <c r="H103" i="1"/>
  <c r="U520" i="1"/>
  <c r="U102" i="1"/>
  <c r="AD414" i="1"/>
  <c r="I64" i="1"/>
  <c r="U414" i="1"/>
  <c r="W414" i="1"/>
  <c r="W103" i="1"/>
  <c r="U519" i="1"/>
  <c r="Q260" i="1"/>
  <c r="H261" i="1"/>
  <c r="S437" i="1"/>
  <c r="W102" i="1"/>
  <c r="U420" i="1"/>
  <c r="U103" i="1"/>
  <c r="W519" i="1"/>
  <c r="U418" i="1"/>
  <c r="P73" i="1"/>
  <c r="W530" i="1"/>
  <c r="J73" i="1"/>
  <c r="U415" i="1"/>
  <c r="U245" i="1"/>
  <c r="U419" i="1"/>
  <c r="W423" i="1"/>
  <c r="AH438" i="1"/>
  <c r="U416" i="1"/>
  <c r="W244" i="1"/>
  <c r="W237" i="1"/>
  <c r="U422" i="1"/>
  <c r="U244" i="1"/>
  <c r="W520" i="1"/>
  <c r="W415" i="1"/>
  <c r="L531" i="1"/>
  <c r="O438" i="1"/>
  <c r="U417" i="1"/>
  <c r="U238" i="1"/>
  <c r="W416" i="1"/>
  <c r="W419" i="1"/>
  <c r="AK176" i="1"/>
  <c r="AL176" i="1" s="1"/>
  <c r="W238" i="1"/>
  <c r="J398" i="1"/>
  <c r="U530" i="1"/>
  <c r="AK407" i="1"/>
  <c r="AL407" i="1" s="1"/>
  <c r="W421" i="1"/>
  <c r="U237" i="1"/>
  <c r="H458" i="1"/>
  <c r="L105" i="1"/>
  <c r="J237" i="1"/>
  <c r="J245" i="1"/>
  <c r="I581" i="1"/>
  <c r="I361" i="1" s="1"/>
  <c r="I368" i="1" s="1"/>
  <c r="I174" i="1" s="1"/>
  <c r="J420" i="1"/>
  <c r="Z529" i="1"/>
  <c r="J238" i="1"/>
  <c r="J519" i="1"/>
  <c r="J419" i="1"/>
  <c r="J423" i="1"/>
  <c r="J244" i="1"/>
  <c r="AD218" i="1"/>
  <c r="AK164" i="1"/>
  <c r="AL164" i="1" s="1"/>
  <c r="AF517" i="1"/>
  <c r="P192" i="1"/>
  <c r="V416" i="1"/>
  <c r="V418" i="1"/>
  <c r="V417" i="1"/>
  <c r="V415" i="1"/>
  <c r="AF518" i="1"/>
  <c r="H244" i="1"/>
  <c r="AF471" i="1"/>
  <c r="AK471" i="1" s="1"/>
  <c r="AL471" i="1" s="1"/>
  <c r="V419" i="1"/>
  <c r="V245" i="1"/>
  <c r="AA529" i="1"/>
  <c r="V422" i="1"/>
  <c r="H520" i="1"/>
  <c r="AF529" i="1"/>
  <c r="AA518" i="1"/>
  <c r="AA517" i="1"/>
  <c r="AK396" i="1"/>
  <c r="AL396" i="1" s="1"/>
  <c r="H245" i="1"/>
  <c r="H530" i="1"/>
  <c r="AB219" i="1"/>
  <c r="H102" i="1"/>
  <c r="H211" i="1"/>
  <c r="H423" i="1"/>
  <c r="I398" i="1"/>
  <c r="I400" i="1" s="1"/>
  <c r="Y171" i="1"/>
  <c r="H415" i="1"/>
  <c r="H420" i="1"/>
  <c r="H238" i="1"/>
  <c r="AB358" i="1"/>
  <c r="H418" i="1"/>
  <c r="H414" i="1"/>
  <c r="H422" i="1"/>
  <c r="H417" i="1"/>
  <c r="AB379" i="1"/>
  <c r="AF417" i="1"/>
  <c r="AF421" i="1"/>
  <c r="AA103" i="1"/>
  <c r="L379" i="1"/>
  <c r="M516" i="1"/>
  <c r="S220" i="1"/>
  <c r="Y432" i="1"/>
  <c r="M517" i="1"/>
  <c r="Y450" i="1"/>
  <c r="L127" i="1"/>
  <c r="AC419" i="1"/>
  <c r="S529" i="1"/>
  <c r="S517" i="1"/>
  <c r="S516" i="1"/>
  <c r="M423" i="1"/>
  <c r="AA420" i="1"/>
  <c r="AJ518" i="1"/>
  <c r="L64" i="1"/>
  <c r="AB218" i="1"/>
  <c r="M518" i="1"/>
  <c r="AJ517" i="1"/>
  <c r="AJ529" i="1"/>
  <c r="L454" i="1"/>
  <c r="L584" i="1" s="1"/>
  <c r="L446" i="1" s="1"/>
  <c r="L456" i="1" s="1"/>
  <c r="L612" i="1" s="1"/>
  <c r="M419" i="1"/>
  <c r="L260" i="1"/>
  <c r="AD405" i="1"/>
  <c r="AD409" i="1" s="1"/>
  <c r="I26" i="1"/>
  <c r="I60" i="1" s="1"/>
  <c r="AK365" i="1"/>
  <c r="AL365" i="1" s="1"/>
  <c r="L136" i="1"/>
  <c r="AF102" i="1"/>
  <c r="H454" i="1"/>
  <c r="H584" i="1" s="1"/>
  <c r="AF245" i="1"/>
  <c r="L276" i="1"/>
  <c r="AF415" i="1"/>
  <c r="AH259" i="1"/>
  <c r="AH260" i="1"/>
  <c r="J520" i="1"/>
  <c r="J530" i="1"/>
  <c r="AF419" i="1"/>
  <c r="AH276" i="1"/>
  <c r="S137" i="1"/>
  <c r="AD420" i="1"/>
  <c r="AH458" i="1"/>
  <c r="AD417" i="1"/>
  <c r="AF238" i="1"/>
  <c r="J578" i="1"/>
  <c r="J340" i="1" s="1"/>
  <c r="J347" i="1" s="1"/>
  <c r="J418" i="1"/>
  <c r="AF418" i="1"/>
  <c r="AH64" i="1"/>
  <c r="AD103" i="1"/>
  <c r="Q261" i="1"/>
  <c r="AF520" i="1"/>
  <c r="J421" i="1"/>
  <c r="AF420" i="1"/>
  <c r="AH261" i="1"/>
  <c r="H136" i="1"/>
  <c r="AF103" i="1"/>
  <c r="AH531" i="1"/>
  <c r="AF47" i="1"/>
  <c r="AF74" i="1" s="1"/>
  <c r="J416" i="1"/>
  <c r="AH137" i="1"/>
  <c r="J103" i="1"/>
  <c r="AF244" i="1"/>
  <c r="AH136" i="1"/>
  <c r="H260" i="1"/>
  <c r="J415" i="1"/>
  <c r="AF530" i="1"/>
  <c r="S400" i="1"/>
  <c r="S379" i="1"/>
  <c r="AH105" i="1"/>
  <c r="AF422" i="1"/>
  <c r="AF416" i="1"/>
  <c r="S136" i="1"/>
  <c r="AD419" i="1"/>
  <c r="P259" i="1"/>
  <c r="J102" i="1"/>
  <c r="AD421" i="1"/>
  <c r="H259" i="1"/>
  <c r="AF237" i="1"/>
  <c r="AF423" i="1"/>
  <c r="J422" i="1"/>
  <c r="J414" i="1"/>
  <c r="AK208" i="1"/>
  <c r="AL208" i="1" s="1"/>
  <c r="AC221" i="1"/>
  <c r="AB220" i="1"/>
  <c r="O213" i="1"/>
  <c r="AD520" i="1"/>
  <c r="H64" i="1"/>
  <c r="AD102" i="1"/>
  <c r="AD221" i="1"/>
  <c r="Y272" i="1"/>
  <c r="S184" i="1"/>
  <c r="S190" i="1" s="1"/>
  <c r="S192" i="1" s="1"/>
  <c r="AB221" i="1"/>
  <c r="AC171" i="1"/>
  <c r="AJ400" i="1"/>
  <c r="AH213" i="1"/>
  <c r="AK125" i="1"/>
  <c r="AL125" i="1" s="1"/>
  <c r="AC218" i="1"/>
  <c r="Q531" i="1"/>
  <c r="AJ213" i="1"/>
  <c r="J220" i="1"/>
  <c r="AA423" i="1"/>
  <c r="AK206" i="1"/>
  <c r="AL206" i="1" s="1"/>
  <c r="Y358" i="1"/>
  <c r="AC417" i="1"/>
  <c r="M379" i="1"/>
  <c r="AA245" i="1"/>
  <c r="AC358" i="1"/>
  <c r="S221" i="1"/>
  <c r="AD220" i="1"/>
  <c r="AC244" i="1"/>
  <c r="S73" i="1"/>
  <c r="O420" i="1"/>
  <c r="V530" i="1"/>
  <c r="AF379" i="1"/>
  <c r="X400" i="1"/>
  <c r="AK157" i="1"/>
  <c r="AL157" i="1" s="1"/>
  <c r="F192" i="1"/>
  <c r="M237" i="1"/>
  <c r="I211" i="1"/>
  <c r="S261" i="1"/>
  <c r="S64" i="1"/>
  <c r="V520" i="1"/>
  <c r="S531" i="1"/>
  <c r="V423" i="1"/>
  <c r="AC103" i="1"/>
  <c r="P458" i="1"/>
  <c r="P438" i="1"/>
  <c r="S127" i="1"/>
  <c r="P260" i="1"/>
  <c r="K518" i="1"/>
  <c r="V244" i="1"/>
  <c r="AD518" i="1"/>
  <c r="S522" i="1"/>
  <c r="W221" i="1"/>
  <c r="W163" i="1"/>
  <c r="W169" i="1" s="1"/>
  <c r="W171" i="1" s="1"/>
  <c r="S458" i="1"/>
  <c r="S259" i="1"/>
  <c r="V421" i="1"/>
  <c r="I136" i="1"/>
  <c r="U529" i="1"/>
  <c r="AH485" i="1"/>
  <c r="AK485" i="1" s="1"/>
  <c r="AL485" i="1" s="1"/>
  <c r="AC519" i="1"/>
  <c r="P522" i="1"/>
  <c r="U517" i="1"/>
  <c r="AA400" i="1"/>
  <c r="AK387" i="1"/>
  <c r="AL387" i="1" s="1"/>
  <c r="K516" i="1"/>
  <c r="U516" i="1"/>
  <c r="U379" i="1"/>
  <c r="K529" i="1"/>
  <c r="V414" i="1"/>
  <c r="U197" i="1"/>
  <c r="U203" i="1" s="1"/>
  <c r="U213" i="1" s="1"/>
  <c r="S276" i="1"/>
  <c r="AC416" i="1"/>
  <c r="P531" i="1"/>
  <c r="P127" i="1"/>
  <c r="U518" i="1"/>
  <c r="X450" i="1"/>
  <c r="V358" i="1"/>
  <c r="U192" i="1"/>
  <c r="P136" i="1"/>
  <c r="AD517" i="1"/>
  <c r="V420" i="1"/>
  <c r="V272" i="1"/>
  <c r="AD516" i="1"/>
  <c r="I105" i="1"/>
  <c r="AD415" i="1"/>
  <c r="V238" i="1"/>
  <c r="M416" i="1"/>
  <c r="V432" i="1"/>
  <c r="M238" i="1"/>
  <c r="W358" i="1"/>
  <c r="J221" i="1"/>
  <c r="AC420" i="1"/>
  <c r="J211" i="1"/>
  <c r="P437" i="1"/>
  <c r="V103" i="1"/>
  <c r="V237" i="1"/>
  <c r="AK207" i="1"/>
  <c r="AL207" i="1" s="1"/>
  <c r="AA421" i="1"/>
  <c r="AA415" i="1"/>
  <c r="AA244" i="1"/>
  <c r="AD238" i="1"/>
  <c r="Q136" i="1"/>
  <c r="AA422" i="1"/>
  <c r="Y238" i="1"/>
  <c r="P379" i="1"/>
  <c r="AF174" i="1"/>
  <c r="AF181" i="1" s="1"/>
  <c r="AF192" i="1" s="1"/>
  <c r="S416" i="1"/>
  <c r="J581" i="1"/>
  <c r="J361" i="1" s="1"/>
  <c r="J368" i="1" s="1"/>
  <c r="X432" i="1"/>
  <c r="O400" i="1"/>
  <c r="Y414" i="1"/>
  <c r="AB152" i="1"/>
  <c r="AB160" i="1" s="1"/>
  <c r="AA530" i="1"/>
  <c r="AA416" i="1"/>
  <c r="AA192" i="1"/>
  <c r="AD423" i="1"/>
  <c r="AA417" i="1"/>
  <c r="AA418" i="1"/>
  <c r="Z518" i="1"/>
  <c r="AH518" i="1"/>
  <c r="X213" i="1"/>
  <c r="I437" i="1"/>
  <c r="AA379" i="1"/>
  <c r="S47" i="1"/>
  <c r="S62" i="1" s="1"/>
  <c r="Z516" i="1"/>
  <c r="AA102" i="1"/>
  <c r="AC213" i="1"/>
  <c r="AH192" i="1"/>
  <c r="AA520" i="1"/>
  <c r="AD244" i="1"/>
  <c r="Y417" i="1"/>
  <c r="AA237" i="1"/>
  <c r="J438" i="1"/>
  <c r="AA238" i="1"/>
  <c r="Y237" i="1"/>
  <c r="AK37" i="1"/>
  <c r="AL37" i="1" s="1"/>
  <c r="U358" i="1"/>
  <c r="I578" i="1"/>
  <c r="L225" i="1"/>
  <c r="W379" i="1"/>
  <c r="I197" i="1"/>
  <c r="I203" i="1" s="1"/>
  <c r="AH47" i="1"/>
  <c r="AH10" i="1" s="1"/>
  <c r="M421" i="1"/>
  <c r="M244" i="1"/>
  <c r="S219" i="1"/>
  <c r="P171" i="1"/>
  <c r="L137" i="1"/>
  <c r="I405" i="1"/>
  <c r="I409" i="1" s="1"/>
  <c r="V516" i="1"/>
  <c r="O379" i="1"/>
  <c r="I259" i="1"/>
  <c r="P358" i="1"/>
  <c r="M415" i="1"/>
  <c r="M520" i="1"/>
  <c r="S218" i="1"/>
  <c r="L438" i="1"/>
  <c r="I522" i="1"/>
  <c r="I218" i="1"/>
  <c r="M174" i="1"/>
  <c r="M181" i="1" s="1"/>
  <c r="M192" i="1" s="1"/>
  <c r="AF400" i="1"/>
  <c r="V517" i="1"/>
  <c r="AH400" i="1"/>
  <c r="O260" i="1"/>
  <c r="M245" i="1"/>
  <c r="M103" i="1"/>
  <c r="I221" i="1"/>
  <c r="M418" i="1"/>
  <c r="AH379" i="1"/>
  <c r="U220" i="1"/>
  <c r="J259" i="1"/>
  <c r="AC400" i="1"/>
  <c r="V529" i="1"/>
  <c r="M422" i="1"/>
  <c r="M414" i="1"/>
  <c r="M519" i="1"/>
  <c r="M417" i="1"/>
  <c r="M102" i="1"/>
  <c r="O136" i="1"/>
  <c r="U405" i="1"/>
  <c r="U409" i="1" s="1"/>
  <c r="T237" i="1"/>
  <c r="J137" i="1"/>
  <c r="O174" i="1"/>
  <c r="O181" i="1" s="1"/>
  <c r="O192" i="1" s="1"/>
  <c r="I260" i="1"/>
  <c r="I127" i="1"/>
  <c r="U400" i="1"/>
  <c r="M530" i="1"/>
  <c r="M152" i="1"/>
  <c r="M160" i="1" s="1"/>
  <c r="T423" i="1"/>
  <c r="O137" i="1"/>
  <c r="T520" i="1"/>
  <c r="AK156" i="1"/>
  <c r="AL156" i="1" s="1"/>
  <c r="AK186" i="1"/>
  <c r="AL186" i="1" s="1"/>
  <c r="O522" i="1"/>
  <c r="AA218" i="1"/>
  <c r="S213" i="1"/>
  <c r="AK388" i="1"/>
  <c r="AL388" i="1" s="1"/>
  <c r="O47" i="1"/>
  <c r="AK175" i="1"/>
  <c r="AL175" i="1" s="1"/>
  <c r="O127" i="1"/>
  <c r="O276" i="1"/>
  <c r="O437" i="1"/>
  <c r="AH220" i="1"/>
  <c r="AA220" i="1"/>
  <c r="AH221" i="1"/>
  <c r="L522" i="1"/>
  <c r="L259" i="1"/>
  <c r="J136" i="1"/>
  <c r="J276" i="1"/>
  <c r="J64" i="1"/>
  <c r="J105" i="1"/>
  <c r="J454" i="1"/>
  <c r="J584" i="1" s="1"/>
  <c r="J446" i="1" s="1"/>
  <c r="J456" i="1" s="1"/>
  <c r="J268" i="1" s="1"/>
  <c r="J522" i="1"/>
  <c r="J127" i="1"/>
  <c r="L73" i="1"/>
  <c r="L458" i="1"/>
  <c r="H531" i="1"/>
  <c r="W600" i="1"/>
  <c r="Y102" i="1"/>
  <c r="Y421" i="1"/>
  <c r="O105" i="1"/>
  <c r="AC238" i="1"/>
  <c r="T421" i="1"/>
  <c r="AA405" i="1"/>
  <c r="AA409" i="1" s="1"/>
  <c r="AC379" i="1"/>
  <c r="AJ192" i="1"/>
  <c r="O454" i="1"/>
  <c r="O584" i="1" s="1"/>
  <c r="O446" i="1" s="1"/>
  <c r="O456" i="1" s="1"/>
  <c r="O612" i="1" s="1"/>
  <c r="J437" i="1"/>
  <c r="L261" i="1"/>
  <c r="W432" i="1"/>
  <c r="W272" i="1"/>
  <c r="W450" i="1"/>
  <c r="O458" i="1"/>
  <c r="O529" i="1"/>
  <c r="Y419" i="1"/>
  <c r="Y520" i="1"/>
  <c r="AC422" i="1"/>
  <c r="T102" i="1"/>
  <c r="AA219" i="1"/>
  <c r="J390" i="1"/>
  <c r="O259" i="1"/>
  <c r="J261" i="1"/>
  <c r="L437" i="1"/>
  <c r="T422" i="1"/>
  <c r="P137" i="1"/>
  <c r="P454" i="1"/>
  <c r="P584" i="1" s="1"/>
  <c r="P446" i="1" s="1"/>
  <c r="P456" i="1" s="1"/>
  <c r="P105" i="1"/>
  <c r="P64" i="1"/>
  <c r="P276" i="1"/>
  <c r="P261" i="1"/>
  <c r="S105" i="1"/>
  <c r="S454" i="1"/>
  <c r="S584" i="1" s="1"/>
  <c r="S446" i="1" s="1"/>
  <c r="S456" i="1" s="1"/>
  <c r="S260" i="1"/>
  <c r="S438" i="1"/>
  <c r="O405" i="1"/>
  <c r="O409" i="1" s="1"/>
  <c r="Y244" i="1"/>
  <c r="T415" i="1"/>
  <c r="AC414" i="1"/>
  <c r="I219" i="1"/>
  <c r="O64" i="1"/>
  <c r="J458" i="1"/>
  <c r="T530" i="1"/>
  <c r="W174" i="1"/>
  <c r="W181" i="1" s="1"/>
  <c r="W192" i="1" s="1"/>
  <c r="AK185" i="1"/>
  <c r="AL185" i="1" s="1"/>
  <c r="O218" i="1"/>
  <c r="Y530" i="1"/>
  <c r="AC520" i="1"/>
  <c r="U171" i="1"/>
  <c r="AK199" i="1"/>
  <c r="AL199" i="1" s="1"/>
  <c r="O73" i="1"/>
  <c r="J531" i="1"/>
  <c r="T417" i="1"/>
  <c r="T238" i="1"/>
  <c r="V450" i="1"/>
  <c r="I371" i="1"/>
  <c r="I377" i="1" s="1"/>
  <c r="O531" i="1"/>
  <c r="O261" i="1"/>
  <c r="AH219" i="1"/>
  <c r="AH405" i="1"/>
  <c r="AH409" i="1" s="1"/>
  <c r="I103" i="1"/>
  <c r="P516" i="1"/>
  <c r="P518" i="1"/>
  <c r="P517" i="1"/>
  <c r="P529" i="1"/>
  <c r="O516" i="1"/>
  <c r="O518" i="1"/>
  <c r="T192" i="1"/>
  <c r="S530" i="1"/>
  <c r="S414" i="1"/>
  <c r="S245" i="1"/>
  <c r="S415" i="1"/>
  <c r="S420" i="1"/>
  <c r="S417" i="1"/>
  <c r="S421" i="1"/>
  <c r="S418" i="1"/>
  <c r="S422" i="1"/>
  <c r="S103" i="1"/>
  <c r="S423" i="1"/>
  <c r="S237" i="1"/>
  <c r="S519" i="1"/>
  <c r="S238" i="1"/>
  <c r="S520" i="1"/>
  <c r="S102" i="1"/>
  <c r="S244" i="1"/>
  <c r="AH73" i="1"/>
  <c r="AH437" i="1"/>
  <c r="AH127" i="1"/>
  <c r="AC415" i="1"/>
  <c r="AC237" i="1"/>
  <c r="AC530" i="1"/>
  <c r="AC245" i="1"/>
  <c r="AC418" i="1"/>
  <c r="AC421" i="1"/>
  <c r="AC423" i="1"/>
  <c r="T519" i="1"/>
  <c r="T419" i="1"/>
  <c r="T244" i="1"/>
  <c r="T414" i="1"/>
  <c r="F574" i="2"/>
  <c r="F679" i="2" s="1"/>
  <c r="F735" i="2" s="1"/>
  <c r="W405" i="1"/>
  <c r="W409" i="1" s="1"/>
  <c r="W219" i="1"/>
  <c r="W218" i="1"/>
  <c r="AJ219" i="1"/>
  <c r="AJ405" i="1"/>
  <c r="AJ409" i="1" s="1"/>
  <c r="AJ218" i="1"/>
  <c r="AJ220" i="1"/>
  <c r="AH529" i="1"/>
  <c r="AH516" i="1"/>
  <c r="I261" i="1"/>
  <c r="I438" i="1"/>
  <c r="I454" i="1"/>
  <c r="I584" i="1" s="1"/>
  <c r="I446" i="1" s="1"/>
  <c r="I456" i="1" s="1"/>
  <c r="I73" i="1"/>
  <c r="U218" i="1"/>
  <c r="U219" i="1"/>
  <c r="V152" i="1"/>
  <c r="V160" i="1" s="1"/>
  <c r="V171" i="1" s="1"/>
  <c r="O414" i="1"/>
  <c r="O418" i="1"/>
  <c r="O422" i="1"/>
  <c r="AA600" i="1"/>
  <c r="H219" i="1"/>
  <c r="U600" i="1"/>
  <c r="L152" i="1"/>
  <c r="L160" i="1" s="1"/>
  <c r="Y219" i="1"/>
  <c r="M600" i="1"/>
  <c r="O416" i="1"/>
  <c r="AF600" i="1"/>
  <c r="AJ221" i="1"/>
  <c r="AC600" i="1"/>
  <c r="J219" i="1"/>
  <c r="I276" i="1"/>
  <c r="I137" i="1"/>
  <c r="Y519" i="1"/>
  <c r="I244" i="1"/>
  <c r="I414" i="1"/>
  <c r="I238" i="1"/>
  <c r="I520" i="1"/>
  <c r="I419" i="1"/>
  <c r="I416" i="1"/>
  <c r="I421" i="1"/>
  <c r="I417" i="1"/>
  <c r="I420" i="1"/>
  <c r="I245" i="1"/>
  <c r="I423" i="1"/>
  <c r="I237" i="1"/>
  <c r="I530" i="1"/>
  <c r="I422" i="1"/>
  <c r="I600" i="1"/>
  <c r="I519" i="1"/>
  <c r="I102" i="1"/>
  <c r="I418" i="1"/>
  <c r="J600" i="1"/>
  <c r="O600" i="1"/>
  <c r="H105" i="1"/>
  <c r="H276" i="1"/>
  <c r="H438" i="1"/>
  <c r="H127" i="1"/>
  <c r="H73" i="1"/>
  <c r="H522" i="1"/>
  <c r="H137" i="1"/>
  <c r="H437" i="1"/>
  <c r="O102" i="1"/>
  <c r="Q220" i="1"/>
  <c r="Q405" i="1"/>
  <c r="Q409" i="1" s="1"/>
  <c r="Q218" i="1"/>
  <c r="Q219" i="1"/>
  <c r="O520" i="1"/>
  <c r="L600" i="1"/>
  <c r="O421" i="1"/>
  <c r="AK589" i="1"/>
  <c r="AL589" i="1" s="1"/>
  <c r="AF225" i="1"/>
  <c r="O417" i="1"/>
  <c r="AF197" i="1"/>
  <c r="AF203" i="1" s="1"/>
  <c r="AF213" i="1" s="1"/>
  <c r="V600" i="1"/>
  <c r="I531" i="1"/>
  <c r="I458" i="1"/>
  <c r="AD237" i="1"/>
  <c r="AD416" i="1"/>
  <c r="AD519" i="1"/>
  <c r="AD422" i="1"/>
  <c r="AD530" i="1"/>
  <c r="AD418" i="1"/>
  <c r="Q152" i="1"/>
  <c r="Q160" i="1" s="1"/>
  <c r="AC405" i="1"/>
  <c r="AC409" i="1" s="1"/>
  <c r="AC220" i="1"/>
  <c r="AK200" i="1"/>
  <c r="AL200" i="1" s="1"/>
  <c r="AD600" i="1"/>
  <c r="O519" i="1"/>
  <c r="AJ379" i="1"/>
  <c r="AJ163" i="1"/>
  <c r="AJ169" i="1" s="1"/>
  <c r="AJ171" i="1" s="1"/>
  <c r="AJ358" i="1"/>
  <c r="AF152" i="1"/>
  <c r="AF160" i="1" s="1"/>
  <c r="AF171" i="1" s="1"/>
  <c r="F213" i="1"/>
  <c r="AC192" i="1"/>
  <c r="T600" i="1"/>
  <c r="J371" i="1"/>
  <c r="J377" i="1" s="1"/>
  <c r="Y221" i="1"/>
  <c r="Y218" i="1"/>
  <c r="Y220" i="1"/>
  <c r="T405" i="1"/>
  <c r="T409" i="1" s="1"/>
  <c r="T221" i="1"/>
  <c r="T219" i="1"/>
  <c r="T218" i="1"/>
  <c r="T220" i="1"/>
  <c r="K600" i="1"/>
  <c r="S600" i="1"/>
  <c r="Z600" i="1"/>
  <c r="X600" i="1"/>
  <c r="O415" i="1"/>
  <c r="O423" i="1"/>
  <c r="AH600" i="1"/>
  <c r="O530" i="1"/>
  <c r="O244" i="1"/>
  <c r="O419" i="1"/>
  <c r="Z358" i="1"/>
  <c r="Z152" i="1"/>
  <c r="Z160" i="1" s="1"/>
  <c r="Z171" i="1" s="1"/>
  <c r="Y418" i="1"/>
  <c r="Y245" i="1"/>
  <c r="Y416" i="1"/>
  <c r="Y600" i="1"/>
  <c r="Y103" i="1"/>
  <c r="Y420" i="1"/>
  <c r="Y423" i="1"/>
  <c r="Y415" i="1"/>
  <c r="H600" i="1"/>
  <c r="AJ600" i="1"/>
  <c r="O221" i="1"/>
  <c r="O219" i="1"/>
  <c r="H220" i="1"/>
  <c r="H218" i="1"/>
  <c r="H221" i="1"/>
  <c r="J218" i="1"/>
  <c r="M197" i="1"/>
  <c r="M203" i="1" s="1"/>
  <c r="M213" i="1" s="1"/>
  <c r="M400" i="1"/>
  <c r="Q174" i="1"/>
  <c r="Q181" i="1" s="1"/>
  <c r="Q192" i="1" s="1"/>
  <c r="AA163" i="1"/>
  <c r="AA169" i="1" s="1"/>
  <c r="AA171" i="1" s="1"/>
  <c r="K531" i="1"/>
  <c r="K261" i="1"/>
  <c r="K260" i="1"/>
  <c r="K522" i="1"/>
  <c r="K105" i="1"/>
  <c r="K438" i="1"/>
  <c r="K259" i="1"/>
  <c r="K437" i="1"/>
  <c r="K73" i="1"/>
  <c r="K137" i="1"/>
  <c r="K136" i="1"/>
  <c r="K64" i="1"/>
  <c r="K276" i="1"/>
  <c r="K47" i="1"/>
  <c r="K62" i="1" s="1"/>
  <c r="K458" i="1"/>
  <c r="K454" i="1"/>
  <c r="K584" i="1" s="1"/>
  <c r="K446" i="1" s="1"/>
  <c r="K456" i="1" s="1"/>
  <c r="K127" i="1"/>
  <c r="AF358" i="1"/>
  <c r="L197" i="1"/>
  <c r="L203" i="1" s="1"/>
  <c r="L213" i="1" s="1"/>
  <c r="L400" i="1"/>
  <c r="AK209" i="1"/>
  <c r="AL209" i="1" s="1"/>
  <c r="T400" i="1"/>
  <c r="T197" i="1"/>
  <c r="T203" i="1" s="1"/>
  <c r="T213" i="1" s="1"/>
  <c r="AB420" i="1"/>
  <c r="AB416" i="1"/>
  <c r="AB600" i="1"/>
  <c r="AB422" i="1"/>
  <c r="AB102" i="1"/>
  <c r="AB415" i="1"/>
  <c r="AB103" i="1"/>
  <c r="AB238" i="1"/>
  <c r="AB245" i="1"/>
  <c r="AB519" i="1"/>
  <c r="AB423" i="1"/>
  <c r="AB417" i="1"/>
  <c r="AB421" i="1"/>
  <c r="AB418" i="1"/>
  <c r="AD174" i="1"/>
  <c r="AD181" i="1" s="1"/>
  <c r="AD192" i="1" s="1"/>
  <c r="AD379" i="1"/>
  <c r="AB237" i="1"/>
  <c r="AD163" i="1"/>
  <c r="AD169" i="1" s="1"/>
  <c r="AD171" i="1" s="1"/>
  <c r="AK99" i="1"/>
  <c r="AL99" i="1" s="1"/>
  <c r="AB419" i="1"/>
  <c r="AB414" i="1"/>
  <c r="T379" i="1"/>
  <c r="V174" i="1"/>
  <c r="V181" i="1" s="1"/>
  <c r="V192" i="1" s="1"/>
  <c r="AA213" i="1"/>
  <c r="AB530" i="1"/>
  <c r="AA358" i="1"/>
  <c r="X184" i="1"/>
  <c r="X190" i="1" s="1"/>
  <c r="X192" i="1" s="1"/>
  <c r="X379" i="1"/>
  <c r="O152" i="1"/>
  <c r="O160" i="1" s="1"/>
  <c r="O171" i="1" s="1"/>
  <c r="O358" i="1"/>
  <c r="AF137" i="1"/>
  <c r="AF458" i="1"/>
  <c r="AF437" i="1"/>
  <c r="AF438" i="1"/>
  <c r="AF522" i="1"/>
  <c r="AF127" i="1"/>
  <c r="AF136" i="1"/>
  <c r="AF261" i="1"/>
  <c r="AF454" i="1"/>
  <c r="AF584" i="1" s="1"/>
  <c r="AF446" i="1" s="1"/>
  <c r="AF456" i="1" s="1"/>
  <c r="AF259" i="1"/>
  <c r="AF276" i="1"/>
  <c r="AF531" i="1"/>
  <c r="AF260" i="1"/>
  <c r="AF105" i="1"/>
  <c r="AF64" i="1"/>
  <c r="AF73" i="1"/>
  <c r="Z400" i="1"/>
  <c r="Z197" i="1"/>
  <c r="Z203" i="1" s="1"/>
  <c r="Z213" i="1" s="1"/>
  <c r="Q518" i="1"/>
  <c r="Q529" i="1"/>
  <c r="Q516" i="1"/>
  <c r="Q517" i="1"/>
  <c r="AB163" i="1"/>
  <c r="AB169" i="1" s="1"/>
  <c r="Q400" i="1"/>
  <c r="Q197" i="1"/>
  <c r="Q203" i="1" s="1"/>
  <c r="Q213" i="1" s="1"/>
  <c r="X152" i="1"/>
  <c r="X160" i="1" s="1"/>
  <c r="X171" i="1" s="1"/>
  <c r="Q73" i="1"/>
  <c r="Q522" i="1"/>
  <c r="Q127" i="1"/>
  <c r="Q64" i="1"/>
  <c r="Q105" i="1"/>
  <c r="Q438" i="1"/>
  <c r="Q259" i="1"/>
  <c r="Q454" i="1"/>
  <c r="Q584" i="1" s="1"/>
  <c r="Q446" i="1" s="1"/>
  <c r="Q456" i="1" s="1"/>
  <c r="Q276" i="1"/>
  <c r="Q137" i="1"/>
  <c r="Q458" i="1"/>
  <c r="Q437" i="1"/>
  <c r="AB244" i="1"/>
  <c r="AB520" i="1"/>
  <c r="W400" i="1"/>
  <c r="W197" i="1"/>
  <c r="W203" i="1" s="1"/>
  <c r="W213" i="1" s="1"/>
  <c r="Y400" i="1"/>
  <c r="Y197" i="1"/>
  <c r="Y203" i="1" s="1"/>
  <c r="Y213" i="1" s="1"/>
  <c r="AH152" i="1"/>
  <c r="AH160" i="1" s="1"/>
  <c r="AH171" i="1" s="1"/>
  <c r="AH358" i="1"/>
  <c r="M405" i="1"/>
  <c r="M409" i="1" s="1"/>
  <c r="M218" i="1"/>
  <c r="M219" i="1"/>
  <c r="M221" i="1"/>
  <c r="M220" i="1"/>
  <c r="S163" i="1"/>
  <c r="S169" i="1" s="1"/>
  <c r="S171" i="1" s="1"/>
  <c r="AK100" i="1"/>
  <c r="AL100" i="1" s="1"/>
  <c r="S358" i="1"/>
  <c r="M136" i="1"/>
  <c r="M73" i="1"/>
  <c r="M458" i="1"/>
  <c r="M259" i="1"/>
  <c r="M454" i="1"/>
  <c r="M584" i="1" s="1"/>
  <c r="M446" i="1" s="1"/>
  <c r="M456" i="1" s="1"/>
  <c r="M261" i="1"/>
  <c r="M437" i="1"/>
  <c r="M64" i="1"/>
  <c r="M438" i="1"/>
  <c r="M105" i="1"/>
  <c r="M531" i="1"/>
  <c r="M137" i="1"/>
  <c r="M260" i="1"/>
  <c r="M276" i="1"/>
  <c r="M127" i="1"/>
  <c r="M522" i="1"/>
  <c r="P220" i="1"/>
  <c r="P221" i="1"/>
  <c r="P218" i="1"/>
  <c r="P219" i="1"/>
  <c r="P405" i="1"/>
  <c r="P409" i="1" s="1"/>
  <c r="H409" i="1"/>
  <c r="Y361" i="1"/>
  <c r="AK179" i="1"/>
  <c r="AL179" i="1" s="1"/>
  <c r="L517" i="1"/>
  <c r="L516" i="1"/>
  <c r="L518" i="1"/>
  <c r="L529" i="1"/>
  <c r="L47" i="1"/>
  <c r="L62" i="1" s="1"/>
  <c r="Z371" i="1"/>
  <c r="D34" i="7"/>
  <c r="E34" i="7" s="1"/>
  <c r="G38" i="6"/>
  <c r="AB400" i="1"/>
  <c r="AB197" i="1"/>
  <c r="AB203" i="1" s="1"/>
  <c r="AB213" i="1" s="1"/>
  <c r="AK29" i="1"/>
  <c r="AL29" i="1" s="1"/>
  <c r="P32" i="1"/>
  <c r="K219" i="1"/>
  <c r="K220" i="1"/>
  <c r="K218" i="1"/>
  <c r="K221" i="1"/>
  <c r="K405" i="1"/>
  <c r="K409" i="1" s="1"/>
  <c r="AK591" i="1"/>
  <c r="AL591" i="1" s="1"/>
  <c r="AJ454" i="1"/>
  <c r="AJ584" i="1" s="1"/>
  <c r="AJ446" i="1" s="1"/>
  <c r="AJ456" i="1" s="1"/>
  <c r="AJ73" i="1"/>
  <c r="AJ438" i="1"/>
  <c r="AJ522" i="1"/>
  <c r="AJ260" i="1"/>
  <c r="AJ261" i="1"/>
  <c r="AJ105" i="1"/>
  <c r="AJ259" i="1"/>
  <c r="AJ127" i="1"/>
  <c r="AJ136" i="1"/>
  <c r="AJ137" i="1"/>
  <c r="AJ458" i="1"/>
  <c r="AJ276" i="1"/>
  <c r="AJ437" i="1"/>
  <c r="AJ64" i="1"/>
  <c r="AJ47" i="1"/>
  <c r="AJ62" i="1" s="1"/>
  <c r="AJ531" i="1"/>
  <c r="P197" i="1"/>
  <c r="P203" i="1" s="1"/>
  <c r="P213" i="1" s="1"/>
  <c r="P400" i="1"/>
  <c r="G16" i="6"/>
  <c r="E47" i="6"/>
  <c r="U137" i="1"/>
  <c r="U73" i="1"/>
  <c r="U64" i="1"/>
  <c r="U438" i="1"/>
  <c r="U127" i="1"/>
  <c r="U531" i="1"/>
  <c r="U261" i="1"/>
  <c r="U260" i="1"/>
  <c r="U437" i="1"/>
  <c r="U276" i="1"/>
  <c r="U454" i="1"/>
  <c r="U136" i="1"/>
  <c r="U259" i="1"/>
  <c r="U458" i="1"/>
  <c r="U522" i="1"/>
  <c r="U105" i="1"/>
  <c r="U47" i="1"/>
  <c r="U62" i="1" s="1"/>
  <c r="L143" i="1"/>
  <c r="X405" i="1"/>
  <c r="X409" i="1" s="1"/>
  <c r="X221" i="1"/>
  <c r="X218" i="1"/>
  <c r="X219" i="1"/>
  <c r="X220" i="1"/>
  <c r="V220" i="1"/>
  <c r="V218" i="1"/>
  <c r="V221" i="1"/>
  <c r="V405" i="1"/>
  <c r="V409" i="1" s="1"/>
  <c r="V219" i="1"/>
  <c r="J529" i="1"/>
  <c r="J517" i="1"/>
  <c r="J47" i="1"/>
  <c r="J62" i="1" s="1"/>
  <c r="J518" i="1"/>
  <c r="J516" i="1"/>
  <c r="AK451" i="1"/>
  <c r="AL451" i="1" s="1"/>
  <c r="AK134" i="1"/>
  <c r="AL134" i="1" s="1"/>
  <c r="Q350" i="1"/>
  <c r="Q356" i="1" s="1"/>
  <c r="V197" i="1"/>
  <c r="V203" i="1" s="1"/>
  <c r="V213" i="1" s="1"/>
  <c r="V400" i="1"/>
  <c r="M47" i="1"/>
  <c r="M62" i="1" s="1"/>
  <c r="Z218" i="1"/>
  <c r="Z220" i="1"/>
  <c r="Z221" i="1"/>
  <c r="Z219" i="1"/>
  <c r="Z405" i="1"/>
  <c r="Z409" i="1" s="1"/>
  <c r="AD197" i="1"/>
  <c r="AD203" i="1" s="1"/>
  <c r="AD213" i="1" s="1"/>
  <c r="AD400" i="1"/>
  <c r="G20" i="6"/>
  <c r="J904" i="2" s="1"/>
  <c r="AK72" i="1"/>
  <c r="AL72" i="1" s="1"/>
  <c r="T163" i="1"/>
  <c r="T169" i="1" s="1"/>
  <c r="T171" i="1" s="1"/>
  <c r="T358" i="1"/>
  <c r="L181" i="1"/>
  <c r="L192" i="1" s="1"/>
  <c r="H527" i="2" l="1"/>
  <c r="H529" i="2" s="1"/>
  <c r="H554" i="2"/>
  <c r="H566" i="2"/>
  <c r="H535" i="2"/>
  <c r="H572" i="2"/>
  <c r="H549" i="2"/>
  <c r="J1" i="2"/>
  <c r="I661" i="2"/>
  <c r="D43" i="7"/>
  <c r="S939" i="2"/>
  <c r="S932" i="2"/>
  <c r="S925" i="2"/>
  <c r="S918" i="2"/>
  <c r="S911" i="2"/>
  <c r="S904" i="2"/>
  <c r="J911" i="2"/>
  <c r="J918" i="2"/>
  <c r="J925" i="2"/>
  <c r="J939" i="2"/>
  <c r="I939" i="2"/>
  <c r="I925" i="2"/>
  <c r="I918" i="2"/>
  <c r="I932" i="2"/>
  <c r="I911" i="2"/>
  <c r="I904" i="2"/>
  <c r="J932" i="2"/>
  <c r="P104" i="1"/>
  <c r="P521" i="1"/>
  <c r="AK521" i="1" s="1"/>
  <c r="AL521" i="1" s="1"/>
  <c r="AF62" i="1"/>
  <c r="Q103" i="1"/>
  <c r="Q104" i="1"/>
  <c r="AH62" i="1"/>
  <c r="Q245" i="1"/>
  <c r="Q421" i="1"/>
  <c r="Q422" i="1"/>
  <c r="Q530" i="1"/>
  <c r="Q533" i="1" s="1"/>
  <c r="F362" i="2" s="1"/>
  <c r="H362" i="2" s="1"/>
  <c r="Q416" i="1"/>
  <c r="Q423" i="1"/>
  <c r="Q244" i="1"/>
  <c r="Q415" i="1"/>
  <c r="Q47" i="1"/>
  <c r="Q62" i="1" s="1"/>
  <c r="Q600" i="1"/>
  <c r="Q519" i="1"/>
  <c r="Q418" i="1"/>
  <c r="Q414" i="1"/>
  <c r="Q417" i="1"/>
  <c r="Q102" i="1"/>
  <c r="Q520" i="1"/>
  <c r="Q238" i="1"/>
  <c r="Q420" i="1"/>
  <c r="Q237" i="1"/>
  <c r="Q419" i="1"/>
  <c r="Z425" i="1"/>
  <c r="Z241" i="1" s="1"/>
  <c r="Q583" i="1"/>
  <c r="Q428" i="1" s="1"/>
  <c r="Q440" i="1" s="1"/>
  <c r="Q611" i="1" s="1"/>
  <c r="AJ425" i="1"/>
  <c r="AJ243" i="1" s="1"/>
  <c r="L425" i="1"/>
  <c r="L234" i="1" s="1"/>
  <c r="K425" i="1"/>
  <c r="K236" i="1" s="1"/>
  <c r="X425" i="1"/>
  <c r="X241" i="1" s="1"/>
  <c r="AH425" i="1"/>
  <c r="AH234" i="1" s="1"/>
  <c r="AH278" i="1"/>
  <c r="AC225" i="1"/>
  <c r="W425" i="1"/>
  <c r="W235" i="1" s="1"/>
  <c r="W402" i="1"/>
  <c r="L533" i="1"/>
  <c r="F355" i="2" s="1"/>
  <c r="H355" i="2" s="1"/>
  <c r="AH138" i="1"/>
  <c r="AH140" i="1" s="1"/>
  <c r="U425" i="1"/>
  <c r="U234" i="1" s="1"/>
  <c r="AJ533" i="1"/>
  <c r="F400" i="2" s="1"/>
  <c r="H400" i="2" s="1"/>
  <c r="AF128" i="1"/>
  <c r="AF130" i="1" s="1"/>
  <c r="J400" i="1"/>
  <c r="O583" i="1"/>
  <c r="O428" i="1" s="1"/>
  <c r="O440" i="1" s="1"/>
  <c r="O250" i="1" s="1"/>
  <c r="O263" i="1" s="1"/>
  <c r="V402" i="1"/>
  <c r="AH583" i="1"/>
  <c r="AH428" i="1" s="1"/>
  <c r="AH440" i="1" s="1"/>
  <c r="AH611" i="1" s="1"/>
  <c r="AH612" i="1"/>
  <c r="AF9" i="1"/>
  <c r="AF8" i="1"/>
  <c r="S583" i="1"/>
  <c r="S428" i="1" s="1"/>
  <c r="S440" i="1" s="1"/>
  <c r="S250" i="1" s="1"/>
  <c r="S263" i="1" s="1"/>
  <c r="AF138" i="1"/>
  <c r="AF140" i="1" s="1"/>
  <c r="P215" i="1"/>
  <c r="I213" i="1"/>
  <c r="AB402" i="1"/>
  <c r="AF10" i="1"/>
  <c r="AF106" i="1"/>
  <c r="AF57" i="1"/>
  <c r="I47" i="1"/>
  <c r="AF59" i="1"/>
  <c r="AF107" i="1"/>
  <c r="AD225" i="1"/>
  <c r="H425" i="1"/>
  <c r="H239" i="1" s="1"/>
  <c r="AF533" i="1"/>
  <c r="F394" i="2" s="1"/>
  <c r="H394" i="2" s="1"/>
  <c r="AC402" i="1"/>
  <c r="S8" i="1"/>
  <c r="S402" i="1"/>
  <c r="AK272" i="1"/>
  <c r="AL272" i="1" s="1"/>
  <c r="AB225" i="1"/>
  <c r="I516" i="1"/>
  <c r="I529" i="1"/>
  <c r="I533" i="1" s="1"/>
  <c r="F352" i="2" s="1"/>
  <c r="H352" i="2" s="1"/>
  <c r="P583" i="1"/>
  <c r="P428" i="1" s="1"/>
  <c r="P440" i="1" s="1"/>
  <c r="P250" i="1" s="1"/>
  <c r="P263" i="1" s="1"/>
  <c r="AH128" i="1"/>
  <c r="AH130" i="1" s="1"/>
  <c r="AF425" i="1"/>
  <c r="AF232" i="1" s="1"/>
  <c r="AH107" i="1"/>
  <c r="AH59" i="1"/>
  <c r="AH57" i="1"/>
  <c r="AH328" i="1" s="1"/>
  <c r="O402" i="1"/>
  <c r="L583" i="1"/>
  <c r="L428" i="1" s="1"/>
  <c r="L440" i="1" s="1"/>
  <c r="L250" i="1" s="1"/>
  <c r="L263" i="1" s="1"/>
  <c r="J583" i="1"/>
  <c r="J428" i="1" s="1"/>
  <c r="J440" i="1" s="1"/>
  <c r="J250" i="1" s="1"/>
  <c r="J263" i="1" s="1"/>
  <c r="I517" i="1"/>
  <c r="AH74" i="1"/>
  <c r="AH77" i="1" s="1"/>
  <c r="AH94" i="1" s="1"/>
  <c r="U533" i="1"/>
  <c r="F372" i="2" s="1"/>
  <c r="H372" i="2" s="1"/>
  <c r="AH106" i="1"/>
  <c r="I518" i="1"/>
  <c r="AH9" i="1"/>
  <c r="J425" i="1"/>
  <c r="J243" i="1" s="1"/>
  <c r="K533" i="1"/>
  <c r="F354" i="2" s="1"/>
  <c r="H354" i="2" s="1"/>
  <c r="AK211" i="1"/>
  <c r="AL211" i="1" s="1"/>
  <c r="AB171" i="1"/>
  <c r="AB215" i="1" s="1"/>
  <c r="I181" i="1"/>
  <c r="AH533" i="1"/>
  <c r="F397" i="2" s="1"/>
  <c r="H397" i="2" s="1"/>
  <c r="S533" i="1"/>
  <c r="F366" i="2" s="1"/>
  <c r="H366" i="2" s="1"/>
  <c r="AA425" i="1"/>
  <c r="AA243" i="1" s="1"/>
  <c r="J174" i="1"/>
  <c r="J181" i="1" s="1"/>
  <c r="U402" i="1"/>
  <c r="AA402" i="1"/>
  <c r="W225" i="1"/>
  <c r="T425" i="1"/>
  <c r="T234" i="1" s="1"/>
  <c r="J278" i="1"/>
  <c r="P402" i="1"/>
  <c r="S74" i="1"/>
  <c r="S77" i="1" s="1"/>
  <c r="S94" i="1" s="1"/>
  <c r="AH8" i="1"/>
  <c r="S225" i="1"/>
  <c r="V425" i="1"/>
  <c r="V240" i="1" s="1"/>
  <c r="J379" i="1"/>
  <c r="S9" i="1"/>
  <c r="I583" i="1"/>
  <c r="I428" i="1" s="1"/>
  <c r="I440" i="1" s="1"/>
  <c r="I611" i="1" s="1"/>
  <c r="X402" i="1"/>
  <c r="AK450" i="1"/>
  <c r="AL450" i="1" s="1"/>
  <c r="AH225" i="1"/>
  <c r="AF402" i="1"/>
  <c r="L268" i="1"/>
  <c r="L278" i="1" s="1"/>
  <c r="AH402" i="1"/>
  <c r="Y425" i="1"/>
  <c r="Y239" i="1" s="1"/>
  <c r="O533" i="1"/>
  <c r="F360" i="2" s="1"/>
  <c r="H360" i="2" s="1"/>
  <c r="F215" i="1"/>
  <c r="I379" i="1"/>
  <c r="AC215" i="1"/>
  <c r="S107" i="1"/>
  <c r="M425" i="1"/>
  <c r="M460" i="1" s="1"/>
  <c r="S10" i="1"/>
  <c r="S57" i="1"/>
  <c r="S59" i="1"/>
  <c r="AH215" i="1"/>
  <c r="S106" i="1"/>
  <c r="U225" i="1"/>
  <c r="O225" i="1"/>
  <c r="S215" i="1"/>
  <c r="S138" i="1"/>
  <c r="S140" i="1" s="1"/>
  <c r="I340" i="1"/>
  <c r="H583" i="1"/>
  <c r="H428" i="1" s="1"/>
  <c r="S128" i="1"/>
  <c r="S130" i="1" s="1"/>
  <c r="AC425" i="1"/>
  <c r="AC243" i="1" s="1"/>
  <c r="J184" i="1"/>
  <c r="J190" i="1" s="1"/>
  <c r="AF583" i="1"/>
  <c r="AF428" i="1" s="1"/>
  <c r="AF440" i="1" s="1"/>
  <c r="AF611" i="1" s="1"/>
  <c r="J152" i="1"/>
  <c r="J160" i="1" s="1"/>
  <c r="I225" i="1"/>
  <c r="AF215" i="1"/>
  <c r="AF227" i="1" s="1"/>
  <c r="AA225" i="1"/>
  <c r="O215" i="1"/>
  <c r="J197" i="1"/>
  <c r="J203" i="1" s="1"/>
  <c r="J213" i="1" s="1"/>
  <c r="P268" i="1"/>
  <c r="P278" i="1" s="1"/>
  <c r="P612" i="1"/>
  <c r="O268" i="1"/>
  <c r="O278" i="1" s="1"/>
  <c r="AK432" i="1"/>
  <c r="AL432" i="1" s="1"/>
  <c r="AJ215" i="1"/>
  <c r="U215" i="1"/>
  <c r="J612" i="1"/>
  <c r="I184" i="1"/>
  <c r="I190" i="1" s="1"/>
  <c r="S425" i="1"/>
  <c r="I425" i="1"/>
  <c r="I235" i="1" s="1"/>
  <c r="J225" i="1"/>
  <c r="U583" i="1"/>
  <c r="U428" i="1" s="1"/>
  <c r="U440" i="1" s="1"/>
  <c r="U250" i="1" s="1"/>
  <c r="U263" i="1" s="1"/>
  <c r="M225" i="1"/>
  <c r="Q225" i="1"/>
  <c r="AJ583" i="1"/>
  <c r="AJ428" i="1" s="1"/>
  <c r="AJ440" i="1" s="1"/>
  <c r="AJ611" i="1" s="1"/>
  <c r="AJ402" i="1"/>
  <c r="AD425" i="1"/>
  <c r="AD240" i="1" s="1"/>
  <c r="I268" i="1"/>
  <c r="I278" i="1" s="1"/>
  <c r="I612" i="1"/>
  <c r="AD402" i="1"/>
  <c r="AK409" i="1"/>
  <c r="AL409" i="1" s="1"/>
  <c r="X215" i="1"/>
  <c r="T225" i="1"/>
  <c r="T215" i="1"/>
  <c r="W215" i="1"/>
  <c r="AJ225" i="1"/>
  <c r="AK219" i="1"/>
  <c r="AL219" i="1" s="1"/>
  <c r="AB425" i="1"/>
  <c r="AB236" i="1" s="1"/>
  <c r="K583" i="1"/>
  <c r="K428" i="1" s="1"/>
  <c r="K440" i="1" s="1"/>
  <c r="K611" i="1" s="1"/>
  <c r="Y225" i="1"/>
  <c r="O425" i="1"/>
  <c r="AF77" i="1"/>
  <c r="AF94" i="1" s="1"/>
  <c r="AA215" i="1"/>
  <c r="K612" i="1"/>
  <c r="K268" i="1"/>
  <c r="K278" i="1" s="1"/>
  <c r="V215" i="1"/>
  <c r="AF612" i="1"/>
  <c r="AF268" i="1"/>
  <c r="AF278" i="1" s="1"/>
  <c r="P225" i="1"/>
  <c r="K9" i="1"/>
  <c r="K138" i="1"/>
  <c r="K140" i="1" s="1"/>
  <c r="K74" i="1"/>
  <c r="K77" i="1" s="1"/>
  <c r="K94" i="1" s="1"/>
  <c r="K8" i="1"/>
  <c r="K59" i="1"/>
  <c r="K107" i="1"/>
  <c r="K57" i="1"/>
  <c r="K128" i="1"/>
  <c r="K130" i="1" s="1"/>
  <c r="K10" i="1"/>
  <c r="K106" i="1"/>
  <c r="Q612" i="1"/>
  <c r="Q268" i="1"/>
  <c r="Q278" i="1" s="1"/>
  <c r="T402" i="1"/>
  <c r="AD215" i="1"/>
  <c r="Z225" i="1"/>
  <c r="Q163" i="1"/>
  <c r="Q169" i="1" s="1"/>
  <c r="Q171" i="1" s="1"/>
  <c r="Q215" i="1" s="1"/>
  <c r="Q358" i="1"/>
  <c r="Q402" i="1" s="1"/>
  <c r="S612" i="1"/>
  <c r="S268" i="1"/>
  <c r="S278" i="1" s="1"/>
  <c r="M268" i="1"/>
  <c r="M278" i="1" s="1"/>
  <c r="M612" i="1"/>
  <c r="M8" i="1"/>
  <c r="M107" i="1"/>
  <c r="M128" i="1"/>
  <c r="M130" i="1" s="1"/>
  <c r="M74" i="1"/>
  <c r="M77" i="1" s="1"/>
  <c r="M94" i="1" s="1"/>
  <c r="M10" i="1"/>
  <c r="M9" i="1"/>
  <c r="M57" i="1"/>
  <c r="M59" i="1"/>
  <c r="M106" i="1"/>
  <c r="M138" i="1"/>
  <c r="M140" i="1" s="1"/>
  <c r="X225" i="1"/>
  <c r="Z377" i="1"/>
  <c r="AK405" i="1"/>
  <c r="AL405" i="1" s="1"/>
  <c r="AK221" i="1"/>
  <c r="AL221" i="1" s="1"/>
  <c r="P237" i="1"/>
  <c r="P519" i="1"/>
  <c r="P600" i="1"/>
  <c r="P421" i="1"/>
  <c r="P244" i="1"/>
  <c r="P416" i="1"/>
  <c r="P520" i="1"/>
  <c r="P530" i="1"/>
  <c r="P103" i="1"/>
  <c r="AK32" i="1"/>
  <c r="AL32" i="1" s="1"/>
  <c r="P418" i="1"/>
  <c r="P245" i="1"/>
  <c r="P102" i="1"/>
  <c r="P423" i="1"/>
  <c r="P422" i="1"/>
  <c r="P415" i="1"/>
  <c r="P420" i="1"/>
  <c r="P417" i="1"/>
  <c r="P238" i="1"/>
  <c r="P419" i="1"/>
  <c r="P47" i="1"/>
  <c r="P62" i="1" s="1"/>
  <c r="P414" i="1"/>
  <c r="M533" i="1"/>
  <c r="F356" i="2" s="1"/>
  <c r="H356" i="2" s="1"/>
  <c r="V225" i="1"/>
  <c r="G47" i="6"/>
  <c r="AJ59" i="1"/>
  <c r="AJ106" i="1"/>
  <c r="AJ10" i="1"/>
  <c r="AJ74" i="1"/>
  <c r="AJ77" i="1" s="1"/>
  <c r="AJ94" i="1" s="1"/>
  <c r="AJ9" i="1"/>
  <c r="AJ8" i="1"/>
  <c r="AJ138" i="1"/>
  <c r="AJ140" i="1" s="1"/>
  <c r="AJ128" i="1"/>
  <c r="AJ130" i="1" s="1"/>
  <c r="AJ57" i="1"/>
  <c r="AJ107" i="1"/>
  <c r="AJ268" i="1"/>
  <c r="AJ278" i="1" s="1"/>
  <c r="AJ612" i="1"/>
  <c r="K225" i="1"/>
  <c r="AK218" i="1"/>
  <c r="AL218" i="1" s="1"/>
  <c r="U584" i="1"/>
  <c r="U446" i="1" s="1"/>
  <c r="U456" i="1" s="1"/>
  <c r="AK220" i="1"/>
  <c r="AL220" i="1" s="1"/>
  <c r="L8" i="1"/>
  <c r="L106" i="1"/>
  <c r="L9" i="1"/>
  <c r="L107" i="1"/>
  <c r="L57" i="1"/>
  <c r="L138" i="1"/>
  <c r="L140" i="1" s="1"/>
  <c r="L59" i="1"/>
  <c r="L128" i="1"/>
  <c r="L130" i="1" s="1"/>
  <c r="L10" i="1"/>
  <c r="L74" i="1"/>
  <c r="L77" i="1" s="1"/>
  <c r="L94" i="1" s="1"/>
  <c r="J533" i="1"/>
  <c r="U106" i="1"/>
  <c r="U128" i="1"/>
  <c r="U130" i="1" s="1"/>
  <c r="U57" i="1"/>
  <c r="U59" i="1"/>
  <c r="U138" i="1"/>
  <c r="U140" i="1" s="1"/>
  <c r="U9" i="1"/>
  <c r="U8" i="1"/>
  <c r="U10" i="1"/>
  <c r="U107" i="1"/>
  <c r="U74" i="1"/>
  <c r="U77" i="1" s="1"/>
  <c r="U94" i="1" s="1"/>
  <c r="M583" i="1"/>
  <c r="M428" i="1" s="1"/>
  <c r="M440" i="1" s="1"/>
  <c r="J138" i="1"/>
  <c r="J140" i="1" s="1"/>
  <c r="J74" i="1"/>
  <c r="J77" i="1" s="1"/>
  <c r="J94" i="1" s="1"/>
  <c r="J10" i="1"/>
  <c r="J107" i="1"/>
  <c r="J59" i="1"/>
  <c r="J57" i="1"/>
  <c r="J8" i="1"/>
  <c r="J9" i="1"/>
  <c r="J128" i="1"/>
  <c r="J130" i="1" s="1"/>
  <c r="J106" i="1"/>
  <c r="H446" i="1"/>
  <c r="Y368" i="1"/>
  <c r="J661" i="2" l="1"/>
  <c r="J682" i="2"/>
  <c r="K1" i="2"/>
  <c r="H46" i="6"/>
  <c r="H12" i="6"/>
  <c r="AK104" i="1"/>
  <c r="AL104" i="1" s="1"/>
  <c r="X925" i="2"/>
  <c r="X911" i="2"/>
  <c r="X918" i="2"/>
  <c r="X939" i="2"/>
  <c r="H40" i="6"/>
  <c r="T821" i="2" s="1"/>
  <c r="F939" i="2"/>
  <c r="F932" i="2"/>
  <c r="F925" i="2"/>
  <c r="F918" i="2"/>
  <c r="F911" i="2"/>
  <c r="F904" i="2"/>
  <c r="X932" i="2"/>
  <c r="H16" i="6"/>
  <c r="H44" i="6"/>
  <c r="H42" i="6"/>
  <c r="U821" i="2" s="1"/>
  <c r="I10" i="1"/>
  <c r="I62" i="1"/>
  <c r="AK421" i="1"/>
  <c r="AL421" i="1" s="1"/>
  <c r="AK422" i="1"/>
  <c r="AL422" i="1" s="1"/>
  <c r="AK416" i="1"/>
  <c r="AL416" i="1" s="1"/>
  <c r="AK244" i="1"/>
  <c r="AL244" i="1" s="1"/>
  <c r="Q10" i="1"/>
  <c r="AK423" i="1"/>
  <c r="AL423" i="1" s="1"/>
  <c r="Q106" i="1"/>
  <c r="Q74" i="1"/>
  <c r="Q77" i="1" s="1"/>
  <c r="Q94" i="1" s="1"/>
  <c r="AK415" i="1"/>
  <c r="AL415" i="1" s="1"/>
  <c r="Q57" i="1"/>
  <c r="Q523" i="1" s="1"/>
  <c r="Q8" i="1"/>
  <c r="Q128" i="1"/>
  <c r="Q130" i="1" s="1"/>
  <c r="Q138" i="1"/>
  <c r="Q140" i="1" s="1"/>
  <c r="Q107" i="1"/>
  <c r="Q9" i="1"/>
  <c r="Q59" i="1"/>
  <c r="AK417" i="1"/>
  <c r="AL417" i="1" s="1"/>
  <c r="AK418" i="1"/>
  <c r="AL418" i="1" s="1"/>
  <c r="AK520" i="1"/>
  <c r="AL520" i="1" s="1"/>
  <c r="AK600" i="1"/>
  <c r="AL600" i="1" s="1"/>
  <c r="Q425" i="1"/>
  <c r="Q243" i="1" s="1"/>
  <c r="AK420" i="1"/>
  <c r="AL420" i="1" s="1"/>
  <c r="AK419" i="1"/>
  <c r="AL419" i="1" s="1"/>
  <c r="J109" i="1"/>
  <c r="M109" i="1"/>
  <c r="Z242" i="1"/>
  <c r="Z233" i="1"/>
  <c r="Z234" i="1"/>
  <c r="Z243" i="1"/>
  <c r="Z239" i="1"/>
  <c r="Z236" i="1"/>
  <c r="Z240" i="1"/>
  <c r="Z235" i="1"/>
  <c r="Z232" i="1"/>
  <c r="Z610" i="1"/>
  <c r="AJ610" i="1"/>
  <c r="AJ460" i="1"/>
  <c r="AJ462" i="1" s="1"/>
  <c r="AJ487" i="1" s="1"/>
  <c r="AJ327" i="1" s="1"/>
  <c r="AJ234" i="1"/>
  <c r="AJ239" i="1"/>
  <c r="AJ233" i="1"/>
  <c r="AJ242" i="1"/>
  <c r="AJ236" i="1"/>
  <c r="AJ235" i="1"/>
  <c r="AJ241" i="1"/>
  <c r="AJ232" i="1"/>
  <c r="AJ240" i="1"/>
  <c r="X233" i="1"/>
  <c r="X232" i="1"/>
  <c r="Q250" i="1"/>
  <c r="Q263" i="1" s="1"/>
  <c r="Q280" i="1" s="1"/>
  <c r="X240" i="1"/>
  <c r="X235" i="1"/>
  <c r="X236" i="1"/>
  <c r="X234" i="1"/>
  <c r="X610" i="1"/>
  <c r="X243" i="1"/>
  <c r="X242" i="1"/>
  <c r="X239" i="1"/>
  <c r="K240" i="1"/>
  <c r="K239" i="1"/>
  <c r="K233" i="1"/>
  <c r="K243" i="1"/>
  <c r="K610" i="1"/>
  <c r="K235" i="1"/>
  <c r="K242" i="1"/>
  <c r="K234" i="1"/>
  <c r="K460" i="1"/>
  <c r="K241" i="1"/>
  <c r="K232" i="1"/>
  <c r="L241" i="1"/>
  <c r="L233" i="1"/>
  <c r="L460" i="1"/>
  <c r="L610" i="1"/>
  <c r="L243" i="1"/>
  <c r="L240" i="1"/>
  <c r="L242" i="1"/>
  <c r="L236" i="1"/>
  <c r="L235" i="1"/>
  <c r="L239" i="1"/>
  <c r="L232" i="1"/>
  <c r="AH242" i="1"/>
  <c r="AH232" i="1"/>
  <c r="AH241" i="1"/>
  <c r="AH610" i="1"/>
  <c r="AH239" i="1"/>
  <c r="AH243" i="1"/>
  <c r="AH233" i="1"/>
  <c r="AH236" i="1"/>
  <c r="AH235" i="1"/>
  <c r="AH240" i="1"/>
  <c r="AH460" i="1"/>
  <c r="AH462" i="1" s="1"/>
  <c r="AH487" i="1" s="1"/>
  <c r="AF614" i="1"/>
  <c r="AF328" i="1"/>
  <c r="AF523" i="1"/>
  <c r="AC227" i="1"/>
  <c r="W242" i="1"/>
  <c r="W239" i="1"/>
  <c r="W240" i="1"/>
  <c r="W243" i="1"/>
  <c r="AA241" i="1"/>
  <c r="W232" i="1"/>
  <c r="W233" i="1"/>
  <c r="W236" i="1"/>
  <c r="W241" i="1"/>
  <c r="W234" i="1"/>
  <c r="W610" i="1"/>
  <c r="P611" i="1"/>
  <c r="U235" i="1"/>
  <c r="AH250" i="1"/>
  <c r="AH263" i="1" s="1"/>
  <c r="AH280" i="1" s="1"/>
  <c r="M232" i="1"/>
  <c r="S227" i="1"/>
  <c r="AA234" i="1"/>
  <c r="AF503" i="1"/>
  <c r="AH523" i="1"/>
  <c r="AF329" i="1"/>
  <c r="K181" i="1"/>
  <c r="AA233" i="1"/>
  <c r="AA232" i="1"/>
  <c r="AF504" i="1"/>
  <c r="S12" i="1"/>
  <c r="S66" i="1" s="1"/>
  <c r="S117" i="1" s="1"/>
  <c r="AA610" i="1"/>
  <c r="U233" i="1"/>
  <c r="U240" i="1"/>
  <c r="U241" i="1"/>
  <c r="U239" i="1"/>
  <c r="U243" i="1"/>
  <c r="U236" i="1"/>
  <c r="U242" i="1"/>
  <c r="U460" i="1"/>
  <c r="U462" i="1" s="1"/>
  <c r="U487" i="1" s="1"/>
  <c r="U319" i="1" s="1"/>
  <c r="U610" i="1"/>
  <c r="U232" i="1"/>
  <c r="S503" i="1"/>
  <c r="O611" i="1"/>
  <c r="L611" i="1"/>
  <c r="AA239" i="1"/>
  <c r="P227" i="1"/>
  <c r="AF109" i="1"/>
  <c r="AH503" i="1"/>
  <c r="I138" i="1"/>
  <c r="I74" i="1"/>
  <c r="I77" i="1" s="1"/>
  <c r="I94" i="1" s="1"/>
  <c r="I57" i="1"/>
  <c r="S614" i="1"/>
  <c r="I59" i="1"/>
  <c r="AH614" i="1"/>
  <c r="S504" i="1"/>
  <c r="AF12" i="1"/>
  <c r="AH329" i="1"/>
  <c r="AF242" i="1"/>
  <c r="H242" i="1"/>
  <c r="AF460" i="1"/>
  <c r="AF462" i="1" s="1"/>
  <c r="AF487" i="1" s="1"/>
  <c r="S611" i="1"/>
  <c r="AD227" i="1"/>
  <c r="O280" i="1"/>
  <c r="H234" i="1"/>
  <c r="H241" i="1"/>
  <c r="H610" i="1"/>
  <c r="H232" i="1"/>
  <c r="H460" i="1"/>
  <c r="H236" i="1"/>
  <c r="H243" i="1"/>
  <c r="H240" i="1"/>
  <c r="H233" i="1"/>
  <c r="S329" i="1"/>
  <c r="H235" i="1"/>
  <c r="AA227" i="1"/>
  <c r="I9" i="1"/>
  <c r="I107" i="1"/>
  <c r="I250" i="1"/>
  <c r="I263" i="1" s="1"/>
  <c r="I280" i="1" s="1"/>
  <c r="V243" i="1"/>
  <c r="I106" i="1"/>
  <c r="V236" i="1"/>
  <c r="V241" i="1"/>
  <c r="J233" i="1"/>
  <c r="I8" i="1"/>
  <c r="I128" i="1"/>
  <c r="I130" i="1" s="1"/>
  <c r="AH142" i="1"/>
  <c r="U227" i="1"/>
  <c r="O227" i="1"/>
  <c r="AB227" i="1"/>
  <c r="V232" i="1"/>
  <c r="V242" i="1"/>
  <c r="J192" i="1"/>
  <c r="V239" i="1"/>
  <c r="AH504" i="1"/>
  <c r="V233" i="1"/>
  <c r="V610" i="1"/>
  <c r="V235" i="1"/>
  <c r="AH109" i="1"/>
  <c r="V234" i="1"/>
  <c r="J280" i="1"/>
  <c r="J236" i="1"/>
  <c r="J234" i="1"/>
  <c r="AF241" i="1"/>
  <c r="J611" i="1"/>
  <c r="J241" i="1"/>
  <c r="J242" i="1"/>
  <c r="AC236" i="1"/>
  <c r="S328" i="1"/>
  <c r="AF234" i="1"/>
  <c r="J460" i="1"/>
  <c r="J610" i="1"/>
  <c r="AF235" i="1"/>
  <c r="AF243" i="1"/>
  <c r="AA240" i="1"/>
  <c r="AA242" i="1"/>
  <c r="J232" i="1"/>
  <c r="J240" i="1"/>
  <c r="AF610" i="1"/>
  <c r="W227" i="1"/>
  <c r="AH12" i="1"/>
  <c r="AA235" i="1"/>
  <c r="J239" i="1"/>
  <c r="AF240" i="1"/>
  <c r="S523" i="1"/>
  <c r="J235" i="1"/>
  <c r="T241" i="1"/>
  <c r="AF233" i="1"/>
  <c r="AD233" i="1"/>
  <c r="AA236" i="1"/>
  <c r="AF236" i="1"/>
  <c r="T239" i="1"/>
  <c r="AF239" i="1"/>
  <c r="L280" i="1"/>
  <c r="I192" i="1"/>
  <c r="X227" i="1"/>
  <c r="AC234" i="1"/>
  <c r="T243" i="1"/>
  <c r="T235" i="1"/>
  <c r="S142" i="1"/>
  <c r="AH227" i="1"/>
  <c r="T232" i="1"/>
  <c r="T240" i="1"/>
  <c r="Y610" i="1"/>
  <c r="T233" i="1"/>
  <c r="T610" i="1"/>
  <c r="Y234" i="1"/>
  <c r="T236" i="1"/>
  <c r="T242" i="1"/>
  <c r="Y243" i="1"/>
  <c r="M242" i="1"/>
  <c r="M236" i="1"/>
  <c r="Y242" i="1"/>
  <c r="Y241" i="1"/>
  <c r="AF250" i="1"/>
  <c r="AF263" i="1" s="1"/>
  <c r="AF280" i="1" s="1"/>
  <c r="Y236" i="1"/>
  <c r="Y233" i="1"/>
  <c r="M239" i="1"/>
  <c r="Y232" i="1"/>
  <c r="M234" i="1"/>
  <c r="M610" i="1"/>
  <c r="M241" i="1"/>
  <c r="M235" i="1"/>
  <c r="M233" i="1"/>
  <c r="M240" i="1"/>
  <c r="Y235" i="1"/>
  <c r="Y240" i="1"/>
  <c r="M243" i="1"/>
  <c r="S109" i="1"/>
  <c r="AD236" i="1"/>
  <c r="AD243" i="1"/>
  <c r="P280" i="1"/>
  <c r="I347" i="1"/>
  <c r="AD232" i="1"/>
  <c r="I233" i="1"/>
  <c r="AD235" i="1"/>
  <c r="AF142" i="1"/>
  <c r="AD242" i="1"/>
  <c r="AD610" i="1"/>
  <c r="AD239" i="1"/>
  <c r="AD241" i="1"/>
  <c r="AD234" i="1"/>
  <c r="AC235" i="1"/>
  <c r="AC239" i="1"/>
  <c r="AC241" i="1"/>
  <c r="AC232" i="1"/>
  <c r="AC240" i="1"/>
  <c r="AC610" i="1"/>
  <c r="AJ227" i="1"/>
  <c r="AC242" i="1"/>
  <c r="AC233" i="1"/>
  <c r="AJ250" i="1"/>
  <c r="AJ263" i="1" s="1"/>
  <c r="AJ280" i="1" s="1"/>
  <c r="AB233" i="1"/>
  <c r="AB234" i="1"/>
  <c r="I240" i="1"/>
  <c r="U611" i="1"/>
  <c r="T227" i="1"/>
  <c r="I460" i="1"/>
  <c r="I241" i="1"/>
  <c r="S243" i="1"/>
  <c r="S239" i="1"/>
  <c r="S240" i="1"/>
  <c r="S235" i="1"/>
  <c r="S610" i="1"/>
  <c r="S460" i="1"/>
  <c r="S462" i="1" s="1"/>
  <c r="S487" i="1" s="1"/>
  <c r="S241" i="1"/>
  <c r="S233" i="1"/>
  <c r="S236" i="1"/>
  <c r="S234" i="1"/>
  <c r="S242" i="1"/>
  <c r="S232" i="1"/>
  <c r="Q227" i="1"/>
  <c r="I232" i="1"/>
  <c r="I236" i="1"/>
  <c r="I242" i="1"/>
  <c r="I243" i="1"/>
  <c r="I234" i="1"/>
  <c r="I239" i="1"/>
  <c r="AJ109" i="1"/>
  <c r="I610" i="1"/>
  <c r="J142" i="1"/>
  <c r="K250" i="1"/>
  <c r="K263" i="1" s="1"/>
  <c r="K280" i="1" s="1"/>
  <c r="U12" i="1"/>
  <c r="AB610" i="1"/>
  <c r="AB243" i="1"/>
  <c r="M142" i="1"/>
  <c r="AB240" i="1"/>
  <c r="K12" i="1"/>
  <c r="K66" i="1" s="1"/>
  <c r="K117" i="1" s="1"/>
  <c r="AB232" i="1"/>
  <c r="AB235" i="1"/>
  <c r="AB241" i="1"/>
  <c r="AB239" i="1"/>
  <c r="S280" i="1"/>
  <c r="O242" i="1"/>
  <c r="O243" i="1"/>
  <c r="O460" i="1"/>
  <c r="O462" i="1" s="1"/>
  <c r="O487" i="1" s="1"/>
  <c r="O610" i="1"/>
  <c r="AB242" i="1"/>
  <c r="K142" i="1"/>
  <c r="L142" i="1"/>
  <c r="L109" i="1"/>
  <c r="K109" i="1"/>
  <c r="V227" i="1"/>
  <c r="K503" i="1"/>
  <c r="K329" i="1"/>
  <c r="K328" i="1"/>
  <c r="K504" i="1"/>
  <c r="K614" i="1"/>
  <c r="K523" i="1"/>
  <c r="AJ142" i="1"/>
  <c r="H38" i="6"/>
  <c r="S821" i="2" s="1"/>
  <c r="Y379" i="1"/>
  <c r="Y174" i="1"/>
  <c r="P425" i="1"/>
  <c r="AK414" i="1"/>
  <c r="AL414" i="1" s="1"/>
  <c r="M523" i="1"/>
  <c r="M503" i="1"/>
  <c r="M504" i="1"/>
  <c r="M614" i="1"/>
  <c r="M328" i="1"/>
  <c r="M329" i="1"/>
  <c r="M250" i="1"/>
  <c r="M263" i="1" s="1"/>
  <c r="M280" i="1" s="1"/>
  <c r="M611" i="1"/>
  <c r="U142" i="1"/>
  <c r="H20" i="6"/>
  <c r="AJ12" i="1"/>
  <c r="AJ66" i="1" s="1"/>
  <c r="AJ117" i="1" s="1"/>
  <c r="P107" i="1"/>
  <c r="P9" i="1"/>
  <c r="P106" i="1"/>
  <c r="P10" i="1"/>
  <c r="P74" i="1"/>
  <c r="P77" i="1" s="1"/>
  <c r="P94" i="1" s="1"/>
  <c r="P57" i="1"/>
  <c r="P128" i="1"/>
  <c r="P130" i="1" s="1"/>
  <c r="P138" i="1"/>
  <c r="P140" i="1" s="1"/>
  <c r="P8" i="1"/>
  <c r="P59" i="1"/>
  <c r="AK102" i="1"/>
  <c r="AL102" i="1" s="1"/>
  <c r="E43" i="7"/>
  <c r="F12" i="7" s="1"/>
  <c r="H820" i="2" s="1"/>
  <c r="L12" i="1"/>
  <c r="L66" i="1" s="1"/>
  <c r="L117" i="1" s="1"/>
  <c r="H440" i="1"/>
  <c r="Z184" i="1"/>
  <c r="Z379" i="1"/>
  <c r="Z402" i="1" s="1"/>
  <c r="U612" i="1"/>
  <c r="U268" i="1"/>
  <c r="U278" i="1" s="1"/>
  <c r="U280" i="1" s="1"/>
  <c r="J12" i="1"/>
  <c r="J66" i="1" s="1"/>
  <c r="J117" i="1" s="1"/>
  <c r="F353" i="2"/>
  <c r="H353" i="2" s="1"/>
  <c r="AK519" i="1"/>
  <c r="AL519" i="1" s="1"/>
  <c r="U523" i="1"/>
  <c r="U328" i="1"/>
  <c r="U504" i="1"/>
  <c r="U503" i="1"/>
  <c r="U614" i="1"/>
  <c r="U329" i="1"/>
  <c r="J614" i="1"/>
  <c r="J328" i="1"/>
  <c r="J329" i="1"/>
  <c r="J504" i="1"/>
  <c r="J523" i="1"/>
  <c r="J503" i="1"/>
  <c r="U109" i="1"/>
  <c r="L503" i="1"/>
  <c r="L504" i="1"/>
  <c r="L328" i="1"/>
  <c r="L329" i="1"/>
  <c r="L523" i="1"/>
  <c r="L614" i="1"/>
  <c r="H456" i="1"/>
  <c r="H28" i="6"/>
  <c r="N821" i="2" s="1"/>
  <c r="H10" i="6"/>
  <c r="G821" i="2" s="1"/>
  <c r="H34" i="6"/>
  <c r="Q821" i="2" s="1"/>
  <c r="H24" i="6"/>
  <c r="L821" i="2" s="1"/>
  <c r="H18" i="6"/>
  <c r="H36" i="6"/>
  <c r="R821" i="2" s="1"/>
  <c r="H14" i="6"/>
  <c r="H32" i="6"/>
  <c r="P821" i="2" s="1"/>
  <c r="H26" i="6"/>
  <c r="M821" i="2" s="1"/>
  <c r="H22" i="6"/>
  <c r="K821" i="2" s="1"/>
  <c r="H30" i="6"/>
  <c r="O821" i="2" s="1"/>
  <c r="AJ504" i="1"/>
  <c r="AJ614" i="1"/>
  <c r="AJ503" i="1"/>
  <c r="AJ329" i="1"/>
  <c r="AJ523" i="1"/>
  <c r="AJ328" i="1"/>
  <c r="P533" i="1"/>
  <c r="F361" i="2" s="1"/>
  <c r="H361" i="2" s="1"/>
  <c r="H363" i="2" s="1"/>
  <c r="AK530" i="1"/>
  <c r="AL530" i="1" s="1"/>
  <c r="M12" i="1"/>
  <c r="M66" i="1" s="1"/>
  <c r="M117" i="1" s="1"/>
  <c r="K661" i="2" l="1"/>
  <c r="K682" i="2"/>
  <c r="L1" i="2"/>
  <c r="H557" i="2"/>
  <c r="H574" i="2" s="1"/>
  <c r="H679" i="2" s="1"/>
  <c r="H735" i="2" s="1"/>
  <c r="Y925" i="2"/>
  <c r="Z925" i="2" s="1"/>
  <c r="F36" i="7"/>
  <c r="T820" i="2" s="1"/>
  <c r="F42" i="7"/>
  <c r="Y911" i="2"/>
  <c r="Z911" i="2" s="1"/>
  <c r="Y918" i="2"/>
  <c r="Z918" i="2" s="1"/>
  <c r="Y939" i="2"/>
  <c r="Z939" i="2" s="1"/>
  <c r="I821" i="2"/>
  <c r="J821" i="2"/>
  <c r="Y932" i="2"/>
  <c r="Z932" i="2" s="1"/>
  <c r="F38" i="7"/>
  <c r="U820" i="2" s="1"/>
  <c r="F40" i="7"/>
  <c r="Q614" i="1"/>
  <c r="Q328" i="1"/>
  <c r="Q109" i="1"/>
  <c r="Q610" i="1"/>
  <c r="Q239" i="1"/>
  <c r="Q142" i="1"/>
  <c r="Q329" i="1"/>
  <c r="Q503" i="1"/>
  <c r="Q12" i="1"/>
  <c r="Q66" i="1" s="1"/>
  <c r="Q117" i="1" s="1"/>
  <c r="Q504" i="1"/>
  <c r="Q234" i="1"/>
  <c r="Q240" i="1"/>
  <c r="Q233" i="1"/>
  <c r="Q241" i="1"/>
  <c r="Q242" i="1"/>
  <c r="Q460" i="1"/>
  <c r="Q462" i="1" s="1"/>
  <c r="Q487" i="1" s="1"/>
  <c r="Q499" i="1" s="1"/>
  <c r="Q232" i="1"/>
  <c r="Q236" i="1"/>
  <c r="Q235" i="1"/>
  <c r="Z247" i="1"/>
  <c r="AJ247" i="1"/>
  <c r="AJ282" i="1" s="1"/>
  <c r="X247" i="1"/>
  <c r="K247" i="1"/>
  <c r="L247" i="1"/>
  <c r="AH247" i="1"/>
  <c r="AH284" i="1" s="1"/>
  <c r="S616" i="1"/>
  <c r="W247" i="1"/>
  <c r="AH66" i="1"/>
  <c r="AF616" i="1"/>
  <c r="AF66" i="1"/>
  <c r="AF117" i="1" s="1"/>
  <c r="U616" i="1"/>
  <c r="U66" i="1"/>
  <c r="S524" i="1"/>
  <c r="S526" i="1" s="1"/>
  <c r="F309" i="2" s="1"/>
  <c r="H309" i="2" s="1"/>
  <c r="AF524" i="1"/>
  <c r="AF526" i="1" s="1"/>
  <c r="F337" i="2" s="1"/>
  <c r="H337" i="2" s="1"/>
  <c r="U247" i="1"/>
  <c r="U282" i="1" s="1"/>
  <c r="U320" i="1"/>
  <c r="I504" i="1"/>
  <c r="U324" i="1"/>
  <c r="I614" i="1"/>
  <c r="I523" i="1"/>
  <c r="I328" i="1"/>
  <c r="I503" i="1"/>
  <c r="I329" i="1"/>
  <c r="I12" i="1"/>
  <c r="H247" i="1"/>
  <c r="V247" i="1"/>
  <c r="I109" i="1"/>
  <c r="S116" i="1"/>
  <c r="AA247" i="1"/>
  <c r="J247" i="1"/>
  <c r="AH616" i="1"/>
  <c r="AF247" i="1"/>
  <c r="AF282" i="1" s="1"/>
  <c r="AH524" i="1"/>
  <c r="AH526" i="1" s="1"/>
  <c r="F340" i="2" s="1"/>
  <c r="H340" i="2" s="1"/>
  <c r="S93" i="1"/>
  <c r="S96" i="1" s="1"/>
  <c r="S497" i="1" s="1"/>
  <c r="S79" i="1"/>
  <c r="U496" i="1"/>
  <c r="U501" i="1"/>
  <c r="Y247" i="1"/>
  <c r="U493" i="1"/>
  <c r="U326" i="1"/>
  <c r="U494" i="1"/>
  <c r="U323" i="1"/>
  <c r="U498" i="1"/>
  <c r="U327" i="1"/>
  <c r="U499" i="1"/>
  <c r="U502" i="1"/>
  <c r="F23" i="2"/>
  <c r="H23" i="2" s="1"/>
  <c r="U321" i="1"/>
  <c r="U495" i="1"/>
  <c r="S115" i="1"/>
  <c r="U318" i="1"/>
  <c r="T247" i="1"/>
  <c r="AD247" i="1"/>
  <c r="M247" i="1"/>
  <c r="M282" i="1" s="1"/>
  <c r="AJ326" i="1"/>
  <c r="AJ502" i="1"/>
  <c r="AC247" i="1"/>
  <c r="AJ318" i="1"/>
  <c r="AJ324" i="1"/>
  <c r="AJ319" i="1"/>
  <c r="AJ323" i="1"/>
  <c r="AJ499" i="1"/>
  <c r="AJ493" i="1"/>
  <c r="AJ494" i="1"/>
  <c r="AJ495" i="1"/>
  <c r="AJ320" i="1"/>
  <c r="AJ498" i="1"/>
  <c r="AJ321" i="1"/>
  <c r="AJ496" i="1"/>
  <c r="AJ501" i="1"/>
  <c r="I152" i="1"/>
  <c r="I247" i="1"/>
  <c r="I282" i="1" s="1"/>
  <c r="U524" i="1"/>
  <c r="U526" i="1" s="1"/>
  <c r="P109" i="1"/>
  <c r="S247" i="1"/>
  <c r="S284" i="1" s="1"/>
  <c r="S309" i="1" s="1"/>
  <c r="K524" i="1"/>
  <c r="K526" i="1" s="1"/>
  <c r="F297" i="2" s="1"/>
  <c r="H297" i="2" s="1"/>
  <c r="K616" i="1"/>
  <c r="S324" i="1"/>
  <c r="S493" i="1"/>
  <c r="S326" i="1"/>
  <c r="S499" i="1"/>
  <c r="S495" i="1"/>
  <c r="S501" i="1"/>
  <c r="S323" i="1"/>
  <c r="S321" i="1"/>
  <c r="S327" i="1"/>
  <c r="S320" i="1"/>
  <c r="S318" i="1"/>
  <c r="S319" i="1"/>
  <c r="S502" i="1"/>
  <c r="S496" i="1"/>
  <c r="S498" i="1"/>
  <c r="S494" i="1"/>
  <c r="AB247" i="1"/>
  <c r="P142" i="1"/>
  <c r="F11" i="2"/>
  <c r="H11" i="2" s="1"/>
  <c r="K79" i="1"/>
  <c r="K116" i="1"/>
  <c r="K115" i="1"/>
  <c r="K93" i="1"/>
  <c r="K96" i="1" s="1"/>
  <c r="Z190" i="1"/>
  <c r="P12" i="1"/>
  <c r="P66" i="1" s="1"/>
  <c r="P117" i="1" s="1"/>
  <c r="Y402" i="1"/>
  <c r="F363" i="2"/>
  <c r="J524" i="1"/>
  <c r="J526" i="1" s="1"/>
  <c r="J616" i="1"/>
  <c r="F18" i="7"/>
  <c r="K820" i="2" s="1"/>
  <c r="F10" i="7"/>
  <c r="G820" i="2" s="1"/>
  <c r="F28" i="7"/>
  <c r="P820" i="2" s="1"/>
  <c r="F22" i="7"/>
  <c r="M820" i="2" s="1"/>
  <c r="F30" i="7"/>
  <c r="Q820" i="2" s="1"/>
  <c r="F14" i="7"/>
  <c r="I820" i="2" s="1"/>
  <c r="F20" i="7"/>
  <c r="L820" i="2" s="1"/>
  <c r="F32" i="7"/>
  <c r="R820" i="2" s="1"/>
  <c r="F24" i="7"/>
  <c r="N820" i="2" s="1"/>
  <c r="F16" i="7"/>
  <c r="J820" i="2" s="1"/>
  <c r="F26" i="7"/>
  <c r="O820" i="2" s="1"/>
  <c r="F34" i="7"/>
  <c r="S820" i="2" s="1"/>
  <c r="H47" i="6"/>
  <c r="H70" i="6" s="1"/>
  <c r="H612" i="1"/>
  <c r="H268" i="1"/>
  <c r="P329" i="1"/>
  <c r="P523" i="1"/>
  <c r="P328" i="1"/>
  <c r="P504" i="1"/>
  <c r="P503" i="1"/>
  <c r="P614" i="1"/>
  <c r="M616" i="1"/>
  <c r="M524" i="1"/>
  <c r="M526" i="1" s="1"/>
  <c r="L524" i="1"/>
  <c r="L526" i="1" s="1"/>
  <c r="L616" i="1"/>
  <c r="AJ616" i="1"/>
  <c r="AJ524" i="1"/>
  <c r="AJ526" i="1" s="1"/>
  <c r="P239" i="1"/>
  <c r="P241" i="1"/>
  <c r="P610" i="1"/>
  <c r="P235" i="1"/>
  <c r="P233" i="1"/>
  <c r="P240" i="1"/>
  <c r="P243" i="1"/>
  <c r="AK243" i="1" s="1"/>
  <c r="AL243" i="1" s="1"/>
  <c r="P232" i="1"/>
  <c r="P242" i="1"/>
  <c r="P236" i="1"/>
  <c r="P234" i="1"/>
  <c r="P460" i="1"/>
  <c r="AK425" i="1"/>
  <c r="AL425" i="1" s="1"/>
  <c r="H611" i="1"/>
  <c r="H250" i="1"/>
  <c r="Y181" i="1"/>
  <c r="L661" i="2" l="1"/>
  <c r="L682" i="2"/>
  <c r="M1" i="2"/>
  <c r="N1" i="2" s="1"/>
  <c r="X821" i="2"/>
  <c r="Y821" i="2" s="1"/>
  <c r="Z821" i="2" s="1"/>
  <c r="X820" i="2"/>
  <c r="Y820" i="2" s="1"/>
  <c r="Z820" i="2" s="1"/>
  <c r="U93" i="1"/>
  <c r="U96" i="1" s="1"/>
  <c r="U541" i="1" s="1"/>
  <c r="F606" i="2" s="1"/>
  <c r="H606" i="2" s="1"/>
  <c r="U117" i="1"/>
  <c r="AH115" i="1"/>
  <c r="AH117" i="1"/>
  <c r="AK610" i="1"/>
  <c r="AL610" i="1" s="1"/>
  <c r="Q501" i="1"/>
  <c r="Q616" i="1"/>
  <c r="Q320" i="1"/>
  <c r="Q496" i="1"/>
  <c r="Q319" i="1"/>
  <c r="Q524" i="1"/>
  <c r="Q526" i="1" s="1"/>
  <c r="F305" i="2" s="1"/>
  <c r="H305" i="2" s="1"/>
  <c r="Q321" i="1"/>
  <c r="Q326" i="1"/>
  <c r="Q498" i="1"/>
  <c r="AK242" i="1"/>
  <c r="AL242" i="1" s="1"/>
  <c r="Q323" i="1"/>
  <c r="Q493" i="1"/>
  <c r="Q502" i="1"/>
  <c r="Q495" i="1"/>
  <c r="Q327" i="1"/>
  <c r="Q494" i="1"/>
  <c r="Q324" i="1"/>
  <c r="Q318" i="1"/>
  <c r="Q247" i="1"/>
  <c r="Q284" i="1" s="1"/>
  <c r="Q309" i="1" s="1"/>
  <c r="K282" i="1"/>
  <c r="AJ284" i="1"/>
  <c r="AJ309" i="1" s="1"/>
  <c r="L282" i="1"/>
  <c r="AH282" i="1"/>
  <c r="AF79" i="1"/>
  <c r="AH79" i="1"/>
  <c r="AH93" i="1"/>
  <c r="AH96" i="1" s="1"/>
  <c r="AH325" i="1" s="1"/>
  <c r="AH116" i="1"/>
  <c r="F54" i="2"/>
  <c r="H54" i="2" s="1"/>
  <c r="AF115" i="1"/>
  <c r="U284" i="1"/>
  <c r="U309" i="1" s="1"/>
  <c r="F51" i="2"/>
  <c r="H51" i="2" s="1"/>
  <c r="AF93" i="1"/>
  <c r="AF96" i="1" s="1"/>
  <c r="AF537" i="1" s="1"/>
  <c r="F508" i="2" s="1"/>
  <c r="H508" i="2" s="1"/>
  <c r="AF116" i="1"/>
  <c r="I524" i="1"/>
  <c r="I526" i="1" s="1"/>
  <c r="F295" i="2" s="1"/>
  <c r="H295" i="2" s="1"/>
  <c r="I66" i="1"/>
  <c r="S537" i="1"/>
  <c r="F480" i="2" s="1"/>
  <c r="H480" i="2" s="1"/>
  <c r="U116" i="1"/>
  <c r="U79" i="1"/>
  <c r="I616" i="1"/>
  <c r="J282" i="1"/>
  <c r="U115" i="1"/>
  <c r="F29" i="2"/>
  <c r="H29" i="2" s="1"/>
  <c r="S322" i="1"/>
  <c r="S535" i="1"/>
  <c r="F423" i="2" s="1"/>
  <c r="H423" i="2" s="1"/>
  <c r="S325" i="1"/>
  <c r="S111" i="1"/>
  <c r="F81" i="2" s="1"/>
  <c r="H81" i="2" s="1"/>
  <c r="AF284" i="1"/>
  <c r="S541" i="1"/>
  <c r="F600" i="2" s="1"/>
  <c r="H600" i="2" s="1"/>
  <c r="S543" i="1"/>
  <c r="S500" i="1"/>
  <c r="S506" i="1" s="1"/>
  <c r="S508" i="1" s="1"/>
  <c r="I160" i="1"/>
  <c r="S282" i="1"/>
  <c r="F19" i="2"/>
  <c r="H19" i="2" s="1"/>
  <c r="Q79" i="1"/>
  <c r="Q115" i="1"/>
  <c r="Q93" i="1"/>
  <c r="Q96" i="1" s="1"/>
  <c r="Q116" i="1"/>
  <c r="K325" i="1"/>
  <c r="K497" i="1"/>
  <c r="K543" i="1"/>
  <c r="K322" i="1"/>
  <c r="K541" i="1"/>
  <c r="F588" i="2" s="1"/>
  <c r="H588" i="2" s="1"/>
  <c r="K535" i="1"/>
  <c r="K500" i="1"/>
  <c r="K537" i="1"/>
  <c r="F468" i="2" s="1"/>
  <c r="H468" i="2" s="1"/>
  <c r="K111" i="1"/>
  <c r="F69" i="2" s="1"/>
  <c r="H69" i="2" s="1"/>
  <c r="F298" i="2"/>
  <c r="H298" i="2" s="1"/>
  <c r="F343" i="2"/>
  <c r="H343" i="2" s="1"/>
  <c r="F315" i="2"/>
  <c r="H315" i="2" s="1"/>
  <c r="P247" i="1"/>
  <c r="L93" i="1"/>
  <c r="L96" i="1" s="1"/>
  <c r="L116" i="1"/>
  <c r="L115" i="1"/>
  <c r="L79" i="1"/>
  <c r="F12" i="2"/>
  <c r="H278" i="1"/>
  <c r="J116" i="1"/>
  <c r="J115" i="1"/>
  <c r="F10" i="2"/>
  <c r="J79" i="1"/>
  <c r="J93" i="1"/>
  <c r="J96" i="1" s="1"/>
  <c r="H263" i="1"/>
  <c r="Y192" i="1"/>
  <c r="F299" i="2"/>
  <c r="H299" i="2" s="1"/>
  <c r="Z192" i="1"/>
  <c r="Z215" i="1" s="1"/>
  <c r="Z227" i="1" s="1"/>
  <c r="F57" i="2"/>
  <c r="H57" i="2" s="1"/>
  <c r="AJ79" i="1"/>
  <c r="AJ93" i="1"/>
  <c r="AJ96" i="1" s="1"/>
  <c r="AJ115" i="1"/>
  <c r="AJ116" i="1"/>
  <c r="P462" i="1"/>
  <c r="F296" i="2"/>
  <c r="H296" i="2" s="1"/>
  <c r="F43" i="7"/>
  <c r="M79" i="1"/>
  <c r="M115" i="1"/>
  <c r="M116" i="1"/>
  <c r="F13" i="2"/>
  <c r="M93" i="1"/>
  <c r="M96" i="1" s="1"/>
  <c r="P616" i="1"/>
  <c r="P524" i="1"/>
  <c r="N661" i="2" l="1"/>
  <c r="N682" i="2"/>
  <c r="M661" i="2"/>
  <c r="M682" i="2"/>
  <c r="U322" i="1"/>
  <c r="U111" i="1"/>
  <c r="F87" i="2" s="1"/>
  <c r="H87" i="2" s="1"/>
  <c r="U537" i="1"/>
  <c r="F486" i="2" s="1"/>
  <c r="H486" i="2" s="1"/>
  <c r="U500" i="1"/>
  <c r="U325" i="1"/>
  <c r="U535" i="1"/>
  <c r="F429" i="2" s="1"/>
  <c r="H429" i="2" s="1"/>
  <c r="U497" i="1"/>
  <c r="U543" i="1"/>
  <c r="I79" i="1"/>
  <c r="I117" i="1"/>
  <c r="O1" i="2"/>
  <c r="Q282" i="1"/>
  <c r="AH537" i="1"/>
  <c r="F511" i="2" s="1"/>
  <c r="H511" i="2" s="1"/>
  <c r="AF535" i="1"/>
  <c r="F451" i="2" s="1"/>
  <c r="H451" i="2" s="1"/>
  <c r="AH543" i="1"/>
  <c r="AH535" i="1"/>
  <c r="F454" i="2" s="1"/>
  <c r="H454" i="2" s="1"/>
  <c r="AH497" i="1"/>
  <c r="AH500" i="1"/>
  <c r="AH322" i="1"/>
  <c r="AH541" i="1"/>
  <c r="F631" i="2" s="1"/>
  <c r="H631" i="2" s="1"/>
  <c r="AH111" i="1"/>
  <c r="F112" i="2" s="1"/>
  <c r="H112" i="2" s="1"/>
  <c r="AF497" i="1"/>
  <c r="AF111" i="1"/>
  <c r="F109" i="2" s="1"/>
  <c r="H109" i="2" s="1"/>
  <c r="AF543" i="1"/>
  <c r="AF322" i="1"/>
  <c r="AF500" i="1"/>
  <c r="AF325" i="1"/>
  <c r="AF541" i="1"/>
  <c r="F628" i="2" s="1"/>
  <c r="H628" i="2" s="1"/>
  <c r="S331" i="1"/>
  <c r="S333" i="1" s="1"/>
  <c r="F195" i="2" s="1"/>
  <c r="H195" i="2" s="1"/>
  <c r="I115" i="1"/>
  <c r="I93" i="1"/>
  <c r="I96" i="1" s="1"/>
  <c r="I116" i="1"/>
  <c r="F9" i="2"/>
  <c r="S545" i="1"/>
  <c r="S510" i="1"/>
  <c r="F252" i="2"/>
  <c r="H252" i="2" s="1"/>
  <c r="S123" i="1"/>
  <c r="Q541" i="1"/>
  <c r="F596" i="2" s="1"/>
  <c r="H596" i="2" s="1"/>
  <c r="Q325" i="1"/>
  <c r="Q537" i="1"/>
  <c r="F476" i="2" s="1"/>
  <c r="H476" i="2" s="1"/>
  <c r="Q535" i="1"/>
  <c r="Q111" i="1"/>
  <c r="F77" i="2" s="1"/>
  <c r="H77" i="2" s="1"/>
  <c r="Q497" i="1"/>
  <c r="Q500" i="1"/>
  <c r="Q322" i="1"/>
  <c r="Q543" i="1"/>
  <c r="F411" i="2"/>
  <c r="H411" i="2" s="1"/>
  <c r="K545" i="1"/>
  <c r="P282" i="1"/>
  <c r="P284" i="1"/>
  <c r="M111" i="1"/>
  <c r="F71" i="2" s="1"/>
  <c r="H71" i="2" s="1"/>
  <c r="M322" i="1"/>
  <c r="M497" i="1"/>
  <c r="M543" i="1"/>
  <c r="M537" i="1"/>
  <c r="F470" i="2" s="1"/>
  <c r="H470" i="2" s="1"/>
  <c r="M541" i="1"/>
  <c r="F590" i="2" s="1"/>
  <c r="H590" i="2" s="1"/>
  <c r="M535" i="1"/>
  <c r="M500" i="1"/>
  <c r="M325" i="1"/>
  <c r="P526" i="1"/>
  <c r="AJ497" i="1"/>
  <c r="AJ543" i="1"/>
  <c r="AJ535" i="1"/>
  <c r="AJ500" i="1"/>
  <c r="AJ537" i="1"/>
  <c r="F514" i="2" s="1"/>
  <c r="H514" i="2" s="1"/>
  <c r="AJ325" i="1"/>
  <c r="AJ111" i="1"/>
  <c r="F115" i="2" s="1"/>
  <c r="H115" i="2" s="1"/>
  <c r="AJ322" i="1"/>
  <c r="AJ541" i="1"/>
  <c r="F634" i="2" s="1"/>
  <c r="H634" i="2" s="1"/>
  <c r="L535" i="1"/>
  <c r="L537" i="1"/>
  <c r="F469" i="2" s="1"/>
  <c r="H469" i="2" s="1"/>
  <c r="L541" i="1"/>
  <c r="F589" i="2" s="1"/>
  <c r="H589" i="2" s="1"/>
  <c r="L111" i="1"/>
  <c r="F70" i="2" s="1"/>
  <c r="H70" i="2" s="1"/>
  <c r="L322" i="1"/>
  <c r="L500" i="1"/>
  <c r="L497" i="1"/>
  <c r="L543" i="1"/>
  <c r="L325" i="1"/>
  <c r="P115" i="1"/>
  <c r="F18" i="2"/>
  <c r="H18" i="2" s="1"/>
  <c r="P116" i="1"/>
  <c r="P79" i="1"/>
  <c r="P93" i="1"/>
  <c r="P96" i="1" s="1"/>
  <c r="H280" i="1"/>
  <c r="J537" i="1"/>
  <c r="F467" i="2" s="1"/>
  <c r="H467" i="2" s="1"/>
  <c r="J111" i="1"/>
  <c r="F68" i="2" s="1"/>
  <c r="H68" i="2" s="1"/>
  <c r="J497" i="1"/>
  <c r="J325" i="1"/>
  <c r="J500" i="1"/>
  <c r="J535" i="1"/>
  <c r="J543" i="1"/>
  <c r="J541" i="1"/>
  <c r="F587" i="2" s="1"/>
  <c r="H587" i="2" s="1"/>
  <c r="J322" i="1"/>
  <c r="Y215" i="1"/>
  <c r="P487" i="1"/>
  <c r="O661" i="2" l="1"/>
  <c r="O682" i="2"/>
  <c r="U506" i="1"/>
  <c r="U508" i="1" s="1"/>
  <c r="U123" i="1" s="1"/>
  <c r="U331" i="1"/>
  <c r="U333" i="1" s="1"/>
  <c r="F201" i="2" s="1"/>
  <c r="H201" i="2" s="1"/>
  <c r="U545" i="1"/>
  <c r="P1" i="2"/>
  <c r="AH545" i="1"/>
  <c r="AF545" i="1"/>
  <c r="S335" i="1"/>
  <c r="S547" i="1"/>
  <c r="I322" i="1"/>
  <c r="I500" i="1"/>
  <c r="I111" i="1"/>
  <c r="F67" i="2" s="1"/>
  <c r="H67" i="2" s="1"/>
  <c r="I543" i="1"/>
  <c r="I535" i="1"/>
  <c r="I537" i="1"/>
  <c r="F466" i="2" s="1"/>
  <c r="H466" i="2" s="1"/>
  <c r="I497" i="1"/>
  <c r="I325" i="1"/>
  <c r="I541" i="1"/>
  <c r="F586" i="2" s="1"/>
  <c r="H586" i="2" s="1"/>
  <c r="Q506" i="1"/>
  <c r="Q508" i="1" s="1"/>
  <c r="Q123" i="1" s="1"/>
  <c r="Q331" i="1"/>
  <c r="Q333" i="1" s="1"/>
  <c r="F191" i="2" s="1"/>
  <c r="H191" i="2" s="1"/>
  <c r="AJ506" i="1"/>
  <c r="AJ508" i="1" s="1"/>
  <c r="F286" i="2" s="1"/>
  <c r="H286" i="2" s="1"/>
  <c r="AJ331" i="1"/>
  <c r="AJ333" i="1" s="1"/>
  <c r="AJ335" i="1" s="1"/>
  <c r="U547" i="1"/>
  <c r="F419" i="2"/>
  <c r="H419" i="2" s="1"/>
  <c r="Q545" i="1"/>
  <c r="P327" i="1"/>
  <c r="P326" i="1"/>
  <c r="P498" i="1"/>
  <c r="P493" i="1"/>
  <c r="P496" i="1"/>
  <c r="P494" i="1"/>
  <c r="P501" i="1"/>
  <c r="P319" i="1"/>
  <c r="P495" i="1"/>
  <c r="P323" i="1"/>
  <c r="P318" i="1"/>
  <c r="P321" i="1"/>
  <c r="P502" i="1"/>
  <c r="P320" i="1"/>
  <c r="P324" i="1"/>
  <c r="P499" i="1"/>
  <c r="P543" i="1"/>
  <c r="P537" i="1"/>
  <c r="F475" i="2" s="1"/>
  <c r="H475" i="2" s="1"/>
  <c r="P325" i="1"/>
  <c r="P322" i="1"/>
  <c r="P111" i="1"/>
  <c r="F76" i="2" s="1"/>
  <c r="H76" i="2" s="1"/>
  <c r="P541" i="1"/>
  <c r="F595" i="2" s="1"/>
  <c r="H595" i="2" s="1"/>
  <c r="P500" i="1"/>
  <c r="P497" i="1"/>
  <c r="P535" i="1"/>
  <c r="F418" i="2" s="1"/>
  <c r="H418" i="2" s="1"/>
  <c r="F457" i="2"/>
  <c r="H457" i="2" s="1"/>
  <c r="AJ545" i="1"/>
  <c r="F413" i="2"/>
  <c r="H413" i="2" s="1"/>
  <c r="M545" i="1"/>
  <c r="H282" i="1"/>
  <c r="F412" i="2"/>
  <c r="H412" i="2" s="1"/>
  <c r="L545" i="1"/>
  <c r="F410" i="2"/>
  <c r="H410" i="2" s="1"/>
  <c r="J545" i="1"/>
  <c r="P309" i="1"/>
  <c r="Y227" i="1"/>
  <c r="F304" i="2"/>
  <c r="H304" i="2" s="1"/>
  <c r="F258" i="2"/>
  <c r="H258" i="2" s="1"/>
  <c r="U510" i="1"/>
  <c r="P661" i="2" l="1"/>
  <c r="P682" i="2"/>
  <c r="U335" i="1"/>
  <c r="U114" i="1" s="1"/>
  <c r="U118" i="1" s="1"/>
  <c r="U146" i="1" s="1"/>
  <c r="F144" i="2" s="1"/>
  <c r="H144" i="2" s="1"/>
  <c r="Q1" i="2"/>
  <c r="S114" i="1"/>
  <c r="S118" i="1" s="1"/>
  <c r="S146" i="1" s="1"/>
  <c r="F138" i="2" s="1"/>
  <c r="H138" i="2" s="1"/>
  <c r="F409" i="2"/>
  <c r="H409" i="2" s="1"/>
  <c r="I545" i="1"/>
  <c r="AJ123" i="1"/>
  <c r="AJ510" i="1"/>
  <c r="Q510" i="1"/>
  <c r="F248" i="2"/>
  <c r="H248" i="2" s="1"/>
  <c r="Q547" i="1"/>
  <c r="Q335" i="1"/>
  <c r="F229" i="2"/>
  <c r="H229" i="2" s="1"/>
  <c r="AJ547" i="1"/>
  <c r="P545" i="1"/>
  <c r="AJ114" i="1"/>
  <c r="AJ118" i="1" s="1"/>
  <c r="AJ146" i="1" s="1"/>
  <c r="F172" i="2" s="1"/>
  <c r="H172" i="2" s="1"/>
  <c r="P331" i="1"/>
  <c r="P333" i="1" s="1"/>
  <c r="P506" i="1"/>
  <c r="P508" i="1" s="1"/>
  <c r="Q661" i="2" l="1"/>
  <c r="Q682" i="2"/>
  <c r="R1" i="2"/>
  <c r="Q114" i="1"/>
  <c r="Q118" i="1" s="1"/>
  <c r="Q146" i="1" s="1"/>
  <c r="F134" i="2" s="1"/>
  <c r="H134" i="2" s="1"/>
  <c r="F190" i="2"/>
  <c r="H190" i="2" s="1"/>
  <c r="P335" i="1"/>
  <c r="P547" i="1"/>
  <c r="P123" i="1"/>
  <c r="F247" i="2"/>
  <c r="H247" i="2" s="1"/>
  <c r="P510" i="1"/>
  <c r="R661" i="2" l="1"/>
  <c r="R682" i="2"/>
  <c r="S1" i="2"/>
  <c r="P114" i="1"/>
  <c r="P118" i="1" s="1"/>
  <c r="P146" i="1" s="1"/>
  <c r="F133" i="2" s="1"/>
  <c r="H133" i="2" s="1"/>
  <c r="S661" i="2" l="1"/>
  <c r="S682" i="2"/>
  <c r="T1" i="2"/>
  <c r="T661" i="2" l="1"/>
  <c r="T682" i="2"/>
  <c r="U1" i="2"/>
  <c r="U740" i="2" s="1"/>
  <c r="U661" i="2" l="1"/>
  <c r="U682" i="2"/>
  <c r="U785" i="2"/>
  <c r="V1" i="2"/>
  <c r="V740" i="2" s="1"/>
  <c r="V661" i="2" l="1"/>
  <c r="V682" i="2"/>
  <c r="V785" i="2"/>
  <c r="W1" i="2"/>
  <c r="W740" i="2" s="1"/>
  <c r="W661" i="2" l="1"/>
  <c r="X661" i="2" s="1"/>
  <c r="Y661" i="2" s="1"/>
  <c r="Z661" i="2" s="1"/>
  <c r="W682" i="2"/>
  <c r="X682" i="2" s="1"/>
  <c r="Y682" i="2" s="1"/>
  <c r="Z682" i="2" s="1"/>
  <c r="W785" i="2"/>
  <c r="L350" i="1"/>
  <c r="L356" i="1" s="1"/>
  <c r="L163" i="1" s="1"/>
  <c r="L169" i="1" s="1"/>
  <c r="L171" i="1" s="1"/>
  <c r="L215" i="1" s="1"/>
  <c r="L227" i="1" s="1"/>
  <c r="L284" i="1" s="1"/>
  <c r="I350" i="1"/>
  <c r="M350" i="1"/>
  <c r="M356" i="1" s="1"/>
  <c r="M163" i="1" s="1"/>
  <c r="M169" i="1" s="1"/>
  <c r="M171" i="1" s="1"/>
  <c r="M215" i="1" s="1"/>
  <c r="M227" i="1" s="1"/>
  <c r="M284" i="1" s="1"/>
  <c r="J350" i="1"/>
  <c r="J356" i="1" s="1"/>
  <c r="I356" i="1" l="1"/>
  <c r="I358" i="1" s="1"/>
  <c r="I402" i="1" s="1"/>
  <c r="I462" i="1" s="1"/>
  <c r="I487" i="1" s="1"/>
  <c r="M309" i="1"/>
  <c r="L309" i="1"/>
  <c r="J358" i="1"/>
  <c r="J402" i="1" s="1"/>
  <c r="J462" i="1" s="1"/>
  <c r="M358" i="1"/>
  <c r="M402" i="1" s="1"/>
  <c r="M462" i="1" s="1"/>
  <c r="L358" i="1"/>
  <c r="L402" i="1" s="1"/>
  <c r="L462" i="1" s="1"/>
  <c r="J163" i="1"/>
  <c r="J169" i="1" s="1"/>
  <c r="J171" i="1" s="1"/>
  <c r="J215" i="1" s="1"/>
  <c r="J227" i="1" s="1"/>
  <c r="J284" i="1" s="1"/>
  <c r="I163" i="1" l="1"/>
  <c r="I169" i="1" s="1"/>
  <c r="I171" i="1" s="1"/>
  <c r="I215" i="1" s="1"/>
  <c r="I227" i="1" s="1"/>
  <c r="I284" i="1" s="1"/>
  <c r="I309" i="1" s="1"/>
  <c r="I324" i="1"/>
  <c r="I496" i="1"/>
  <c r="I501" i="1"/>
  <c r="I319" i="1"/>
  <c r="I494" i="1"/>
  <c r="I495" i="1"/>
  <c r="I493" i="1"/>
  <c r="I499" i="1"/>
  <c r="I320" i="1"/>
  <c r="I318" i="1"/>
  <c r="I498" i="1"/>
  <c r="I327" i="1"/>
  <c r="I321" i="1"/>
  <c r="I502" i="1"/>
  <c r="I326" i="1"/>
  <c r="I323" i="1"/>
  <c r="J309" i="1"/>
  <c r="L487" i="1"/>
  <c r="M487" i="1"/>
  <c r="J487" i="1"/>
  <c r="I331" i="1" l="1"/>
  <c r="I333" i="1" s="1"/>
  <c r="I547" i="1" s="1"/>
  <c r="I506" i="1"/>
  <c r="I508" i="1" s="1"/>
  <c r="M320" i="1"/>
  <c r="M502" i="1"/>
  <c r="M495" i="1"/>
  <c r="M499" i="1"/>
  <c r="M494" i="1"/>
  <c r="M327" i="1"/>
  <c r="M323" i="1"/>
  <c r="M501" i="1"/>
  <c r="M319" i="1"/>
  <c r="M324" i="1"/>
  <c r="M326" i="1"/>
  <c r="M493" i="1"/>
  <c r="M496" i="1"/>
  <c r="M321" i="1"/>
  <c r="M498" i="1"/>
  <c r="M318" i="1"/>
  <c r="J326" i="1"/>
  <c r="J494" i="1"/>
  <c r="J499" i="1"/>
  <c r="J327" i="1"/>
  <c r="J320" i="1"/>
  <c r="J321" i="1"/>
  <c r="J495" i="1"/>
  <c r="J324" i="1"/>
  <c r="J318" i="1"/>
  <c r="J498" i="1"/>
  <c r="J493" i="1"/>
  <c r="J496" i="1"/>
  <c r="J501" i="1"/>
  <c r="J319" i="1"/>
  <c r="J323" i="1"/>
  <c r="J502" i="1"/>
  <c r="L496" i="1"/>
  <c r="L320" i="1"/>
  <c r="L501" i="1"/>
  <c r="L326" i="1"/>
  <c r="L318" i="1"/>
  <c r="L499" i="1"/>
  <c r="L494" i="1"/>
  <c r="L319" i="1"/>
  <c r="L502" i="1"/>
  <c r="L324" i="1"/>
  <c r="L327" i="1"/>
  <c r="L321" i="1"/>
  <c r="L498" i="1"/>
  <c r="L493" i="1"/>
  <c r="L495" i="1"/>
  <c r="L323" i="1"/>
  <c r="I335" i="1" l="1"/>
  <c r="F181" i="2"/>
  <c r="H181" i="2" s="1"/>
  <c r="I123" i="1"/>
  <c r="F238" i="2"/>
  <c r="H238" i="2" s="1"/>
  <c r="I510" i="1"/>
  <c r="J506" i="1"/>
  <c r="J508" i="1" s="1"/>
  <c r="J510" i="1" s="1"/>
  <c r="J331" i="1"/>
  <c r="J333" i="1" s="1"/>
  <c r="J335" i="1" s="1"/>
  <c r="L506" i="1"/>
  <c r="L508" i="1" s="1"/>
  <c r="L331" i="1"/>
  <c r="L333" i="1" s="1"/>
  <c r="M506" i="1"/>
  <c r="M508" i="1" s="1"/>
  <c r="M331" i="1"/>
  <c r="M333" i="1" s="1"/>
  <c r="I114" i="1" l="1"/>
  <c r="I118" i="1" s="1"/>
  <c r="F239" i="2"/>
  <c r="H239" i="2" s="1"/>
  <c r="J123" i="1"/>
  <c r="F182" i="2"/>
  <c r="H182" i="2" s="1"/>
  <c r="J547" i="1"/>
  <c r="M547" i="1"/>
  <c r="F185" i="2"/>
  <c r="H185" i="2" s="1"/>
  <c r="M335" i="1"/>
  <c r="L510" i="1"/>
  <c r="L123" i="1"/>
  <c r="F241" i="2"/>
  <c r="H241" i="2" s="1"/>
  <c r="F242" i="2"/>
  <c r="H242" i="2" s="1"/>
  <c r="M510" i="1"/>
  <c r="M123" i="1"/>
  <c r="L547" i="1"/>
  <c r="L335" i="1"/>
  <c r="F184" i="2"/>
  <c r="H184" i="2" s="1"/>
  <c r="J114" i="1"/>
  <c r="J118" i="1" s="1"/>
  <c r="J146" i="1" s="1"/>
  <c r="F125" i="2" s="1"/>
  <c r="H125" i="2" s="1"/>
  <c r="M114" i="1" l="1"/>
  <c r="M118" i="1" s="1"/>
  <c r="M146" i="1" s="1"/>
  <c r="F128" i="2" s="1"/>
  <c r="H128" i="2" s="1"/>
  <c r="L114" i="1"/>
  <c r="L118" i="1" s="1"/>
  <c r="L146" i="1" s="1"/>
  <c r="F127" i="2" s="1"/>
  <c r="H127" i="2" s="1"/>
  <c r="H101" i="1" l="1"/>
  <c r="AB40" i="1"/>
  <c r="E47" i="7"/>
  <c r="O103" i="1" l="1"/>
  <c r="AK101" i="1"/>
  <c r="AL101" i="1" s="1"/>
  <c r="AB45" i="1"/>
  <c r="AK40" i="1"/>
  <c r="AL40" i="1" s="1"/>
  <c r="H20" i="1"/>
  <c r="O232" i="1"/>
  <c r="AF288" i="1"/>
  <c r="AK288" i="1" s="1"/>
  <c r="AL288" i="1" s="1"/>
  <c r="AK232" i="1" l="1"/>
  <c r="AL232" i="1" s="1"/>
  <c r="O234" i="1"/>
  <c r="AK234" i="1" s="1"/>
  <c r="AL234" i="1" s="1"/>
  <c r="AK103" i="1"/>
  <c r="AL103" i="1" s="1"/>
  <c r="W254" i="1"/>
  <c r="Y254" i="1"/>
  <c r="V254" i="1"/>
  <c r="X254" i="1"/>
  <c r="O237" i="1"/>
  <c r="AK237" i="1" s="1"/>
  <c r="AL237" i="1" s="1"/>
  <c r="AK20" i="1"/>
  <c r="AL20" i="1" s="1"/>
  <c r="F278" i="1"/>
  <c r="AB47" i="1"/>
  <c r="AK254" i="1" l="1"/>
  <c r="AL254" i="1" s="1"/>
  <c r="O241" i="1"/>
  <c r="AK241" i="1" s="1"/>
  <c r="AL241" i="1" s="1"/>
  <c r="O233" i="1"/>
  <c r="O245" i="1"/>
  <c r="AK245" i="1" s="1"/>
  <c r="AL245" i="1" s="1"/>
  <c r="H395" i="1" l="1"/>
  <c r="AK395" i="1" s="1"/>
  <c r="AL395" i="1" s="1"/>
  <c r="AK233" i="1"/>
  <c r="AL233" i="1" s="1"/>
  <c r="O238" i="1"/>
  <c r="AK238" i="1" s="1"/>
  <c r="AL238" i="1" s="1"/>
  <c r="AH301" i="1" l="1"/>
  <c r="AK301" i="1" s="1"/>
  <c r="AL301" i="1" s="1"/>
  <c r="AH303" i="1"/>
  <c r="AK303" i="1" s="1"/>
  <c r="AL303" i="1" s="1"/>
  <c r="AH302" i="1"/>
  <c r="AK302" i="1" s="1"/>
  <c r="AL302" i="1" s="1"/>
  <c r="AH299" i="1"/>
  <c r="AK299" i="1" s="1"/>
  <c r="AL299" i="1" s="1"/>
  <c r="AH297" i="1"/>
  <c r="AK297" i="1" s="1"/>
  <c r="AL297" i="1" s="1"/>
  <c r="K341" i="1" l="1"/>
  <c r="K375" i="1"/>
  <c r="AK375" i="1" s="1"/>
  <c r="AL375" i="1" s="1"/>
  <c r="K354" i="1"/>
  <c r="AK354" i="1" s="1"/>
  <c r="AL354" i="1" s="1"/>
  <c r="AH304" i="1"/>
  <c r="AK304" i="1" s="1"/>
  <c r="AL304" i="1" s="1"/>
  <c r="F109" i="1"/>
  <c r="AF291" i="1"/>
  <c r="AK291" i="1" s="1"/>
  <c r="AL291" i="1" s="1"/>
  <c r="F77" i="1"/>
  <c r="F94" i="1" s="1"/>
  <c r="H71" i="1"/>
  <c r="AK71" i="1" s="1"/>
  <c r="AL71" i="1" s="1"/>
  <c r="AF290" i="1"/>
  <c r="AK290" i="1" s="1"/>
  <c r="AL290" i="1" s="1"/>
  <c r="K352" i="1"/>
  <c r="H343" i="1" l="1"/>
  <c r="H133" i="1"/>
  <c r="K578" i="1"/>
  <c r="AK341" i="1"/>
  <c r="AL341" i="1" s="1"/>
  <c r="AK352" i="1"/>
  <c r="AL352" i="1" s="1"/>
  <c r="AH296" i="1"/>
  <c r="F307" i="1"/>
  <c r="I133" i="1"/>
  <c r="I140" i="1" s="1"/>
  <c r="I142" i="1" s="1"/>
  <c r="I146" i="1" s="1"/>
  <c r="F124" i="2" s="1"/>
  <c r="H124" i="2" s="1"/>
  <c r="H155" i="1" l="1"/>
  <c r="K155" i="1" s="1"/>
  <c r="AK155" i="1" s="1"/>
  <c r="AL155" i="1" s="1"/>
  <c r="AK343" i="1"/>
  <c r="AL343" i="1" s="1"/>
  <c r="K353" i="1"/>
  <c r="K385" i="1"/>
  <c r="AK133" i="1"/>
  <c r="AL133" i="1" s="1"/>
  <c r="AH307" i="1"/>
  <c r="AK296" i="1"/>
  <c r="AL296" i="1" s="1"/>
  <c r="T35" i="1"/>
  <c r="K390" i="1" l="1"/>
  <c r="K400" i="1" s="1"/>
  <c r="AK385" i="1"/>
  <c r="AL385" i="1" s="1"/>
  <c r="AK353" i="1"/>
  <c r="AL353" i="1" s="1"/>
  <c r="K580" i="1"/>
  <c r="Y36" i="1"/>
  <c r="Y271" i="1" s="1"/>
  <c r="V36" i="1"/>
  <c r="V253" i="1" s="1"/>
  <c r="W36" i="1"/>
  <c r="W431" i="1" s="1"/>
  <c r="X36" i="1"/>
  <c r="X253" i="1" s="1"/>
  <c r="O126" i="1"/>
  <c r="AK126" i="1" s="1"/>
  <c r="F130" i="1"/>
  <c r="T45" i="1"/>
  <c r="T430" i="1"/>
  <c r="AK430" i="1" s="1"/>
  <c r="AL430" i="1" s="1"/>
  <c r="T269" i="1"/>
  <c r="T429" i="1"/>
  <c r="T252" i="1"/>
  <c r="AK252" i="1" s="1"/>
  <c r="AL252" i="1" s="1"/>
  <c r="T270" i="1"/>
  <c r="AK270" i="1" s="1"/>
  <c r="AL270" i="1" s="1"/>
  <c r="T448" i="1"/>
  <c r="AK448" i="1" s="1"/>
  <c r="AL448" i="1" s="1"/>
  <c r="AK35" i="1"/>
  <c r="AL35" i="1" s="1"/>
  <c r="T447" i="1"/>
  <c r="AK447" i="1" s="1"/>
  <c r="AL447" i="1" s="1"/>
  <c r="AK307" i="1"/>
  <c r="AL307" i="1" s="1"/>
  <c r="AH309" i="1"/>
  <c r="V449" i="1" l="1"/>
  <c r="V431" i="1"/>
  <c r="W587" i="1"/>
  <c r="V587" i="1"/>
  <c r="AK36" i="1"/>
  <c r="AL36" i="1" s="1"/>
  <c r="W449" i="1"/>
  <c r="W253" i="1"/>
  <c r="W45" i="1"/>
  <c r="W271" i="1"/>
  <c r="Y449" i="1"/>
  <c r="V45" i="1"/>
  <c r="V271" i="1"/>
  <c r="Y431" i="1"/>
  <c r="Y45" i="1"/>
  <c r="X45" i="1"/>
  <c r="X271" i="1"/>
  <c r="Y587" i="1"/>
  <c r="X587" i="1"/>
  <c r="X431" i="1"/>
  <c r="Y253" i="1"/>
  <c r="X449" i="1"/>
  <c r="AL126" i="1"/>
  <c r="T47" i="1"/>
  <c r="O135" i="1"/>
  <c r="AK135" i="1" s="1"/>
  <c r="AL135" i="1" s="1"/>
  <c r="AK429" i="1"/>
  <c r="AL429" i="1" s="1"/>
  <c r="Y47" i="1" l="1"/>
  <c r="W47" i="1"/>
  <c r="X47" i="1"/>
  <c r="V47" i="1"/>
  <c r="AK253" i="1"/>
  <c r="AL253" i="1" s="1"/>
  <c r="AK449" i="1"/>
  <c r="AL449" i="1" s="1"/>
  <c r="AK431" i="1"/>
  <c r="AL431" i="1" s="1"/>
  <c r="AK271" i="1"/>
  <c r="AL271" i="1" s="1"/>
  <c r="AK587" i="1"/>
  <c r="AL587" i="1" s="1"/>
  <c r="F390" i="1"/>
  <c r="I609" i="1" s="1"/>
  <c r="H384" i="1"/>
  <c r="AK384" i="1" s="1"/>
  <c r="AL384" i="1" s="1"/>
  <c r="K197" i="1"/>
  <c r="K203" i="1" s="1"/>
  <c r="K213" i="1" s="1"/>
  <c r="AJ609" i="1" l="1"/>
  <c r="AB609" i="1"/>
  <c r="AC609" i="1"/>
  <c r="X609" i="1"/>
  <c r="AH609" i="1"/>
  <c r="W609" i="1"/>
  <c r="Y609" i="1"/>
  <c r="AA609" i="1"/>
  <c r="K609" i="1"/>
  <c r="Z609" i="1"/>
  <c r="AD609" i="1"/>
  <c r="U609" i="1"/>
  <c r="Q609" i="1"/>
  <c r="J609" i="1"/>
  <c r="L609" i="1"/>
  <c r="AF609" i="1"/>
  <c r="O609" i="1"/>
  <c r="H390" i="1"/>
  <c r="H609" i="1" s="1"/>
  <c r="P609" i="1"/>
  <c r="T609" i="1"/>
  <c r="S609" i="1"/>
  <c r="M609" i="1"/>
  <c r="V609" i="1"/>
  <c r="H197" i="1" l="1"/>
  <c r="H203" i="1" s="1"/>
  <c r="AK609" i="1"/>
  <c r="AL609" i="1" s="1"/>
  <c r="AK390" i="1"/>
  <c r="AL390" i="1" s="1"/>
  <c r="F578" i="1"/>
  <c r="H344" i="1"/>
  <c r="H578" i="1" s="1"/>
  <c r="F347" i="1"/>
  <c r="AC605" i="1" s="1"/>
  <c r="K340" i="1"/>
  <c r="K347" i="1" s="1"/>
  <c r="K152" i="1" s="1"/>
  <c r="K160" i="1" s="1"/>
  <c r="F580" i="1"/>
  <c r="K350" i="1" s="1"/>
  <c r="K356" i="1" s="1"/>
  <c r="H351" i="1"/>
  <c r="F356" i="1"/>
  <c r="U605" i="1" l="1"/>
  <c r="W605" i="1"/>
  <c r="S605" i="1"/>
  <c r="I605" i="1"/>
  <c r="AA605" i="1"/>
  <c r="M605" i="1"/>
  <c r="J605" i="1"/>
  <c r="O605" i="1"/>
  <c r="Q605" i="1"/>
  <c r="AD605" i="1"/>
  <c r="L605" i="1"/>
  <c r="AB605" i="1"/>
  <c r="AF605" i="1"/>
  <c r="Z605" i="1"/>
  <c r="Y605" i="1"/>
  <c r="P605" i="1"/>
  <c r="AJ605" i="1"/>
  <c r="X605" i="1"/>
  <c r="V605" i="1"/>
  <c r="AH605" i="1"/>
  <c r="T605" i="1"/>
  <c r="AK197" i="1"/>
  <c r="AL197" i="1" s="1"/>
  <c r="AK344" i="1"/>
  <c r="AL344" i="1" s="1"/>
  <c r="F140" i="1"/>
  <c r="F142" i="1" s="1"/>
  <c r="K605" i="1"/>
  <c r="Y143" i="1"/>
  <c r="W143" i="1"/>
  <c r="X143" i="1"/>
  <c r="V143" i="1"/>
  <c r="Y606" i="1"/>
  <c r="U606" i="1"/>
  <c r="O606" i="1"/>
  <c r="AF606" i="1"/>
  <c r="Z606" i="1"/>
  <c r="X606" i="1"/>
  <c r="AA606" i="1"/>
  <c r="W606" i="1"/>
  <c r="AH606" i="1"/>
  <c r="AB606" i="1"/>
  <c r="S606" i="1"/>
  <c r="AC606" i="1"/>
  <c r="AJ606" i="1"/>
  <c r="AD606" i="1"/>
  <c r="T606" i="1"/>
  <c r="V606" i="1"/>
  <c r="P606" i="1"/>
  <c r="Q606" i="1"/>
  <c r="J606" i="1"/>
  <c r="L606" i="1"/>
  <c r="M606" i="1"/>
  <c r="I606" i="1"/>
  <c r="K606" i="1"/>
  <c r="K163" i="1"/>
  <c r="K169" i="1" s="1"/>
  <c r="K171" i="1" s="1"/>
  <c r="K358" i="1"/>
  <c r="H213" i="1"/>
  <c r="AK213" i="1" s="1"/>
  <c r="AL213" i="1" s="1"/>
  <c r="AK203" i="1"/>
  <c r="AL203" i="1" s="1"/>
  <c r="H580" i="1"/>
  <c r="AK351" i="1"/>
  <c r="AL351" i="1" s="1"/>
  <c r="F358" i="1"/>
  <c r="H340" i="1"/>
  <c r="AK578" i="1"/>
  <c r="AL578" i="1" s="1"/>
  <c r="AK143" i="1" l="1"/>
  <c r="AL143" i="1" s="1"/>
  <c r="H350" i="1"/>
  <c r="AK580" i="1"/>
  <c r="AL580" i="1" s="1"/>
  <c r="H347" i="1"/>
  <c r="AK340" i="1"/>
  <c r="AL340" i="1" s="1"/>
  <c r="H223" i="1" l="1"/>
  <c r="AK223" i="1" s="1"/>
  <c r="AL223" i="1" s="1"/>
  <c r="K374" i="1"/>
  <c r="H605" i="1"/>
  <c r="AK605" i="1" s="1"/>
  <c r="AL605" i="1" s="1"/>
  <c r="H152" i="1"/>
  <c r="AK347" i="1"/>
  <c r="AL347" i="1" s="1"/>
  <c r="H356" i="1"/>
  <c r="H358" i="1" s="1"/>
  <c r="AK358" i="1" s="1"/>
  <c r="AL358" i="1" s="1"/>
  <c r="AK350" i="1"/>
  <c r="AL350" i="1" s="1"/>
  <c r="K582" i="1" l="1"/>
  <c r="AK374" i="1"/>
  <c r="AL374" i="1" s="1"/>
  <c r="H163" i="1"/>
  <c r="H606" i="1"/>
  <c r="AK606" i="1" s="1"/>
  <c r="AL606" i="1" s="1"/>
  <c r="AK356" i="1"/>
  <c r="AL356" i="1" s="1"/>
  <c r="H160" i="1"/>
  <c r="AK152" i="1"/>
  <c r="AK160" i="1" l="1"/>
  <c r="AL160" i="1" s="1"/>
  <c r="AL152" i="1"/>
  <c r="H169" i="1"/>
  <c r="AK169" i="1" s="1"/>
  <c r="AL169" i="1" s="1"/>
  <c r="AK163" i="1"/>
  <c r="AL163" i="1" s="1"/>
  <c r="H171" i="1" l="1"/>
  <c r="AK171" i="1" s="1"/>
  <c r="AL171" i="1" s="1"/>
  <c r="H394" i="1" l="1"/>
  <c r="AK394" i="1" s="1"/>
  <c r="AL394" i="1" s="1"/>
  <c r="AD42" i="1"/>
  <c r="AD433" i="1" l="1"/>
  <c r="AK42" i="1"/>
  <c r="AL42" i="1" s="1"/>
  <c r="AD258" i="1"/>
  <c r="AK258" i="1" s="1"/>
  <c r="AL258" i="1" s="1"/>
  <c r="AD436" i="1"/>
  <c r="AK436" i="1" s="1"/>
  <c r="AL436" i="1" s="1"/>
  <c r="AC41" i="1"/>
  <c r="G51" i="6"/>
  <c r="G70" i="6" s="1"/>
  <c r="AC256" i="1" l="1"/>
  <c r="AK256" i="1" s="1"/>
  <c r="AL256" i="1" s="1"/>
  <c r="AK41" i="1"/>
  <c r="AL41" i="1" s="1"/>
  <c r="AC453" i="1"/>
  <c r="AK453" i="1" s="1"/>
  <c r="AL453" i="1" s="1"/>
  <c r="AC434" i="1"/>
  <c r="AC45" i="1"/>
  <c r="AC275" i="1"/>
  <c r="AK275" i="1" s="1"/>
  <c r="AL275" i="1" s="1"/>
  <c r="O235" i="1"/>
  <c r="AK433" i="1"/>
  <c r="AL433" i="1" s="1"/>
  <c r="H222" i="1" l="1"/>
  <c r="AK235" i="1"/>
  <c r="AL235" i="1" s="1"/>
  <c r="AC47" i="1"/>
  <c r="AK434" i="1"/>
  <c r="AL434" i="1" s="1"/>
  <c r="F225" i="1" l="1"/>
  <c r="F227" i="1" s="1"/>
  <c r="AK222" i="1"/>
  <c r="AL222" i="1" s="1"/>
  <c r="H225" i="1"/>
  <c r="AK225" i="1" s="1"/>
  <c r="AL225" i="1" l="1"/>
  <c r="H373" i="1"/>
  <c r="H582" i="1" s="1"/>
  <c r="F582" i="1"/>
  <c r="K371" i="1" s="1"/>
  <c r="K377" i="1" s="1"/>
  <c r="K379" i="1" s="1"/>
  <c r="K402" i="1" s="1"/>
  <c r="K462" i="1" s="1"/>
  <c r="K487" i="1" s="1"/>
  <c r="F377" i="1"/>
  <c r="AC608" i="1" s="1"/>
  <c r="AH608" i="1" l="1"/>
  <c r="Q608" i="1"/>
  <c r="Z608" i="1"/>
  <c r="J608" i="1"/>
  <c r="AJ608" i="1"/>
  <c r="AA608" i="1"/>
  <c r="S608" i="1"/>
  <c r="O608" i="1"/>
  <c r="U608" i="1"/>
  <c r="L608" i="1"/>
  <c r="I608" i="1"/>
  <c r="AB608" i="1"/>
  <c r="X608" i="1"/>
  <c r="AD608" i="1"/>
  <c r="M608" i="1"/>
  <c r="P608" i="1"/>
  <c r="T608" i="1"/>
  <c r="W608" i="1"/>
  <c r="AF608" i="1"/>
  <c r="Y608" i="1"/>
  <c r="V608" i="1"/>
  <c r="K608" i="1"/>
  <c r="K184" i="1"/>
  <c r="K190" i="1" s="1"/>
  <c r="K192" i="1" s="1"/>
  <c r="K215" i="1" s="1"/>
  <c r="K227" i="1" s="1"/>
  <c r="K284" i="1" s="1"/>
  <c r="K309" i="1" s="1"/>
  <c r="AK373" i="1"/>
  <c r="AL373" i="1" s="1"/>
  <c r="H371" i="1"/>
  <c r="AK582" i="1"/>
  <c r="AL582" i="1" s="1"/>
  <c r="O236" i="1" l="1"/>
  <c r="H377" i="1"/>
  <c r="AK371" i="1"/>
  <c r="AL371" i="1" s="1"/>
  <c r="F26" i="1" l="1"/>
  <c r="AK236" i="1"/>
  <c r="AL236" i="1" s="1"/>
  <c r="O239" i="1"/>
  <c r="AK239" i="1" s="1"/>
  <c r="AL239" i="1" s="1"/>
  <c r="H608" i="1"/>
  <c r="AK608" i="1" s="1"/>
  <c r="AL608" i="1" s="1"/>
  <c r="H184" i="1"/>
  <c r="AK377" i="1"/>
  <c r="AL377" i="1" s="1"/>
  <c r="H24" i="1"/>
  <c r="U615" i="1" l="1"/>
  <c r="AF615" i="1"/>
  <c r="Q615" i="1"/>
  <c r="AA615" i="1"/>
  <c r="L615" i="1"/>
  <c r="AC615" i="1"/>
  <c r="Y615" i="1"/>
  <c r="V615" i="1"/>
  <c r="J615" i="1"/>
  <c r="AJ615" i="1"/>
  <c r="X615" i="1"/>
  <c r="M615" i="1"/>
  <c r="S615" i="1"/>
  <c r="W615" i="1"/>
  <c r="Z615" i="1"/>
  <c r="O615" i="1"/>
  <c r="P615" i="1"/>
  <c r="AD615" i="1"/>
  <c r="K615" i="1"/>
  <c r="T615" i="1"/>
  <c r="AH615" i="1"/>
  <c r="AB615" i="1"/>
  <c r="I615" i="1"/>
  <c r="AK24" i="1"/>
  <c r="AL24" i="1" s="1"/>
  <c r="H26" i="1"/>
  <c r="H60" i="1" s="1"/>
  <c r="AK60" i="1" s="1"/>
  <c r="AL60" i="1" s="1"/>
  <c r="H190" i="1"/>
  <c r="AK184" i="1"/>
  <c r="AL184" i="1" s="1"/>
  <c r="T251" i="1" l="1"/>
  <c r="AK251" i="1" s="1"/>
  <c r="AL251" i="1" s="1"/>
  <c r="AK190" i="1"/>
  <c r="AL190" i="1" s="1"/>
  <c r="F263" i="1"/>
  <c r="H518" i="1"/>
  <c r="AK518" i="1" s="1"/>
  <c r="AL518" i="1" s="1"/>
  <c r="H517" i="1"/>
  <c r="AK517" i="1" s="1"/>
  <c r="AL517" i="1" s="1"/>
  <c r="H47" i="1"/>
  <c r="H615" i="1"/>
  <c r="AK615" i="1" s="1"/>
  <c r="AL615" i="1" s="1"/>
  <c r="H529" i="1"/>
  <c r="H516" i="1"/>
  <c r="AK516" i="1" s="1"/>
  <c r="AL516" i="1" s="1"/>
  <c r="AK26" i="1"/>
  <c r="AL26" i="1" s="1"/>
  <c r="H533" i="1" l="1"/>
  <c r="AK529" i="1"/>
  <c r="AL529" i="1" s="1"/>
  <c r="F280" i="1"/>
  <c r="F351" i="2" l="1"/>
  <c r="H351" i="2" s="1"/>
  <c r="H357" i="2" s="1"/>
  <c r="F357" i="2" l="1"/>
  <c r="AF289" i="1"/>
  <c r="AK289" i="1" s="1"/>
  <c r="AL289" i="1" s="1"/>
  <c r="O240" i="1"/>
  <c r="AD43" i="1"/>
  <c r="AK240" i="1" l="1"/>
  <c r="AL240" i="1" s="1"/>
  <c r="O247" i="1"/>
  <c r="F247" i="1"/>
  <c r="AD274" i="1"/>
  <c r="AK274" i="1" s="1"/>
  <c r="AL274" i="1" s="1"/>
  <c r="AD452" i="1"/>
  <c r="AK452" i="1" s="1"/>
  <c r="AL452" i="1" s="1"/>
  <c r="AK43" i="1"/>
  <c r="AL43" i="1" s="1"/>
  <c r="AD255" i="1"/>
  <c r="AK255" i="1" s="1"/>
  <c r="AL255" i="1" s="1"/>
  <c r="AD45" i="1"/>
  <c r="O284" i="1" l="1"/>
  <c r="O309" i="1" s="1"/>
  <c r="O282" i="1"/>
  <c r="AK247" i="1"/>
  <c r="AL247" i="1" s="1"/>
  <c r="F331" i="1"/>
  <c r="AD47" i="1"/>
  <c r="F284" i="1"/>
  <c r="F282" i="1"/>
  <c r="F398" i="1" l="1"/>
  <c r="F400" i="1" s="1"/>
  <c r="H393" i="1"/>
  <c r="AK393" i="1" s="1"/>
  <c r="AL393" i="1" s="1"/>
  <c r="F45" i="1"/>
  <c r="AB61" i="1" l="1"/>
  <c r="T61" i="1"/>
  <c r="Y61" i="1"/>
  <c r="X61" i="1"/>
  <c r="W61" i="1"/>
  <c r="V61" i="1"/>
  <c r="AC61" i="1"/>
  <c r="AD61" i="1"/>
  <c r="H398" i="1"/>
  <c r="AK398" i="1" s="1"/>
  <c r="AL398" i="1" s="1"/>
  <c r="AB105" i="1"/>
  <c r="AB127" i="1"/>
  <c r="AB261" i="1"/>
  <c r="AB438" i="1"/>
  <c r="AB437" i="1"/>
  <c r="AB260" i="1"/>
  <c r="AB137" i="1"/>
  <c r="AB531" i="1"/>
  <c r="AB533" i="1" s="1"/>
  <c r="F385" i="2" s="1"/>
  <c r="H385" i="2" s="1"/>
  <c r="AB64" i="1"/>
  <c r="AB522" i="1"/>
  <c r="AB73" i="1"/>
  <c r="AB458" i="1"/>
  <c r="AB460" i="1" s="1"/>
  <c r="AB462" i="1" s="1"/>
  <c r="AB487" i="1" s="1"/>
  <c r="AB136" i="1"/>
  <c r="AB276" i="1"/>
  <c r="AB454" i="1"/>
  <c r="AB584" i="1" s="1"/>
  <c r="AB446" i="1" s="1"/>
  <c r="AB456" i="1" s="1"/>
  <c r="AB259" i="1"/>
  <c r="S599" i="1"/>
  <c r="AJ599" i="1"/>
  <c r="O599" i="1"/>
  <c r="H599" i="1"/>
  <c r="K599" i="1"/>
  <c r="L599" i="1"/>
  <c r="AF599" i="1"/>
  <c r="Q599" i="1"/>
  <c r="P599" i="1"/>
  <c r="U599" i="1"/>
  <c r="AB599" i="1"/>
  <c r="I599" i="1"/>
  <c r="M599" i="1"/>
  <c r="J599" i="1"/>
  <c r="AH599" i="1"/>
  <c r="Y127" i="1"/>
  <c r="Y137" i="1"/>
  <c r="Y522" i="1"/>
  <c r="Y136" i="1"/>
  <c r="V136" i="1"/>
  <c r="V259" i="1"/>
  <c r="V105" i="1"/>
  <c r="V260" i="1"/>
  <c r="X458" i="1"/>
  <c r="X460" i="1" s="1"/>
  <c r="X462" i="1" s="1"/>
  <c r="X487" i="1" s="1"/>
  <c r="X136" i="1"/>
  <c r="X599" i="1"/>
  <c r="X261" i="1"/>
  <c r="X531" i="1"/>
  <c r="X533" i="1" s="1"/>
  <c r="F375" i="2" s="1"/>
  <c r="H375" i="2" s="1"/>
  <c r="T127" i="1"/>
  <c r="T261" i="1"/>
  <c r="T105" i="1"/>
  <c r="T454" i="1"/>
  <c r="T458" i="1"/>
  <c r="Y531" i="1"/>
  <c r="Y533" i="1" s="1"/>
  <c r="F376" i="2" s="1"/>
  <c r="H376" i="2" s="1"/>
  <c r="Y454" i="1"/>
  <c r="Y584" i="1" s="1"/>
  <c r="Y446" i="1" s="1"/>
  <c r="Y456" i="1" s="1"/>
  <c r="Y73" i="1"/>
  <c r="Y261" i="1"/>
  <c r="Y599" i="1"/>
  <c r="V438" i="1"/>
  <c r="V437" i="1"/>
  <c r="V127" i="1"/>
  <c r="V64" i="1"/>
  <c r="X137" i="1"/>
  <c r="X522" i="1"/>
  <c r="X437" i="1"/>
  <c r="T276" i="1"/>
  <c r="T137" i="1"/>
  <c r="T136" i="1"/>
  <c r="T64" i="1"/>
  <c r="T531" i="1"/>
  <c r="W531" i="1"/>
  <c r="W533" i="1" s="1"/>
  <c r="F374" i="2" s="1"/>
  <c r="H374" i="2" s="1"/>
  <c r="W105" i="1"/>
  <c r="W261" i="1"/>
  <c r="W127" i="1"/>
  <c r="W438" i="1"/>
  <c r="W259" i="1"/>
  <c r="W136" i="1"/>
  <c r="W437" i="1"/>
  <c r="Y259" i="1"/>
  <c r="Y437" i="1"/>
  <c r="Y438" i="1"/>
  <c r="Y105" i="1"/>
  <c r="Y458" i="1"/>
  <c r="Y460" i="1" s="1"/>
  <c r="Y462" i="1" s="1"/>
  <c r="Y487" i="1" s="1"/>
  <c r="V522" i="1"/>
  <c r="V73" i="1"/>
  <c r="V261" i="1"/>
  <c r="V454" i="1"/>
  <c r="V584" i="1" s="1"/>
  <c r="V446" i="1" s="1"/>
  <c r="V456" i="1" s="1"/>
  <c r="X276" i="1"/>
  <c r="X438" i="1"/>
  <c r="X73" i="1"/>
  <c r="X127" i="1"/>
  <c r="T260" i="1"/>
  <c r="T522" i="1"/>
  <c r="T259" i="1"/>
  <c r="T599" i="1"/>
  <c r="W137" i="1"/>
  <c r="W276" i="1"/>
  <c r="W454" i="1"/>
  <c r="W584" i="1" s="1"/>
  <c r="W446" i="1" s="1"/>
  <c r="W456" i="1" s="1"/>
  <c r="W522" i="1"/>
  <c r="W458" i="1"/>
  <c r="W460" i="1" s="1"/>
  <c r="W462" i="1" s="1"/>
  <c r="W487" i="1" s="1"/>
  <c r="W260" i="1"/>
  <c r="W599" i="1"/>
  <c r="W64" i="1"/>
  <c r="W73" i="1"/>
  <c r="Y260" i="1"/>
  <c r="Y276" i="1"/>
  <c r="Y64" i="1"/>
  <c r="V276" i="1"/>
  <c r="V458" i="1"/>
  <c r="V460" i="1" s="1"/>
  <c r="V462" i="1" s="1"/>
  <c r="V487" i="1" s="1"/>
  <c r="V531" i="1"/>
  <c r="V533" i="1" s="1"/>
  <c r="F373" i="2" s="1"/>
  <c r="H373" i="2" s="1"/>
  <c r="V137" i="1"/>
  <c r="V599" i="1"/>
  <c r="X259" i="1"/>
  <c r="X454" i="1"/>
  <c r="X584" i="1" s="1"/>
  <c r="X446" i="1" s="1"/>
  <c r="X456" i="1" s="1"/>
  <c r="X260" i="1"/>
  <c r="X105" i="1"/>
  <c r="X64" i="1"/>
  <c r="T438" i="1"/>
  <c r="T73" i="1"/>
  <c r="T437" i="1"/>
  <c r="AC438" i="1"/>
  <c r="AC599" i="1"/>
  <c r="AC260" i="1"/>
  <c r="AC276" i="1"/>
  <c r="AC531" i="1"/>
  <c r="AC533" i="1" s="1"/>
  <c r="F388" i="2" s="1"/>
  <c r="H388" i="2" s="1"/>
  <c r="AC105" i="1"/>
  <c r="AC136" i="1"/>
  <c r="AC127" i="1"/>
  <c r="AC73" i="1"/>
  <c r="AC261" i="1"/>
  <c r="AC137" i="1"/>
  <c r="AC437" i="1"/>
  <c r="AC259" i="1"/>
  <c r="AC454" i="1"/>
  <c r="AC584" i="1" s="1"/>
  <c r="AC446" i="1" s="1"/>
  <c r="AC456" i="1" s="1"/>
  <c r="AC458" i="1"/>
  <c r="AC460" i="1" s="1"/>
  <c r="AC462" i="1" s="1"/>
  <c r="AC487" i="1" s="1"/>
  <c r="AC64" i="1"/>
  <c r="AC522" i="1"/>
  <c r="F47" i="1"/>
  <c r="AD137" i="1"/>
  <c r="AD73" i="1"/>
  <c r="AD438" i="1"/>
  <c r="AD136" i="1"/>
  <c r="AD531" i="1"/>
  <c r="AD533" i="1" s="1"/>
  <c r="F391" i="2" s="1"/>
  <c r="H391" i="2" s="1"/>
  <c r="AD260" i="1"/>
  <c r="AD261" i="1"/>
  <c r="AD64" i="1"/>
  <c r="AD599" i="1"/>
  <c r="AD437" i="1"/>
  <c r="AD454" i="1"/>
  <c r="AD584" i="1" s="1"/>
  <c r="AD446" i="1" s="1"/>
  <c r="AD456" i="1" s="1"/>
  <c r="AD259" i="1"/>
  <c r="AD127" i="1"/>
  <c r="AD522" i="1"/>
  <c r="AD105" i="1"/>
  <c r="AD276" i="1"/>
  <c r="AD458" i="1"/>
  <c r="AD460" i="1" s="1"/>
  <c r="AD462" i="1" s="1"/>
  <c r="AD487" i="1" s="1"/>
  <c r="Z39" i="1"/>
  <c r="Z45" i="1" s="1"/>
  <c r="Z61" i="1" s="1"/>
  <c r="AA39" i="1"/>
  <c r="AA45" i="1" s="1"/>
  <c r="AA61" i="1" s="1"/>
  <c r="H377" i="2" l="1"/>
  <c r="O62" i="1"/>
  <c r="H62" i="1"/>
  <c r="AK61" i="1"/>
  <c r="AL61" i="1" s="1"/>
  <c r="H400" i="1"/>
  <c r="AK400" i="1" s="1"/>
  <c r="AL400" i="1" s="1"/>
  <c r="AB583" i="1"/>
  <c r="AB428" i="1" s="1"/>
  <c r="AB440" i="1" s="1"/>
  <c r="AB611" i="1" s="1"/>
  <c r="AD583" i="1"/>
  <c r="AD428" i="1" s="1"/>
  <c r="AD440" i="1" s="1"/>
  <c r="AD611" i="1" s="1"/>
  <c r="AC583" i="1"/>
  <c r="AC428" i="1" s="1"/>
  <c r="AC440" i="1" s="1"/>
  <c r="AC611" i="1" s="1"/>
  <c r="AD268" i="1"/>
  <c r="AD278" i="1" s="1"/>
  <c r="AD612" i="1"/>
  <c r="AB612" i="1"/>
  <c r="AB268" i="1"/>
  <c r="AB278" i="1" s="1"/>
  <c r="Z47" i="1"/>
  <c r="Z276" i="1"/>
  <c r="Z105" i="1"/>
  <c r="Z454" i="1"/>
  <c r="Z584" i="1" s="1"/>
  <c r="Z446" i="1" s="1"/>
  <c r="Z456" i="1" s="1"/>
  <c r="Z261" i="1"/>
  <c r="Z458" i="1"/>
  <c r="Z460" i="1" s="1"/>
  <c r="Z462" i="1" s="1"/>
  <c r="Z487" i="1" s="1"/>
  <c r="Z137" i="1"/>
  <c r="Z64" i="1"/>
  <c r="Z73" i="1"/>
  <c r="Z136" i="1"/>
  <c r="Z522" i="1"/>
  <c r="Z259" i="1"/>
  <c r="Z438" i="1"/>
  <c r="Z437" i="1"/>
  <c r="Z260" i="1"/>
  <c r="Z127" i="1"/>
  <c r="Z531" i="1"/>
  <c r="Z533" i="1" s="1"/>
  <c r="F380" i="2" s="1"/>
  <c r="H380" i="2" s="1"/>
  <c r="Z599" i="1"/>
  <c r="AK45" i="1"/>
  <c r="AL45" i="1" s="1"/>
  <c r="X612" i="1"/>
  <c r="X268" i="1"/>
  <c r="X278" i="1" s="1"/>
  <c r="F377" i="2"/>
  <c r="W612" i="1"/>
  <c r="W268" i="1"/>
  <c r="W278" i="1" s="1"/>
  <c r="V612" i="1"/>
  <c r="V268" i="1"/>
  <c r="V278" i="1" s="1"/>
  <c r="Y583" i="1"/>
  <c r="Y428" i="1" s="1"/>
  <c r="Y440" i="1" s="1"/>
  <c r="X583" i="1"/>
  <c r="X428" i="1" s="1"/>
  <c r="X440" i="1" s="1"/>
  <c r="T460" i="1"/>
  <c r="V583" i="1"/>
  <c r="V428" i="1" s="1"/>
  <c r="V440" i="1" s="1"/>
  <c r="T584" i="1"/>
  <c r="O107" i="1"/>
  <c r="O138" i="1"/>
  <c r="O140" i="1" s="1"/>
  <c r="O8" i="1"/>
  <c r="O10" i="1"/>
  <c r="O106" i="1"/>
  <c r="O57" i="1"/>
  <c r="O74" i="1"/>
  <c r="O77" i="1" s="1"/>
  <c r="O94" i="1" s="1"/>
  <c r="O128" i="1"/>
  <c r="O130" i="1" s="1"/>
  <c r="O59" i="1"/>
  <c r="O9" i="1"/>
  <c r="AB106" i="1"/>
  <c r="AB9" i="1"/>
  <c r="AB8" i="1"/>
  <c r="AB74" i="1"/>
  <c r="AB77" i="1" s="1"/>
  <c r="AB94" i="1" s="1"/>
  <c r="AB59" i="1"/>
  <c r="AB57" i="1"/>
  <c r="AB138" i="1"/>
  <c r="AB140" i="1" s="1"/>
  <c r="AB107" i="1"/>
  <c r="AB128" i="1"/>
  <c r="AB130" i="1" s="1"/>
  <c r="AB10" i="1"/>
  <c r="V10" i="1"/>
  <c r="V74" i="1"/>
  <c r="V77" i="1" s="1"/>
  <c r="V94" i="1" s="1"/>
  <c r="W10" i="1"/>
  <c r="W128" i="1"/>
  <c r="W130" i="1" s="1"/>
  <c r="W138" i="1"/>
  <c r="W140" i="1" s="1"/>
  <c r="T128" i="1"/>
  <c r="T130" i="1" s="1"/>
  <c r="X138" i="1"/>
  <c r="X140" i="1" s="1"/>
  <c r="V59" i="1"/>
  <c r="V106" i="1"/>
  <c r="V107" i="1"/>
  <c r="W107" i="1"/>
  <c r="W106" i="1"/>
  <c r="W9" i="1"/>
  <c r="T10" i="1"/>
  <c r="T138" i="1"/>
  <c r="T140" i="1" s="1"/>
  <c r="X10" i="1"/>
  <c r="X57" i="1"/>
  <c r="Y10" i="1"/>
  <c r="Y128" i="1"/>
  <c r="Y130" i="1" s="1"/>
  <c r="Y74" i="1"/>
  <c r="Y77" i="1" s="1"/>
  <c r="Y94" i="1" s="1"/>
  <c r="T106" i="1"/>
  <c r="T57" i="1"/>
  <c r="T9" i="1"/>
  <c r="X107" i="1"/>
  <c r="X8" i="1"/>
  <c r="Y59" i="1"/>
  <c r="Y106" i="1"/>
  <c r="T8" i="1"/>
  <c r="Y57" i="1"/>
  <c r="V138" i="1"/>
  <c r="V140" i="1" s="1"/>
  <c r="V9" i="1"/>
  <c r="V128" i="1"/>
  <c r="V130" i="1" s="1"/>
  <c r="W59" i="1"/>
  <c r="W74" i="1"/>
  <c r="W77" i="1" s="1"/>
  <c r="W94" i="1" s="1"/>
  <c r="X106" i="1"/>
  <c r="Y138" i="1"/>
  <c r="Y140" i="1" s="1"/>
  <c r="X9" i="1"/>
  <c r="Y8" i="1"/>
  <c r="V8" i="1"/>
  <c r="V57" i="1"/>
  <c r="W8" i="1"/>
  <c r="W57" i="1"/>
  <c r="T59" i="1"/>
  <c r="T74" i="1"/>
  <c r="T77" i="1" s="1"/>
  <c r="T94" i="1" s="1"/>
  <c r="X74" i="1"/>
  <c r="X77" i="1" s="1"/>
  <c r="X94" i="1" s="1"/>
  <c r="X59" i="1"/>
  <c r="X128" i="1"/>
  <c r="X130" i="1" s="1"/>
  <c r="Y9" i="1"/>
  <c r="T107" i="1"/>
  <c r="Y107" i="1"/>
  <c r="AC74" i="1"/>
  <c r="AC77" i="1" s="1"/>
  <c r="AC94" i="1" s="1"/>
  <c r="AC10" i="1"/>
  <c r="AC138" i="1"/>
  <c r="AC140" i="1" s="1"/>
  <c r="AC57" i="1"/>
  <c r="AC128" i="1"/>
  <c r="AC130" i="1" s="1"/>
  <c r="AC106" i="1"/>
  <c r="AC107" i="1"/>
  <c r="AC8" i="1"/>
  <c r="AC9" i="1"/>
  <c r="AC59" i="1"/>
  <c r="O598" i="1"/>
  <c r="V598" i="1"/>
  <c r="U598" i="1"/>
  <c r="AJ598" i="1"/>
  <c r="Q598" i="1"/>
  <c r="X598" i="1"/>
  <c r="AC598" i="1"/>
  <c r="AF598" i="1"/>
  <c r="K598" i="1"/>
  <c r="J598" i="1"/>
  <c r="AB598" i="1"/>
  <c r="W598" i="1"/>
  <c r="S598" i="1"/>
  <c r="I598" i="1"/>
  <c r="T598" i="1"/>
  <c r="M598" i="1"/>
  <c r="AH598" i="1"/>
  <c r="L598" i="1"/>
  <c r="P598" i="1"/>
  <c r="Y598" i="1"/>
  <c r="H107" i="1"/>
  <c r="H57" i="1"/>
  <c r="H8" i="1"/>
  <c r="H138" i="1"/>
  <c r="H106" i="1"/>
  <c r="H59" i="1"/>
  <c r="H128" i="1"/>
  <c r="H10" i="1"/>
  <c r="H74" i="1"/>
  <c r="H9" i="1"/>
  <c r="H598" i="1"/>
  <c r="AD107" i="1"/>
  <c r="AD59" i="1"/>
  <c r="AD8" i="1"/>
  <c r="AD9" i="1"/>
  <c r="AD138" i="1"/>
  <c r="AD140" i="1" s="1"/>
  <c r="AD598" i="1"/>
  <c r="AD128" i="1"/>
  <c r="AD130" i="1" s="1"/>
  <c r="AD106" i="1"/>
  <c r="AD57" i="1"/>
  <c r="AD10" i="1"/>
  <c r="AD74" i="1"/>
  <c r="AD77" i="1" s="1"/>
  <c r="AD94" i="1" s="1"/>
  <c r="AC612" i="1"/>
  <c r="AC268" i="1"/>
  <c r="AC278" i="1" s="1"/>
  <c r="T583" i="1"/>
  <c r="W583" i="1"/>
  <c r="W428" i="1" s="1"/>
  <c r="W440" i="1" s="1"/>
  <c r="T533" i="1"/>
  <c r="Y268" i="1"/>
  <c r="Y278" i="1" s="1"/>
  <c r="Y612" i="1"/>
  <c r="H364" i="1"/>
  <c r="F581" i="1"/>
  <c r="F368" i="1"/>
  <c r="AA260" i="1"/>
  <c r="AA261" i="1"/>
  <c r="AA64" i="1"/>
  <c r="AA454" i="1"/>
  <c r="AA584" i="1" s="1"/>
  <c r="AA446" i="1" s="1"/>
  <c r="AA456" i="1" s="1"/>
  <c r="AA47" i="1"/>
  <c r="AA136" i="1"/>
  <c r="AA137" i="1"/>
  <c r="AA259" i="1"/>
  <c r="AA105" i="1"/>
  <c r="AA531" i="1"/>
  <c r="AA533" i="1" s="1"/>
  <c r="F381" i="2" s="1"/>
  <c r="H381" i="2" s="1"/>
  <c r="AA276" i="1"/>
  <c r="AA522" i="1"/>
  <c r="AA437" i="1"/>
  <c r="AA73" i="1"/>
  <c r="AA438" i="1"/>
  <c r="AA127" i="1"/>
  <c r="AA599" i="1"/>
  <c r="AA458" i="1"/>
  <c r="AA460" i="1" s="1"/>
  <c r="AA462" i="1" s="1"/>
  <c r="AA487" i="1" s="1"/>
  <c r="AK39" i="1"/>
  <c r="AL39" i="1" s="1"/>
  <c r="H382" i="2" l="1"/>
  <c r="AK522" i="1"/>
  <c r="AL522" i="1" s="1"/>
  <c r="AD250" i="1"/>
  <c r="AD263" i="1" s="1"/>
  <c r="AD280" i="1" s="1"/>
  <c r="AD282" i="1" s="1"/>
  <c r="AK127" i="1"/>
  <c r="AK259" i="1"/>
  <c r="AL259" i="1" s="1"/>
  <c r="AC250" i="1"/>
  <c r="AC263" i="1" s="1"/>
  <c r="AK137" i="1"/>
  <c r="AL137" i="1" s="1"/>
  <c r="AK276" i="1"/>
  <c r="AL276" i="1" s="1"/>
  <c r="AB250" i="1"/>
  <c r="AB263" i="1" s="1"/>
  <c r="AB280" i="1" s="1"/>
  <c r="AB284" i="1" s="1"/>
  <c r="AB309" i="1" s="1"/>
  <c r="AK136" i="1"/>
  <c r="AL136" i="1" s="1"/>
  <c r="AK599" i="1"/>
  <c r="AL599" i="1" s="1"/>
  <c r="AK437" i="1"/>
  <c r="AL437" i="1" s="1"/>
  <c r="AD109" i="1"/>
  <c r="X109" i="1"/>
  <c r="AB109" i="1"/>
  <c r="AK438" i="1"/>
  <c r="AL438" i="1" s="1"/>
  <c r="T109" i="1"/>
  <c r="W12" i="1"/>
  <c r="W524" i="1" s="1"/>
  <c r="O109" i="1"/>
  <c r="AK64" i="1"/>
  <c r="AL64" i="1" s="1"/>
  <c r="O142" i="1"/>
  <c r="AK260" i="1"/>
  <c r="AL260" i="1" s="1"/>
  <c r="AD12" i="1"/>
  <c r="AD616" i="1" s="1"/>
  <c r="V12" i="1"/>
  <c r="V616" i="1" s="1"/>
  <c r="T12" i="1"/>
  <c r="T616" i="1" s="1"/>
  <c r="V109" i="1"/>
  <c r="Z583" i="1"/>
  <c r="Z428" i="1" s="1"/>
  <c r="Z440" i="1" s="1"/>
  <c r="Z611" i="1" s="1"/>
  <c r="W109" i="1"/>
  <c r="AK261" i="1"/>
  <c r="AL261" i="1" s="1"/>
  <c r="X142" i="1"/>
  <c r="AC12" i="1"/>
  <c r="AC616" i="1" s="1"/>
  <c r="AB142" i="1"/>
  <c r="AD142" i="1"/>
  <c r="AC109" i="1"/>
  <c r="V142" i="1"/>
  <c r="AL127" i="1"/>
  <c r="AK531" i="1"/>
  <c r="AL531" i="1" s="1"/>
  <c r="T428" i="1"/>
  <c r="H130" i="1"/>
  <c r="AK458" i="1"/>
  <c r="AL458" i="1" s="1"/>
  <c r="W611" i="1"/>
  <c r="W250" i="1"/>
  <c r="W263" i="1" s="1"/>
  <c r="W280" i="1" s="1"/>
  <c r="H12" i="1"/>
  <c r="AC142" i="1"/>
  <c r="W329" i="1"/>
  <c r="W328" i="1"/>
  <c r="W504" i="1"/>
  <c r="W503" i="1"/>
  <c r="W523" i="1"/>
  <c r="W614" i="1"/>
  <c r="Y12" i="1"/>
  <c r="Y109" i="1"/>
  <c r="Y142" i="1"/>
  <c r="W142" i="1"/>
  <c r="O614" i="1"/>
  <c r="O504" i="1"/>
  <c r="O523" i="1"/>
  <c r="O329" i="1"/>
  <c r="O328" i="1"/>
  <c r="O503" i="1"/>
  <c r="O12" i="1"/>
  <c r="AK454" i="1"/>
  <c r="AL454" i="1" s="1"/>
  <c r="Y611" i="1"/>
  <c r="Y250" i="1"/>
  <c r="Y263" i="1" s="1"/>
  <c r="Y280" i="1" s="1"/>
  <c r="Z74" i="1"/>
  <c r="Z77" i="1" s="1"/>
  <c r="Z94" i="1" s="1"/>
  <c r="Z57" i="1"/>
  <c r="Z128" i="1"/>
  <c r="Z10" i="1"/>
  <c r="Z107" i="1"/>
  <c r="Z8" i="1"/>
  <c r="Z106" i="1"/>
  <c r="Z59" i="1"/>
  <c r="Z138" i="1"/>
  <c r="Z140" i="1" s="1"/>
  <c r="Z9" i="1"/>
  <c r="Z598" i="1"/>
  <c r="AK47" i="1"/>
  <c r="AL47" i="1" s="1"/>
  <c r="AA583" i="1"/>
  <c r="AA428" i="1" s="1"/>
  <c r="AA440" i="1" s="1"/>
  <c r="AA250" i="1" s="1"/>
  <c r="AA263" i="1" s="1"/>
  <c r="AD504" i="1"/>
  <c r="AD329" i="1"/>
  <c r="AD503" i="1"/>
  <c r="AD523" i="1"/>
  <c r="AD328" i="1"/>
  <c r="AD614" i="1"/>
  <c r="H77" i="1"/>
  <c r="H109" i="1"/>
  <c r="H504" i="1"/>
  <c r="H523" i="1"/>
  <c r="H328" i="1"/>
  <c r="H614" i="1"/>
  <c r="H503" i="1"/>
  <c r="H329" i="1"/>
  <c r="AC523" i="1"/>
  <c r="AC504" i="1"/>
  <c r="AC614" i="1"/>
  <c r="AC329" i="1"/>
  <c r="AC328" i="1"/>
  <c r="AC503" i="1"/>
  <c r="T329" i="1"/>
  <c r="T523" i="1"/>
  <c r="T614" i="1"/>
  <c r="T328" i="1"/>
  <c r="T503" i="1"/>
  <c r="T504" i="1"/>
  <c r="AB328" i="1"/>
  <c r="AB614" i="1"/>
  <c r="AB503" i="1"/>
  <c r="AB504" i="1"/>
  <c r="AB329" i="1"/>
  <c r="AB523" i="1"/>
  <c r="AB12" i="1"/>
  <c r="T446" i="1"/>
  <c r="AK584" i="1"/>
  <c r="AL584" i="1" s="1"/>
  <c r="X250" i="1"/>
  <c r="X263" i="1" s="1"/>
  <c r="X280" i="1" s="1"/>
  <c r="X611" i="1"/>
  <c r="Z268" i="1"/>
  <c r="Z278" i="1" s="1"/>
  <c r="Z612" i="1"/>
  <c r="AK105" i="1"/>
  <c r="AL105" i="1" s="1"/>
  <c r="F369" i="2"/>
  <c r="H369" i="2" s="1"/>
  <c r="H402" i="2" s="1"/>
  <c r="AK533" i="1"/>
  <c r="AL533" i="1" s="1"/>
  <c r="H140" i="1"/>
  <c r="V504" i="1"/>
  <c r="V328" i="1"/>
  <c r="V523" i="1"/>
  <c r="V329" i="1"/>
  <c r="V614" i="1"/>
  <c r="V503" i="1"/>
  <c r="Y503" i="1"/>
  <c r="Y329" i="1"/>
  <c r="Y328" i="1"/>
  <c r="Y504" i="1"/>
  <c r="Y523" i="1"/>
  <c r="Y614" i="1"/>
  <c r="X12" i="1"/>
  <c r="X329" i="1"/>
  <c r="X523" i="1"/>
  <c r="X504" i="1"/>
  <c r="X503" i="1"/>
  <c r="X614" i="1"/>
  <c r="X328" i="1"/>
  <c r="T142" i="1"/>
  <c r="V611" i="1"/>
  <c r="V250" i="1"/>
  <c r="V263" i="1" s="1"/>
  <c r="V280" i="1" s="1"/>
  <c r="T462" i="1"/>
  <c r="T487" i="1" s="1"/>
  <c r="AK460" i="1"/>
  <c r="AL460" i="1" s="1"/>
  <c r="AC280" i="1"/>
  <c r="AK73" i="1"/>
  <c r="AL73" i="1" s="1"/>
  <c r="F382" i="2"/>
  <c r="AA9" i="1"/>
  <c r="AA128" i="1"/>
  <c r="AA130" i="1" s="1"/>
  <c r="AA106" i="1"/>
  <c r="AA138" i="1"/>
  <c r="AA140" i="1" s="1"/>
  <c r="AA74" i="1"/>
  <c r="AA77" i="1" s="1"/>
  <c r="AA94" i="1" s="1"/>
  <c r="AA57" i="1"/>
  <c r="AA107" i="1"/>
  <c r="AA598" i="1"/>
  <c r="AA10" i="1"/>
  <c r="AA59" i="1"/>
  <c r="AA8" i="1"/>
  <c r="H581" i="1"/>
  <c r="AK364" i="1"/>
  <c r="AL364" i="1" s="1"/>
  <c r="AA268" i="1"/>
  <c r="AA278" i="1" s="1"/>
  <c r="AA612" i="1"/>
  <c r="AJ607" i="1"/>
  <c r="O607" i="1"/>
  <c r="T607" i="1"/>
  <c r="AB607" i="1"/>
  <c r="AF607" i="1"/>
  <c r="Q607" i="1"/>
  <c r="V607" i="1"/>
  <c r="P607" i="1"/>
  <c r="S607" i="1"/>
  <c r="L607" i="1"/>
  <c r="AA607" i="1"/>
  <c r="U607" i="1"/>
  <c r="K607" i="1"/>
  <c r="Z607" i="1"/>
  <c r="AD607" i="1"/>
  <c r="M607" i="1"/>
  <c r="AH607" i="1"/>
  <c r="AC607" i="1"/>
  <c r="X607" i="1"/>
  <c r="W607" i="1"/>
  <c r="F379" i="1"/>
  <c r="F402" i="1" s="1"/>
  <c r="F462" i="1" s="1"/>
  <c r="J607" i="1"/>
  <c r="I607" i="1"/>
  <c r="Y607" i="1"/>
  <c r="H732" i="2" l="1"/>
  <c r="H676" i="2"/>
  <c r="AK107" i="1"/>
  <c r="AL107" i="1" s="1"/>
  <c r="AD284" i="1"/>
  <c r="AD309" i="1" s="1"/>
  <c r="AK57" i="1"/>
  <c r="AL57" i="1" s="1"/>
  <c r="W616" i="1"/>
  <c r="V524" i="1"/>
  <c r="V526" i="1" s="1"/>
  <c r="T524" i="1"/>
  <c r="T526" i="1" s="1"/>
  <c r="AA611" i="1"/>
  <c r="Z109" i="1"/>
  <c r="AK9" i="1"/>
  <c r="AL9" i="1" s="1"/>
  <c r="F402" i="2"/>
  <c r="Z250" i="1"/>
  <c r="Z263" i="1" s="1"/>
  <c r="Z280" i="1" s="1"/>
  <c r="Z282" i="1" s="1"/>
  <c r="AB282" i="1"/>
  <c r="AD524" i="1"/>
  <c r="AD526" i="1" s="1"/>
  <c r="F334" i="2" s="1"/>
  <c r="H334" i="2" s="1"/>
  <c r="AC524" i="1"/>
  <c r="AC526" i="1" s="1"/>
  <c r="F331" i="2" s="1"/>
  <c r="F933" i="2" s="1"/>
  <c r="AK10" i="1"/>
  <c r="AL10" i="1" s="1"/>
  <c r="AA109" i="1"/>
  <c r="AK598" i="1"/>
  <c r="AL598" i="1" s="1"/>
  <c r="AK59" i="1"/>
  <c r="AL59" i="1" s="1"/>
  <c r="AK128" i="1"/>
  <c r="AL128" i="1" s="1"/>
  <c r="AK138" i="1"/>
  <c r="AL138" i="1" s="1"/>
  <c r="Z12" i="1"/>
  <c r="Z524" i="1" s="1"/>
  <c r="W526" i="1"/>
  <c r="AK106" i="1"/>
  <c r="AL106" i="1" s="1"/>
  <c r="Z130" i="1"/>
  <c r="Z142" i="1" s="1"/>
  <c r="H616" i="1"/>
  <c r="H66" i="1"/>
  <c r="H117" i="1" s="1"/>
  <c r="H524" i="1"/>
  <c r="H526" i="1" s="1"/>
  <c r="X616" i="1"/>
  <c r="X524" i="1"/>
  <c r="X526" i="1" s="1"/>
  <c r="T456" i="1"/>
  <c r="AK446" i="1"/>
  <c r="AL446" i="1" s="1"/>
  <c r="AK74" i="1"/>
  <c r="AL74" i="1" s="1"/>
  <c r="Z329" i="1"/>
  <c r="Z523" i="1"/>
  <c r="Z614" i="1"/>
  <c r="Z328" i="1"/>
  <c r="Z503" i="1"/>
  <c r="Z504" i="1"/>
  <c r="Y284" i="1"/>
  <c r="Y282" i="1"/>
  <c r="O524" i="1"/>
  <c r="O526" i="1" s="1"/>
  <c r="O616" i="1"/>
  <c r="O66" i="1"/>
  <c r="O117" i="1" s="1"/>
  <c r="H142" i="1"/>
  <c r="AK583" i="1"/>
  <c r="AL583" i="1" s="1"/>
  <c r="H94" i="1"/>
  <c r="AK94" i="1" s="1"/>
  <c r="AL94" i="1" s="1"/>
  <c r="AK77" i="1"/>
  <c r="AL77" i="1" s="1"/>
  <c r="AK428" i="1"/>
  <c r="AL428" i="1" s="1"/>
  <c r="T440" i="1"/>
  <c r="AA12" i="1"/>
  <c r="AC284" i="1"/>
  <c r="AC309" i="1" s="1"/>
  <c r="AC282" i="1"/>
  <c r="V284" i="1"/>
  <c r="V282" i="1"/>
  <c r="X282" i="1"/>
  <c r="X284" i="1"/>
  <c r="AB524" i="1"/>
  <c r="AB526" i="1" s="1"/>
  <c r="AB616" i="1"/>
  <c r="Y616" i="1"/>
  <c r="Y524" i="1"/>
  <c r="Y526" i="1" s="1"/>
  <c r="AK8" i="1"/>
  <c r="AL8" i="1" s="1"/>
  <c r="W282" i="1"/>
  <c r="W284" i="1"/>
  <c r="F508" i="1"/>
  <c r="F487" i="1"/>
  <c r="AA523" i="1"/>
  <c r="AA504" i="1"/>
  <c r="AA503" i="1"/>
  <c r="AA614" i="1"/>
  <c r="AA328" i="1"/>
  <c r="AA329" i="1"/>
  <c r="AA142" i="1"/>
  <c r="H361" i="1"/>
  <c r="AK581" i="1"/>
  <c r="AL581" i="1" s="1"/>
  <c r="AA280" i="1"/>
  <c r="AK109" i="1" l="1"/>
  <c r="AL109" i="1" s="1"/>
  <c r="F676" i="2"/>
  <c r="F732" i="2"/>
  <c r="AK12" i="1"/>
  <c r="AL12" i="1" s="1"/>
  <c r="AK328" i="1"/>
  <c r="AL328" i="1" s="1"/>
  <c r="AA524" i="1"/>
  <c r="AA526" i="1" s="1"/>
  <c r="AK503" i="1"/>
  <c r="AL503" i="1" s="1"/>
  <c r="Z284" i="1"/>
  <c r="Z309" i="1" s="1"/>
  <c r="AK504" i="1"/>
  <c r="AL504" i="1" s="1"/>
  <c r="AK140" i="1"/>
  <c r="AL140" i="1" s="1"/>
  <c r="AK130" i="1"/>
  <c r="AL130" i="1" s="1"/>
  <c r="Z616" i="1"/>
  <c r="AA616" i="1"/>
  <c r="AK614" i="1"/>
  <c r="AL614" i="1" s="1"/>
  <c r="Z526" i="1"/>
  <c r="F323" i="2" s="1"/>
  <c r="H323" i="2" s="1"/>
  <c r="AK523" i="1"/>
  <c r="AL523" i="1" s="1"/>
  <c r="AH321" i="1"/>
  <c r="AH494" i="1"/>
  <c r="AH502" i="1"/>
  <c r="AF326" i="1"/>
  <c r="AF319" i="1"/>
  <c r="AF501" i="1"/>
  <c r="AF494" i="1"/>
  <c r="AF324" i="1"/>
  <c r="O321" i="1"/>
  <c r="O494" i="1"/>
  <c r="O318" i="1"/>
  <c r="AF493" i="1"/>
  <c r="AF498" i="1"/>
  <c r="O327" i="1"/>
  <c r="AH326" i="1"/>
  <c r="AH499" i="1"/>
  <c r="AH327" i="1"/>
  <c r="AH319" i="1"/>
  <c r="AH498" i="1"/>
  <c r="AF496" i="1"/>
  <c r="AF323" i="1"/>
  <c r="AF318" i="1"/>
  <c r="O493" i="1"/>
  <c r="O499" i="1"/>
  <c r="O496" i="1"/>
  <c r="O501" i="1"/>
  <c r="O320" i="1"/>
  <c r="AF320" i="1"/>
  <c r="O326" i="1"/>
  <c r="AH323" i="1"/>
  <c r="AH324" i="1"/>
  <c r="AH493" i="1"/>
  <c r="AH318" i="1"/>
  <c r="AF321" i="1"/>
  <c r="O502" i="1"/>
  <c r="AH496" i="1"/>
  <c r="AH320" i="1"/>
  <c r="AH495" i="1"/>
  <c r="AH501" i="1"/>
  <c r="O319" i="1"/>
  <c r="AF495" i="1"/>
  <c r="AF327" i="1"/>
  <c r="AF502" i="1"/>
  <c r="AF499" i="1"/>
  <c r="O324" i="1"/>
  <c r="O323" i="1"/>
  <c r="O495" i="1"/>
  <c r="O498" i="1"/>
  <c r="K502" i="1"/>
  <c r="K319" i="1"/>
  <c r="K495" i="1"/>
  <c r="K326" i="1"/>
  <c r="K494" i="1"/>
  <c r="K496" i="1"/>
  <c r="K318" i="1"/>
  <c r="K327" i="1"/>
  <c r="K320" i="1"/>
  <c r="K498" i="1"/>
  <c r="K323" i="1"/>
  <c r="K321" i="1"/>
  <c r="K499" i="1"/>
  <c r="K493" i="1"/>
  <c r="K501" i="1"/>
  <c r="K324" i="1"/>
  <c r="AD324" i="1"/>
  <c r="AD319" i="1"/>
  <c r="AD323" i="1"/>
  <c r="AD496" i="1"/>
  <c r="AC323" i="1"/>
  <c r="AC327" i="1"/>
  <c r="AC493" i="1"/>
  <c r="AC498" i="1"/>
  <c r="V493" i="1"/>
  <c r="V502" i="1"/>
  <c r="V319" i="1"/>
  <c r="V326" i="1"/>
  <c r="Y493" i="1"/>
  <c r="Y499" i="1"/>
  <c r="Y320" i="1"/>
  <c r="Y319" i="1"/>
  <c r="X321" i="1"/>
  <c r="X502" i="1"/>
  <c r="X498" i="1"/>
  <c r="X493" i="1"/>
  <c r="W502" i="1"/>
  <c r="W495" i="1"/>
  <c r="W499" i="1"/>
  <c r="W498" i="1"/>
  <c r="AB494" i="1"/>
  <c r="AB326" i="1"/>
  <c r="AB320" i="1"/>
  <c r="AB498" i="1"/>
  <c r="AD320" i="1"/>
  <c r="AD495" i="1"/>
  <c r="AD493" i="1"/>
  <c r="AD501" i="1"/>
  <c r="AC326" i="1"/>
  <c r="AC495" i="1"/>
  <c r="AC324" i="1"/>
  <c r="AC502" i="1"/>
  <c r="V327" i="1"/>
  <c r="V501" i="1"/>
  <c r="V496" i="1"/>
  <c r="V320" i="1"/>
  <c r="Y321" i="1"/>
  <c r="Y498" i="1"/>
  <c r="Y323" i="1"/>
  <c r="Y324" i="1"/>
  <c r="X319" i="1"/>
  <c r="X326" i="1"/>
  <c r="X318" i="1"/>
  <c r="X320" i="1"/>
  <c r="W321" i="1"/>
  <c r="W326" i="1"/>
  <c r="W319" i="1"/>
  <c r="W501" i="1"/>
  <c r="AB496" i="1"/>
  <c r="AB499" i="1"/>
  <c r="AB323" i="1"/>
  <c r="AB501" i="1"/>
  <c r="AD321" i="1"/>
  <c r="AD318" i="1"/>
  <c r="AD499" i="1"/>
  <c r="AD498" i="1"/>
  <c r="AC499" i="1"/>
  <c r="AC320" i="1"/>
  <c r="AC321" i="1"/>
  <c r="AC494" i="1"/>
  <c r="V499" i="1"/>
  <c r="V324" i="1"/>
  <c r="V323" i="1"/>
  <c r="V321" i="1"/>
  <c r="Y494" i="1"/>
  <c r="Y495" i="1"/>
  <c r="Y502" i="1"/>
  <c r="Y327" i="1"/>
  <c r="X495" i="1"/>
  <c r="X496" i="1"/>
  <c r="X323" i="1"/>
  <c r="X327" i="1"/>
  <c r="W323" i="1"/>
  <c r="W318" i="1"/>
  <c r="W327" i="1"/>
  <c r="W496" i="1"/>
  <c r="AB502" i="1"/>
  <c r="AB321" i="1"/>
  <c r="AB327" i="1"/>
  <c r="AB318" i="1"/>
  <c r="AD326" i="1"/>
  <c r="AD494" i="1"/>
  <c r="AD327" i="1"/>
  <c r="AD502" i="1"/>
  <c r="AC319" i="1"/>
  <c r="AC318" i="1"/>
  <c r="AC496" i="1"/>
  <c r="AC501" i="1"/>
  <c r="V498" i="1"/>
  <c r="V494" i="1"/>
  <c r="V495" i="1"/>
  <c r="V318" i="1"/>
  <c r="Y501" i="1"/>
  <c r="Y318" i="1"/>
  <c r="Y326" i="1"/>
  <c r="Y496" i="1"/>
  <c r="X499" i="1"/>
  <c r="X324" i="1"/>
  <c r="X501" i="1"/>
  <c r="X494" i="1"/>
  <c r="W320" i="1"/>
  <c r="W494" i="1"/>
  <c r="W493" i="1"/>
  <c r="W324" i="1"/>
  <c r="AB324" i="1"/>
  <c r="AB319" i="1"/>
  <c r="AB493" i="1"/>
  <c r="AB495" i="1"/>
  <c r="Z319" i="1"/>
  <c r="Z320" i="1"/>
  <c r="Z501" i="1"/>
  <c r="Z494" i="1"/>
  <c r="AA320" i="1"/>
  <c r="AA494" i="1"/>
  <c r="AA502" i="1"/>
  <c r="AA493" i="1"/>
  <c r="Z493" i="1"/>
  <c r="Z326" i="1"/>
  <c r="Z496" i="1"/>
  <c r="Z495" i="1"/>
  <c r="AA326" i="1"/>
  <c r="AA324" i="1"/>
  <c r="AA318" i="1"/>
  <c r="Z502" i="1"/>
  <c r="Z323" i="1"/>
  <c r="Z318" i="1"/>
  <c r="Z327" i="1"/>
  <c r="AA321" i="1"/>
  <c r="AA499" i="1"/>
  <c r="Z324" i="1"/>
  <c r="Z321" i="1"/>
  <c r="Z499" i="1"/>
  <c r="Z498" i="1"/>
  <c r="AA501" i="1"/>
  <c r="AA323" i="1"/>
  <c r="AA495" i="1"/>
  <c r="AA327" i="1"/>
  <c r="AA496" i="1"/>
  <c r="AA319" i="1"/>
  <c r="AA498" i="1"/>
  <c r="X309" i="1"/>
  <c r="F318" i="2"/>
  <c r="H318" i="2" s="1"/>
  <c r="T321" i="1"/>
  <c r="T493" i="1"/>
  <c r="T496" i="1"/>
  <c r="T320" i="1"/>
  <c r="F8" i="2"/>
  <c r="F862" i="2" s="1"/>
  <c r="H93" i="1"/>
  <c r="H79" i="1"/>
  <c r="F319" i="2"/>
  <c r="H319" i="2" s="1"/>
  <c r="V309" i="1"/>
  <c r="T611" i="1"/>
  <c r="AK611" i="1" s="1"/>
  <c r="AL611" i="1" s="1"/>
  <c r="T250" i="1"/>
  <c r="AK440" i="1"/>
  <c r="AL440" i="1" s="1"/>
  <c r="F303" i="2"/>
  <c r="H303" i="2" s="1"/>
  <c r="H306" i="2" s="1"/>
  <c r="T323" i="1"/>
  <c r="T326" i="1"/>
  <c r="T327" i="1"/>
  <c r="T318" i="1"/>
  <c r="F294" i="2"/>
  <c r="F890" i="2" s="1"/>
  <c r="W309" i="1"/>
  <c r="F328" i="2"/>
  <c r="H328" i="2" s="1"/>
  <c r="F312" i="2"/>
  <c r="H312" i="2" s="1"/>
  <c r="T268" i="1"/>
  <c r="T612" i="1"/>
  <c r="AK612" i="1" s="1"/>
  <c r="AL612" i="1" s="1"/>
  <c r="AK456" i="1"/>
  <c r="AL456" i="1" s="1"/>
  <c r="T499" i="1"/>
  <c r="T501" i="1"/>
  <c r="T498" i="1"/>
  <c r="T324" i="1"/>
  <c r="F316" i="2"/>
  <c r="H316" i="2" s="1"/>
  <c r="H320" i="2" s="1"/>
  <c r="F17" i="2"/>
  <c r="H17" i="2" s="1"/>
  <c r="H20" i="2" s="1"/>
  <c r="O79" i="1"/>
  <c r="O93" i="1"/>
  <c r="O96" i="1" s="1"/>
  <c r="Y309" i="1"/>
  <c r="T502" i="1"/>
  <c r="T494" i="1"/>
  <c r="T319" i="1"/>
  <c r="T495" i="1"/>
  <c r="AK524" i="1"/>
  <c r="AL524" i="1" s="1"/>
  <c r="F317" i="2"/>
  <c r="H317" i="2" s="1"/>
  <c r="S613" i="1"/>
  <c r="U613" i="1"/>
  <c r="AJ613" i="1"/>
  <c r="O613" i="1"/>
  <c r="AH613" i="1"/>
  <c r="AF613" i="1"/>
  <c r="Z613" i="1"/>
  <c r="Q613" i="1"/>
  <c r="P613" i="1"/>
  <c r="I613" i="1"/>
  <c r="J613" i="1"/>
  <c r="L613" i="1"/>
  <c r="M613" i="1"/>
  <c r="AB613" i="1"/>
  <c r="V613" i="1"/>
  <c r="Y613" i="1"/>
  <c r="W613" i="1"/>
  <c r="X613" i="1"/>
  <c r="T613" i="1"/>
  <c r="AC613" i="1"/>
  <c r="K613" i="1"/>
  <c r="AD613" i="1"/>
  <c r="AA613" i="1"/>
  <c r="H368" i="1"/>
  <c r="AK361" i="1"/>
  <c r="AL361" i="1" s="1"/>
  <c r="F510" i="1"/>
  <c r="S603" i="1"/>
  <c r="U603" i="1"/>
  <c r="AJ603" i="1"/>
  <c r="Q603" i="1"/>
  <c r="P603" i="1"/>
  <c r="I603" i="1"/>
  <c r="J603" i="1"/>
  <c r="L603" i="1"/>
  <c r="M603" i="1"/>
  <c r="AA284" i="1"/>
  <c r="AA282" i="1"/>
  <c r="F892" i="2" l="1"/>
  <c r="X890" i="2"/>
  <c r="Y890" i="2" s="1"/>
  <c r="Z890" i="2" s="1"/>
  <c r="F864" i="2"/>
  <c r="H864" i="2" s="1"/>
  <c r="H865" i="2" s="1"/>
  <c r="X862" i="2"/>
  <c r="Y862" i="2" s="1"/>
  <c r="Z862" i="2" s="1"/>
  <c r="F300" i="2"/>
  <c r="F14" i="2"/>
  <c r="AK616" i="1"/>
  <c r="AL616" i="1" s="1"/>
  <c r="AK142" i="1"/>
  <c r="AL142" i="1" s="1"/>
  <c r="AK526" i="1"/>
  <c r="AL526" i="1" s="1"/>
  <c r="F324" i="2"/>
  <c r="H324" i="2" s="1"/>
  <c r="H325" i="2" s="1"/>
  <c r="K506" i="1"/>
  <c r="K508" i="1" s="1"/>
  <c r="K603" i="1" s="1"/>
  <c r="F320" i="2"/>
  <c r="AH331" i="1"/>
  <c r="AH333" i="1" s="1"/>
  <c r="F306" i="2"/>
  <c r="AH506" i="1"/>
  <c r="AH508" i="1" s="1"/>
  <c r="AF506" i="1"/>
  <c r="AF508" i="1" s="1"/>
  <c r="O111" i="1"/>
  <c r="F75" i="2" s="1"/>
  <c r="H75" i="2" s="1"/>
  <c r="H78" i="2" s="1"/>
  <c r="F20" i="2"/>
  <c r="H658" i="2" s="1"/>
  <c r="AK268" i="1"/>
  <c r="AL268" i="1" s="1"/>
  <c r="T278" i="1"/>
  <c r="AK278" i="1" s="1"/>
  <c r="AL278" i="1" s="1"/>
  <c r="K331" i="1"/>
  <c r="K333" i="1" s="1"/>
  <c r="T263" i="1"/>
  <c r="AK250" i="1"/>
  <c r="AL250" i="1" s="1"/>
  <c r="H96" i="1"/>
  <c r="AF331" i="1"/>
  <c r="AA309" i="1"/>
  <c r="H174" i="1"/>
  <c r="H607" i="1"/>
  <c r="AK607" i="1" s="1"/>
  <c r="AL607" i="1" s="1"/>
  <c r="H379" i="1"/>
  <c r="AK368" i="1"/>
  <c r="AL368" i="1" s="1"/>
  <c r="F893" i="2" l="1"/>
  <c r="H892" i="2"/>
  <c r="H893" i="2" s="1"/>
  <c r="H894" i="2" s="1"/>
  <c r="H294" i="2" s="1"/>
  <c r="H300" i="2" s="1"/>
  <c r="F865" i="2"/>
  <c r="H866" i="2" s="1"/>
  <c r="H8" i="2" s="1"/>
  <c r="F325" i="2"/>
  <c r="F240" i="2"/>
  <c r="H240" i="2" s="1"/>
  <c r="K510" i="1"/>
  <c r="K123" i="1"/>
  <c r="F345" i="2"/>
  <c r="AK263" i="1"/>
  <c r="AL263" i="1" s="1"/>
  <c r="T280" i="1"/>
  <c r="G34" i="27"/>
  <c r="K34" i="27" s="1"/>
  <c r="L34" i="27" s="1"/>
  <c r="F78" i="2"/>
  <c r="AF123" i="1"/>
  <c r="F280" i="2"/>
  <c r="H280" i="2" s="1"/>
  <c r="AF510" i="1"/>
  <c r="AF603" i="1"/>
  <c r="AH335" i="1"/>
  <c r="F226" i="2"/>
  <c r="F948" i="2" s="1"/>
  <c r="AH547" i="1"/>
  <c r="H111" i="1"/>
  <c r="K335" i="1"/>
  <c r="F183" i="2"/>
  <c r="H183" i="2" s="1"/>
  <c r="K547" i="1"/>
  <c r="F283" i="2"/>
  <c r="H283" i="2" s="1"/>
  <c r="AH123" i="1"/>
  <c r="AH510" i="1"/>
  <c r="AH603" i="1"/>
  <c r="H181" i="1"/>
  <c r="AK174" i="1"/>
  <c r="AL174" i="1" s="1"/>
  <c r="AK379" i="1"/>
  <c r="AL379" i="1" s="1"/>
  <c r="H402" i="1"/>
  <c r="H962" i="2" l="1"/>
  <c r="H14" i="2"/>
  <c r="H754" i="2" s="1"/>
  <c r="X948" i="2"/>
  <c r="Y948" i="2" s="1"/>
  <c r="Z948" i="2" s="1"/>
  <c r="F950" i="2"/>
  <c r="H950" i="2" s="1"/>
  <c r="H951" i="2" s="1"/>
  <c r="F675" i="2"/>
  <c r="F731" i="2"/>
  <c r="T284" i="1"/>
  <c r="T282" i="1"/>
  <c r="AK282" i="1" s="1"/>
  <c r="AL282" i="1" s="1"/>
  <c r="AK280" i="1"/>
  <c r="AL280" i="1" s="1"/>
  <c r="F66" i="2"/>
  <c r="F869" i="2" s="1"/>
  <c r="AK181" i="1"/>
  <c r="AL181" i="1" s="1"/>
  <c r="H192" i="1"/>
  <c r="H462" i="1"/>
  <c r="AK402" i="1"/>
  <c r="AL402" i="1" s="1"/>
  <c r="H738" i="2" l="1"/>
  <c r="H740" i="2"/>
  <c r="U950" i="2"/>
  <c r="U951" i="2" s="1"/>
  <c r="V950" i="2"/>
  <c r="V951" i="2" s="1"/>
  <c r="L950" i="2"/>
  <c r="L951" i="2" s="1"/>
  <c r="S950" i="2"/>
  <c r="S951" i="2" s="1"/>
  <c r="Q950" i="2"/>
  <c r="Q951" i="2" s="1"/>
  <c r="N950" i="2"/>
  <c r="N951" i="2" s="1"/>
  <c r="G950" i="2"/>
  <c r="O950" i="2"/>
  <c r="O951" i="2" s="1"/>
  <c r="M950" i="2"/>
  <c r="M951" i="2" s="1"/>
  <c r="T950" i="2"/>
  <c r="T951" i="2" s="1"/>
  <c r="F951" i="2"/>
  <c r="H952" i="2" s="1"/>
  <c r="H226" i="2" s="1"/>
  <c r="K950" i="2"/>
  <c r="K951" i="2" s="1"/>
  <c r="R950" i="2"/>
  <c r="R951" i="2" s="1"/>
  <c r="I950" i="2"/>
  <c r="I951" i="2" s="1"/>
  <c r="P950" i="2"/>
  <c r="P951" i="2" s="1"/>
  <c r="W950" i="2"/>
  <c r="W951" i="2" s="1"/>
  <c r="J950" i="2"/>
  <c r="J951" i="2" s="1"/>
  <c r="X869" i="2"/>
  <c r="Y869" i="2" s="1"/>
  <c r="Z869" i="2" s="1"/>
  <c r="F871" i="2"/>
  <c r="H871" i="2" s="1"/>
  <c r="H872" i="2" s="1"/>
  <c r="F72" i="2"/>
  <c r="G34" i="14"/>
  <c r="K34" i="14" s="1"/>
  <c r="L34" i="14" s="1"/>
  <c r="T309" i="1"/>
  <c r="H487" i="1"/>
  <c r="AK462" i="1"/>
  <c r="AL462" i="1" s="1"/>
  <c r="AK192" i="1"/>
  <c r="AL192" i="1" s="1"/>
  <c r="H215" i="1"/>
  <c r="G951" i="2" l="1"/>
  <c r="X951" i="2" s="1"/>
  <c r="Y951" i="2" s="1"/>
  <c r="Z951" i="2" s="1"/>
  <c r="X950" i="2"/>
  <c r="Y950" i="2" s="1"/>
  <c r="Z950" i="2" s="1"/>
  <c r="X882" i="2"/>
  <c r="Y882" i="2" s="1"/>
  <c r="Z882" i="2" s="1"/>
  <c r="F872" i="2"/>
  <c r="H873" i="2" s="1"/>
  <c r="H66" i="2" s="1"/>
  <c r="H72" i="2" s="1"/>
  <c r="AK215" i="1"/>
  <c r="AL215" i="1" s="1"/>
  <c r="H227" i="1"/>
  <c r="AK487" i="1"/>
  <c r="AL487" i="1" s="1"/>
  <c r="H494" i="1"/>
  <c r="AK494" i="1" s="1"/>
  <c r="AL494" i="1" s="1"/>
  <c r="H324" i="1"/>
  <c r="AK324" i="1" s="1"/>
  <c r="AL324" i="1" s="1"/>
  <c r="H319" i="1"/>
  <c r="AK319" i="1" s="1"/>
  <c r="AL319" i="1" s="1"/>
  <c r="H502" i="1"/>
  <c r="AK502" i="1" s="1"/>
  <c r="AL502" i="1" s="1"/>
  <c r="H323" i="1"/>
  <c r="AK323" i="1" s="1"/>
  <c r="AL323" i="1" s="1"/>
  <c r="H499" i="1"/>
  <c r="AK499" i="1" s="1"/>
  <c r="AL499" i="1" s="1"/>
  <c r="H498" i="1"/>
  <c r="AK498" i="1" s="1"/>
  <c r="AL498" i="1" s="1"/>
  <c r="H495" i="1"/>
  <c r="AK495" i="1" s="1"/>
  <c r="AL495" i="1" s="1"/>
  <c r="H321" i="1"/>
  <c r="AK321" i="1" s="1"/>
  <c r="AL321" i="1" s="1"/>
  <c r="H501" i="1"/>
  <c r="AK501" i="1" s="1"/>
  <c r="AL501" i="1" s="1"/>
  <c r="H493" i="1"/>
  <c r="H496" i="1"/>
  <c r="AK496" i="1" s="1"/>
  <c r="AL496" i="1" s="1"/>
  <c r="H613" i="1"/>
  <c r="AK613" i="1" s="1"/>
  <c r="AL613" i="1" s="1"/>
  <c r="H326" i="1"/>
  <c r="AK326" i="1" s="1"/>
  <c r="AL326" i="1" s="1"/>
  <c r="H320" i="1"/>
  <c r="AK320" i="1" s="1"/>
  <c r="AL320" i="1" s="1"/>
  <c r="H327" i="1"/>
  <c r="AK327" i="1" s="1"/>
  <c r="AL327" i="1" s="1"/>
  <c r="H318" i="1"/>
  <c r="AK318" i="1" l="1"/>
  <c r="AL318" i="1" s="1"/>
  <c r="AK493" i="1"/>
  <c r="AL493" i="1" s="1"/>
  <c r="AK227" i="1"/>
  <c r="AL227" i="1" s="1"/>
  <c r="H284" i="1"/>
  <c r="X889" i="2" l="1"/>
  <c r="Y889" i="2" s="1"/>
  <c r="Z889" i="2" s="1"/>
  <c r="H309" i="1"/>
  <c r="AK284" i="1"/>
  <c r="AL284" i="1" l="1"/>
  <c r="F293" i="1"/>
  <c r="AD62" i="1"/>
  <c r="AD66" i="1" s="1"/>
  <c r="F48" i="2" l="1"/>
  <c r="H48" i="2" s="1"/>
  <c r="AD117" i="1"/>
  <c r="AD93" i="1"/>
  <c r="AD96" i="1" s="1"/>
  <c r="AD111" i="1" s="1"/>
  <c r="F106" i="2" s="1"/>
  <c r="H106" i="2" s="1"/>
  <c r="F309" i="1"/>
  <c r="F333" i="1"/>
  <c r="AF287" i="1"/>
  <c r="AD79" i="1"/>
  <c r="AB62" i="1"/>
  <c r="AB66" i="1" s="1"/>
  <c r="AB117" i="1" s="1"/>
  <c r="T62" i="1"/>
  <c r="AA62" i="1"/>
  <c r="AA66" i="1" s="1"/>
  <c r="AA117" i="1" s="1"/>
  <c r="V62" i="1"/>
  <c r="V66" i="1" s="1"/>
  <c r="V117" i="1" s="1"/>
  <c r="Y62" i="1"/>
  <c r="Y66" i="1" s="1"/>
  <c r="Y117" i="1" s="1"/>
  <c r="W62" i="1"/>
  <c r="W66" i="1" s="1"/>
  <c r="W117" i="1" s="1"/>
  <c r="X62" i="1"/>
  <c r="X66" i="1" s="1"/>
  <c r="X117" i="1" s="1"/>
  <c r="AC62" i="1"/>
  <c r="AC66" i="1" s="1"/>
  <c r="AC117" i="1" s="1"/>
  <c r="Z62" i="1"/>
  <c r="Z66" i="1" s="1"/>
  <c r="Z117" i="1" s="1"/>
  <c r="F66" i="1"/>
  <c r="H115" i="1" l="1"/>
  <c r="H116" i="1"/>
  <c r="O116" i="1"/>
  <c r="O115" i="1"/>
  <c r="AH602" i="1"/>
  <c r="P602" i="1"/>
  <c r="L602" i="1"/>
  <c r="O602" i="1"/>
  <c r="U602" i="1"/>
  <c r="K602" i="1"/>
  <c r="J602" i="1"/>
  <c r="S602" i="1"/>
  <c r="I602" i="1"/>
  <c r="M602" i="1"/>
  <c r="AF602" i="1"/>
  <c r="AJ602" i="1"/>
  <c r="Q602" i="1"/>
  <c r="F93" i="1"/>
  <c r="F96" i="1" s="1"/>
  <c r="H602" i="1"/>
  <c r="F79" i="1"/>
  <c r="AD116" i="1"/>
  <c r="Z604" i="1"/>
  <c r="X604" i="1"/>
  <c r="S604" i="1"/>
  <c r="T604" i="1"/>
  <c r="AH604" i="1"/>
  <c r="Q604" i="1"/>
  <c r="AA604" i="1"/>
  <c r="V604" i="1"/>
  <c r="M604" i="1"/>
  <c r="AD604" i="1"/>
  <c r="AB604" i="1"/>
  <c r="Y604" i="1"/>
  <c r="AC604" i="1"/>
  <c r="I604" i="1"/>
  <c r="O604" i="1"/>
  <c r="K604" i="1"/>
  <c r="J604" i="1"/>
  <c r="AJ604" i="1"/>
  <c r="W604" i="1"/>
  <c r="L604" i="1"/>
  <c r="U604" i="1"/>
  <c r="P604" i="1"/>
  <c r="H604" i="1"/>
  <c r="AK287" i="1"/>
  <c r="AL287" i="1" s="1"/>
  <c r="AF293" i="1"/>
  <c r="Z115" i="1"/>
  <c r="Z79" i="1"/>
  <c r="F37" i="2"/>
  <c r="H37" i="2" s="1"/>
  <c r="Z116" i="1"/>
  <c r="Z93" i="1"/>
  <c r="Z96" i="1" s="1"/>
  <c r="Z602" i="1"/>
  <c r="Y79" i="1"/>
  <c r="F33" i="2"/>
  <c r="H33" i="2" s="1"/>
  <c r="Y115" i="1"/>
  <c r="Y116" i="1"/>
  <c r="Y93" i="1"/>
  <c r="Y96" i="1" s="1"/>
  <c r="Y602" i="1"/>
  <c r="AB116" i="1"/>
  <c r="AB79" i="1"/>
  <c r="AB93" i="1"/>
  <c r="AB96" i="1" s="1"/>
  <c r="F42" i="2"/>
  <c r="H42" i="2" s="1"/>
  <c r="AB115" i="1"/>
  <c r="AB602" i="1"/>
  <c r="AD602" i="1"/>
  <c r="AC93" i="1"/>
  <c r="AC96" i="1" s="1"/>
  <c r="AC79" i="1"/>
  <c r="AC116" i="1"/>
  <c r="AC115" i="1"/>
  <c r="F45" i="2"/>
  <c r="F905" i="2" s="1"/>
  <c r="AC602" i="1"/>
  <c r="V116" i="1"/>
  <c r="V115" i="1"/>
  <c r="V93" i="1"/>
  <c r="V96" i="1" s="1"/>
  <c r="F30" i="2"/>
  <c r="H30" i="2" s="1"/>
  <c r="V79" i="1"/>
  <c r="V602" i="1"/>
  <c r="X115" i="1"/>
  <c r="X93" i="1"/>
  <c r="X96" i="1" s="1"/>
  <c r="F32" i="2"/>
  <c r="H32" i="2" s="1"/>
  <c r="X116" i="1"/>
  <c r="X79" i="1"/>
  <c r="X602" i="1"/>
  <c r="AA93" i="1"/>
  <c r="AA96" i="1" s="1"/>
  <c r="F38" i="2"/>
  <c r="H38" i="2" s="1"/>
  <c r="AA79" i="1"/>
  <c r="AA116" i="1"/>
  <c r="AA115" i="1"/>
  <c r="AA602" i="1"/>
  <c r="AD115" i="1"/>
  <c r="F547" i="1"/>
  <c r="F335" i="1"/>
  <c r="AK62" i="1"/>
  <c r="T66" i="1"/>
  <c r="T117" i="1" s="1"/>
  <c r="AK117" i="1" s="1"/>
  <c r="AL117" i="1" s="1"/>
  <c r="W93" i="1"/>
  <c r="W96" i="1" s="1"/>
  <c r="F31" i="2"/>
  <c r="H31" i="2" s="1"/>
  <c r="W115" i="1"/>
  <c r="W116" i="1"/>
  <c r="W79" i="1"/>
  <c r="W602" i="1"/>
  <c r="H34" i="2" l="1"/>
  <c r="H39" i="2"/>
  <c r="X905" i="2"/>
  <c r="Y905" i="2" s="1"/>
  <c r="Z905" i="2" s="1"/>
  <c r="F907" i="2"/>
  <c r="AK66" i="1"/>
  <c r="AL66" i="1" s="1"/>
  <c r="AL62" i="1"/>
  <c r="P601" i="1"/>
  <c r="AH601" i="1"/>
  <c r="L601" i="1"/>
  <c r="Q601" i="1"/>
  <c r="I601" i="1"/>
  <c r="AJ601" i="1"/>
  <c r="M601" i="1"/>
  <c r="S601" i="1"/>
  <c r="U601" i="1"/>
  <c r="K601" i="1"/>
  <c r="J601" i="1"/>
  <c r="AA500" i="1"/>
  <c r="AA537" i="1"/>
  <c r="F495" i="2" s="1"/>
  <c r="H495" i="2" s="1"/>
  <c r="AA325" i="1"/>
  <c r="AA535" i="1"/>
  <c r="AA497" i="1"/>
  <c r="AA506" i="1" s="1"/>
  <c r="AA508" i="1" s="1"/>
  <c r="AA322" i="1"/>
  <c r="AA543" i="1"/>
  <c r="AA541" i="1"/>
  <c r="F615" i="2" s="1"/>
  <c r="H615" i="2" s="1"/>
  <c r="AA111" i="1"/>
  <c r="F96" i="2" s="1"/>
  <c r="H96" i="2" s="1"/>
  <c r="Z537" i="1"/>
  <c r="F494" i="2" s="1"/>
  <c r="H494" i="2" s="1"/>
  <c r="H496" i="2" s="1"/>
  <c r="Z111" i="1"/>
  <c r="F95" i="2" s="1"/>
  <c r="H95" i="2" s="1"/>
  <c r="Z500" i="1"/>
  <c r="Z325" i="1"/>
  <c r="Z543" i="1"/>
  <c r="Z322" i="1"/>
  <c r="Z541" i="1"/>
  <c r="F614" i="2" s="1"/>
  <c r="H614" i="2" s="1"/>
  <c r="H616" i="2" s="1"/>
  <c r="Z535" i="1"/>
  <c r="Z497" i="1"/>
  <c r="W535" i="1"/>
  <c r="W500" i="1"/>
  <c r="W497" i="1"/>
  <c r="W537" i="1"/>
  <c r="F488" i="2" s="1"/>
  <c r="H488" i="2" s="1"/>
  <c r="W541" i="1"/>
  <c r="F608" i="2" s="1"/>
  <c r="H608" i="2" s="1"/>
  <c r="W325" i="1"/>
  <c r="W322" i="1"/>
  <c r="W543" i="1"/>
  <c r="W111" i="1"/>
  <c r="F89" i="2" s="1"/>
  <c r="H89" i="2" s="1"/>
  <c r="X500" i="1"/>
  <c r="X537" i="1"/>
  <c r="F489" i="2" s="1"/>
  <c r="H489" i="2" s="1"/>
  <c r="X325" i="1"/>
  <c r="X111" i="1"/>
  <c r="F90" i="2" s="1"/>
  <c r="H90" i="2" s="1"/>
  <c r="X543" i="1"/>
  <c r="X497" i="1"/>
  <c r="X541" i="1"/>
  <c r="F609" i="2" s="1"/>
  <c r="H609" i="2" s="1"/>
  <c r="X322" i="1"/>
  <c r="X535" i="1"/>
  <c r="F34" i="2"/>
  <c r="T115" i="1"/>
  <c r="AK115" i="1" s="1"/>
  <c r="AL115" i="1" s="1"/>
  <c r="T116" i="1"/>
  <c r="AK116" i="1" s="1"/>
  <c r="AL116" i="1" s="1"/>
  <c r="T79" i="1"/>
  <c r="AK79" i="1" s="1"/>
  <c r="AL79" i="1" s="1"/>
  <c r="F26" i="2"/>
  <c r="H26" i="2" s="1"/>
  <c r="T93" i="1"/>
  <c r="T602" i="1"/>
  <c r="AK602" i="1" s="1"/>
  <c r="AL602" i="1" s="1"/>
  <c r="V543" i="1"/>
  <c r="V541" i="1"/>
  <c r="F607" i="2" s="1"/>
  <c r="H607" i="2" s="1"/>
  <c r="V535" i="1"/>
  <c r="V111" i="1"/>
  <c r="F88" i="2" s="1"/>
  <c r="H88" i="2" s="1"/>
  <c r="V322" i="1"/>
  <c r="V325" i="1"/>
  <c r="V497" i="1"/>
  <c r="V537" i="1"/>
  <c r="F487" i="2" s="1"/>
  <c r="H487" i="2" s="1"/>
  <c r="V500" i="1"/>
  <c r="AC500" i="1"/>
  <c r="AC111" i="1"/>
  <c r="F103" i="2" s="1"/>
  <c r="F912" i="2" s="1"/>
  <c r="AC541" i="1"/>
  <c r="F622" i="2" s="1"/>
  <c r="H622" i="2" s="1"/>
  <c r="AC497" i="1"/>
  <c r="AC322" i="1"/>
  <c r="AC543" i="1"/>
  <c r="AC537" i="1"/>
  <c r="F502" i="2" s="1"/>
  <c r="H502" i="2" s="1"/>
  <c r="AC325" i="1"/>
  <c r="AC535" i="1"/>
  <c r="AB535" i="1"/>
  <c r="AB537" i="1"/>
  <c r="F499" i="2" s="1"/>
  <c r="H499" i="2" s="1"/>
  <c r="AB500" i="1"/>
  <c r="AB497" i="1"/>
  <c r="AB543" i="1"/>
  <c r="AB325" i="1"/>
  <c r="AB111" i="1"/>
  <c r="F100" i="2" s="1"/>
  <c r="H100" i="2" s="1"/>
  <c r="AB541" i="1"/>
  <c r="F619" i="2" s="1"/>
  <c r="H619" i="2" s="1"/>
  <c r="AB322" i="1"/>
  <c r="Y500" i="1"/>
  <c r="Y322" i="1"/>
  <c r="Y537" i="1"/>
  <c r="F490" i="2" s="1"/>
  <c r="H490" i="2" s="1"/>
  <c r="Y535" i="1"/>
  <c r="Y541" i="1"/>
  <c r="F610" i="2" s="1"/>
  <c r="H610" i="2" s="1"/>
  <c r="Y325" i="1"/>
  <c r="Y111" i="1"/>
  <c r="F91" i="2" s="1"/>
  <c r="H91" i="2" s="1"/>
  <c r="Y543" i="1"/>
  <c r="Y497" i="1"/>
  <c r="Y506" i="1" s="1"/>
  <c r="Y508" i="1" s="1"/>
  <c r="F39" i="2"/>
  <c r="AF309" i="1"/>
  <c r="AF604" i="1" s="1"/>
  <c r="AK604" i="1" s="1"/>
  <c r="AL604" i="1" s="1"/>
  <c r="AK293" i="1"/>
  <c r="AF333" i="1"/>
  <c r="O500" i="1"/>
  <c r="O543" i="1"/>
  <c r="H322" i="1"/>
  <c r="H500" i="1"/>
  <c r="O322" i="1"/>
  <c r="O325" i="1"/>
  <c r="H537" i="1"/>
  <c r="H497" i="1"/>
  <c r="O535" i="1"/>
  <c r="O497" i="1"/>
  <c r="H535" i="1"/>
  <c r="H543" i="1"/>
  <c r="O541" i="1"/>
  <c r="F594" i="2" s="1"/>
  <c r="H594" i="2" s="1"/>
  <c r="H597" i="2" s="1"/>
  <c r="O537" i="1"/>
  <c r="F474" i="2" s="1"/>
  <c r="H474" i="2" s="1"/>
  <c r="H477" i="2" s="1"/>
  <c r="H325" i="1"/>
  <c r="H541" i="1"/>
  <c r="F111" i="1"/>
  <c r="AD543" i="1"/>
  <c r="AD325" i="1"/>
  <c r="AD541" i="1"/>
  <c r="F625" i="2" s="1"/>
  <c r="H625" i="2" s="1"/>
  <c r="AD500" i="1"/>
  <c r="AD535" i="1"/>
  <c r="AD322" i="1"/>
  <c r="AD497" i="1"/>
  <c r="AD537" i="1"/>
  <c r="F505" i="2" s="1"/>
  <c r="H505" i="2" s="1"/>
  <c r="H92" i="2" l="1"/>
  <c r="H491" i="2"/>
  <c r="H611" i="2"/>
  <c r="H97" i="2"/>
  <c r="F908" i="2"/>
  <c r="H907" i="2"/>
  <c r="H908" i="2" s="1"/>
  <c r="H909" i="2" s="1"/>
  <c r="H45" i="2" s="1"/>
  <c r="H59" i="2" s="1"/>
  <c r="X912" i="2"/>
  <c r="Y912" i="2" s="1"/>
  <c r="Z912" i="2" s="1"/>
  <c r="F914" i="2"/>
  <c r="H914" i="2" s="1"/>
  <c r="H915" i="2" s="1"/>
  <c r="AD331" i="1"/>
  <c r="AD333" i="1" s="1"/>
  <c r="AD335" i="1" s="1"/>
  <c r="AA331" i="1"/>
  <c r="AA333" i="1" s="1"/>
  <c r="AA335" i="1" s="1"/>
  <c r="Z506" i="1"/>
  <c r="Z508" i="1" s="1"/>
  <c r="Z603" i="1" s="1"/>
  <c r="AC506" i="1"/>
  <c r="AC508" i="1" s="1"/>
  <c r="AC603" i="1" s="1"/>
  <c r="O506" i="1"/>
  <c r="O508" i="1" s="1"/>
  <c r="O510" i="1" s="1"/>
  <c r="F597" i="2"/>
  <c r="F585" i="2"/>
  <c r="H585" i="2" s="1"/>
  <c r="H591" i="2" s="1"/>
  <c r="H506" i="1"/>
  <c r="AF547" i="1"/>
  <c r="F223" i="2"/>
  <c r="H223" i="2" s="1"/>
  <c r="AF335" i="1"/>
  <c r="AB506" i="1"/>
  <c r="AB508" i="1" s="1"/>
  <c r="F445" i="2"/>
  <c r="F940" i="2" s="1"/>
  <c r="AC545" i="1"/>
  <c r="AC331" i="1"/>
  <c r="AC333" i="1" s="1"/>
  <c r="F491" i="2"/>
  <c r="F92" i="2"/>
  <c r="X506" i="1"/>
  <c r="X508" i="1" s="1"/>
  <c r="W331" i="1"/>
  <c r="W333" i="1" s="1"/>
  <c r="W506" i="1"/>
  <c r="W508" i="1" s="1"/>
  <c r="Z331" i="1"/>
  <c r="Z333" i="1" s="1"/>
  <c r="F97" i="2"/>
  <c r="F267" i="2"/>
  <c r="H267" i="2" s="1"/>
  <c r="AA123" i="1"/>
  <c r="AA510" i="1"/>
  <c r="AA603" i="1"/>
  <c r="F477" i="2"/>
  <c r="AD506" i="1"/>
  <c r="AD508" i="1" s="1"/>
  <c r="F448" i="2"/>
  <c r="H448" i="2" s="1"/>
  <c r="AD545" i="1"/>
  <c r="F408" i="2"/>
  <c r="F897" i="2" s="1"/>
  <c r="H545" i="1"/>
  <c r="F465" i="2"/>
  <c r="H465" i="2" s="1"/>
  <c r="H471" i="2" s="1"/>
  <c r="H331" i="1"/>
  <c r="AK309" i="1"/>
  <c r="AL309" i="1" s="1"/>
  <c r="AL293" i="1"/>
  <c r="Y331" i="1"/>
  <c r="Y333" i="1" s="1"/>
  <c r="V506" i="1"/>
  <c r="V508" i="1" s="1"/>
  <c r="F430" i="2"/>
  <c r="H430" i="2" s="1"/>
  <c r="V545" i="1"/>
  <c r="T96" i="1"/>
  <c r="AK93" i="1"/>
  <c r="AL93" i="1" s="1"/>
  <c r="F432" i="2"/>
  <c r="H432" i="2" s="1"/>
  <c r="X545" i="1"/>
  <c r="F496" i="2"/>
  <c r="F438" i="2"/>
  <c r="H438" i="2" s="1"/>
  <c r="AA545" i="1"/>
  <c r="Y123" i="1"/>
  <c r="Y510" i="1"/>
  <c r="F262" i="2"/>
  <c r="H262" i="2" s="1"/>
  <c r="Y603" i="1"/>
  <c r="F611" i="2"/>
  <c r="F59" i="2"/>
  <c r="X331" i="1"/>
  <c r="X333" i="1" s="1"/>
  <c r="F431" i="2"/>
  <c r="H431" i="2" s="1"/>
  <c r="W545" i="1"/>
  <c r="F437" i="2"/>
  <c r="H437" i="2" s="1"/>
  <c r="Z545" i="1"/>
  <c r="F417" i="2"/>
  <c r="H417" i="2" s="1"/>
  <c r="H420" i="2" s="1"/>
  <c r="O545" i="1"/>
  <c r="O331" i="1"/>
  <c r="O333" i="1" s="1"/>
  <c r="Y545" i="1"/>
  <c r="F433" i="2"/>
  <c r="H433" i="2" s="1"/>
  <c r="AB331" i="1"/>
  <c r="AB333" i="1" s="1"/>
  <c r="F442" i="2"/>
  <c r="H442" i="2" s="1"/>
  <c r="AB545" i="1"/>
  <c r="V331" i="1"/>
  <c r="V333" i="1" s="1"/>
  <c r="F616" i="2"/>
  <c r="H439" i="2" l="1"/>
  <c r="H434" i="2"/>
  <c r="F274" i="2"/>
  <c r="H274" i="2" s="1"/>
  <c r="F210" i="2"/>
  <c r="H210" i="2" s="1"/>
  <c r="X940" i="2"/>
  <c r="Y940" i="2" s="1"/>
  <c r="Z940" i="2" s="1"/>
  <c r="F942" i="2"/>
  <c r="H942" i="2" s="1"/>
  <c r="H943" i="2" s="1"/>
  <c r="F915" i="2"/>
  <c r="H916" i="2" s="1"/>
  <c r="H103" i="2" s="1"/>
  <c r="X897" i="2"/>
  <c r="Y897" i="2" s="1"/>
  <c r="Z897" i="2" s="1"/>
  <c r="F899" i="2"/>
  <c r="AC123" i="1"/>
  <c r="AA547" i="1"/>
  <c r="AC510" i="1"/>
  <c r="AD547" i="1"/>
  <c r="F220" i="2"/>
  <c r="H220" i="2" s="1"/>
  <c r="F591" i="2"/>
  <c r="F471" i="2"/>
  <c r="F414" i="2"/>
  <c r="W547" i="1"/>
  <c r="Z123" i="1"/>
  <c r="O123" i="1"/>
  <c r="F246" i="2"/>
  <c r="H246" i="2" s="1"/>
  <c r="H249" i="2" s="1"/>
  <c r="Z510" i="1"/>
  <c r="F266" i="2"/>
  <c r="H266" i="2" s="1"/>
  <c r="H268" i="2" s="1"/>
  <c r="O603" i="1"/>
  <c r="F214" i="2"/>
  <c r="H214" i="2" s="1"/>
  <c r="AB335" i="1"/>
  <c r="AB547" i="1"/>
  <c r="F439" i="2"/>
  <c r="X547" i="1"/>
  <c r="Z335" i="1"/>
  <c r="F209" i="2"/>
  <c r="H209" i="2" s="1"/>
  <c r="Z547" i="1"/>
  <c r="AB123" i="1"/>
  <c r="AB603" i="1"/>
  <c r="AB510" i="1"/>
  <c r="F271" i="2"/>
  <c r="H271" i="2" s="1"/>
  <c r="AD601" i="1"/>
  <c r="F420" i="2"/>
  <c r="F204" i="2"/>
  <c r="H204" i="2" s="1"/>
  <c r="X335" i="1"/>
  <c r="F434" i="2"/>
  <c r="F205" i="2"/>
  <c r="H205" i="2" s="1"/>
  <c r="Y547" i="1"/>
  <c r="Y335" i="1"/>
  <c r="AC335" i="1"/>
  <c r="AC547" i="1"/>
  <c r="F217" i="2"/>
  <c r="F926" i="2" s="1"/>
  <c r="V335" i="1"/>
  <c r="V547" i="1"/>
  <c r="F202" i="2"/>
  <c r="H202" i="2" s="1"/>
  <c r="V123" i="1"/>
  <c r="V510" i="1"/>
  <c r="F259" i="2"/>
  <c r="H259" i="2" s="1"/>
  <c r="V603" i="1"/>
  <c r="W123" i="1"/>
  <c r="W603" i="1"/>
  <c r="F260" i="2"/>
  <c r="H260" i="2" s="1"/>
  <c r="W510" i="1"/>
  <c r="F261" i="2"/>
  <c r="H261" i="2" s="1"/>
  <c r="X510" i="1"/>
  <c r="X123" i="1"/>
  <c r="X603" i="1"/>
  <c r="AA601" i="1"/>
  <c r="O547" i="1"/>
  <c r="O335" i="1"/>
  <c r="F189" i="2"/>
  <c r="T543" i="1"/>
  <c r="AK543" i="1" s="1"/>
  <c r="AL543" i="1" s="1"/>
  <c r="T322" i="1"/>
  <c r="T497" i="1"/>
  <c r="T535" i="1"/>
  <c r="T537" i="1"/>
  <c r="T111" i="1"/>
  <c r="T325" i="1"/>
  <c r="AK325" i="1" s="1"/>
  <c r="AL325" i="1" s="1"/>
  <c r="T541" i="1"/>
  <c r="T500" i="1"/>
  <c r="AK500" i="1" s="1"/>
  <c r="AL500" i="1" s="1"/>
  <c r="AK96" i="1"/>
  <c r="AL96" i="1" s="1"/>
  <c r="H333" i="1"/>
  <c r="AD603" i="1"/>
  <c r="AD510" i="1"/>
  <c r="F277" i="2"/>
  <c r="H277" i="2" s="1"/>
  <c r="AD123" i="1"/>
  <c r="W335" i="1"/>
  <c r="F203" i="2"/>
  <c r="H203" i="2" s="1"/>
  <c r="AF601" i="1"/>
  <c r="H508" i="1"/>
  <c r="H211" i="2" l="1"/>
  <c r="H206" i="2"/>
  <c r="H263" i="2"/>
  <c r="F900" i="2"/>
  <c r="H899" i="2"/>
  <c r="H900" i="2" s="1"/>
  <c r="H189" i="2"/>
  <c r="H192" i="2" s="1"/>
  <c r="F943" i="2"/>
  <c r="H944" i="2" s="1"/>
  <c r="H445" i="2" s="1"/>
  <c r="F928" i="2"/>
  <c r="H928" i="2" s="1"/>
  <c r="H929" i="2" s="1"/>
  <c r="X926" i="2"/>
  <c r="Y926" i="2" s="1"/>
  <c r="Z926" i="2" s="1"/>
  <c r="F268" i="2"/>
  <c r="F249" i="2"/>
  <c r="AK111" i="1"/>
  <c r="AL111" i="1" s="1"/>
  <c r="F84" i="2"/>
  <c r="H84" i="2" s="1"/>
  <c r="H117" i="2" s="1"/>
  <c r="T331" i="1"/>
  <c r="AK322" i="1"/>
  <c r="AL322" i="1" s="1"/>
  <c r="V601" i="1"/>
  <c r="X601" i="1"/>
  <c r="F211" i="2"/>
  <c r="AB601" i="1"/>
  <c r="H603" i="1"/>
  <c r="F237" i="2"/>
  <c r="H237" i="2" s="1"/>
  <c r="H243" i="2" s="1"/>
  <c r="H123" i="1"/>
  <c r="H510" i="1"/>
  <c r="F483" i="2"/>
  <c r="H483" i="2" s="1"/>
  <c r="H516" i="2" s="1"/>
  <c r="AK537" i="1"/>
  <c r="AL537" i="1" s="1"/>
  <c r="Z601" i="1"/>
  <c r="H547" i="1"/>
  <c r="H335" i="1"/>
  <c r="F180" i="2"/>
  <c r="F883" i="2" s="1"/>
  <c r="F603" i="2"/>
  <c r="H603" i="2" s="1"/>
  <c r="H636" i="2" s="1"/>
  <c r="AK541" i="1"/>
  <c r="AL541" i="1" s="1"/>
  <c r="F426" i="2"/>
  <c r="H426" i="2" s="1"/>
  <c r="T545" i="1"/>
  <c r="AK545" i="1" s="1"/>
  <c r="AL545" i="1" s="1"/>
  <c r="AK535" i="1"/>
  <c r="AL535" i="1" s="1"/>
  <c r="F192" i="2"/>
  <c r="F206" i="2"/>
  <c r="AC601" i="1"/>
  <c r="W601" i="1"/>
  <c r="T506" i="1"/>
  <c r="AK497" i="1"/>
  <c r="AL497" i="1" s="1"/>
  <c r="O601" i="1"/>
  <c r="F263" i="2"/>
  <c r="Y601" i="1"/>
  <c r="H901" i="2" l="1"/>
  <c r="H408" i="2" s="1"/>
  <c r="H414" i="2" s="1"/>
  <c r="H459" i="2" s="1"/>
  <c r="H677" i="2" s="1"/>
  <c r="H733" i="2" s="1"/>
  <c r="H768" i="2"/>
  <c r="H708" i="2"/>
  <c r="H678" i="2"/>
  <c r="H734" i="2"/>
  <c r="F929" i="2"/>
  <c r="H930" i="2" s="1"/>
  <c r="H217" i="2" s="1"/>
  <c r="F885" i="2"/>
  <c r="H885" i="2" s="1"/>
  <c r="H886" i="2" s="1"/>
  <c r="X883" i="2"/>
  <c r="Y883" i="2" s="1"/>
  <c r="Z883" i="2" s="1"/>
  <c r="F243" i="2"/>
  <c r="T508" i="1"/>
  <c r="AK506" i="1"/>
  <c r="AL506" i="1" s="1"/>
  <c r="F636" i="2"/>
  <c r="F516" i="2"/>
  <c r="T333" i="1"/>
  <c r="AK331" i="1"/>
  <c r="AL331" i="1" s="1"/>
  <c r="F186" i="2"/>
  <c r="F117" i="2"/>
  <c r="H601" i="1"/>
  <c r="F459" i="2"/>
  <c r="F677" i="2" s="1"/>
  <c r="F733" i="2" s="1"/>
  <c r="F886" i="2" l="1"/>
  <c r="H887" i="2" s="1"/>
  <c r="H180" i="2" s="1"/>
  <c r="H186" i="2" s="1"/>
  <c r="F734" i="2"/>
  <c r="F678" i="2"/>
  <c r="F768" i="2"/>
  <c r="F708" i="2"/>
  <c r="H770" i="2" s="1"/>
  <c r="T547" i="1"/>
  <c r="AK547" i="1" s="1"/>
  <c r="AL547" i="1" s="1"/>
  <c r="T335" i="1"/>
  <c r="F198" i="2"/>
  <c r="AK333" i="1"/>
  <c r="AL333" i="1" s="1"/>
  <c r="T123" i="1"/>
  <c r="AK123" i="1" s="1"/>
  <c r="AL123" i="1" s="1"/>
  <c r="T510" i="1"/>
  <c r="AK510" i="1" s="1"/>
  <c r="AL510" i="1" s="1"/>
  <c r="F255" i="2"/>
  <c r="H255" i="2" s="1"/>
  <c r="H288" i="2" s="1"/>
  <c r="T603" i="1"/>
  <c r="AK603" i="1" s="1"/>
  <c r="AL603" i="1" s="1"/>
  <c r="AK508" i="1"/>
  <c r="AL508" i="1" s="1"/>
  <c r="H198" i="2" l="1"/>
  <c r="H231" i="2" s="1"/>
  <c r="F231" i="2"/>
  <c r="F730" i="2" s="1"/>
  <c r="F288" i="2"/>
  <c r="T601" i="1"/>
  <c r="AK601" i="1" s="1"/>
  <c r="AL601" i="1" s="1"/>
  <c r="AK335" i="1"/>
  <c r="AL335" i="1" s="1"/>
  <c r="H674" i="2" l="1"/>
  <c r="H966" i="2"/>
  <c r="H756" i="2" s="1"/>
  <c r="H730" i="2"/>
  <c r="F674" i="2"/>
  <c r="F706" i="2" s="1"/>
  <c r="F710" i="2" s="1"/>
  <c r="X904" i="2"/>
  <c r="Y904" i="2" s="1"/>
  <c r="Z904" i="2" s="1"/>
  <c r="F766" i="2"/>
  <c r="F772" i="2" s="1"/>
  <c r="F749" i="2"/>
  <c r="F751" i="2" s="1"/>
  <c r="F684" i="2" l="1"/>
  <c r="F686" i="2" s="1"/>
  <c r="F794" i="2" l="1"/>
  <c r="F802" i="2" s="1"/>
  <c r="F804" i="2" s="1"/>
  <c r="E32" i="27"/>
  <c r="Y653" i="2" l="1"/>
  <c r="Z653" i="2" s="1"/>
  <c r="E32" i="14"/>
  <c r="K32" i="27"/>
  <c r="L32" i="27" s="1"/>
  <c r="K32" i="14" l="1"/>
  <c r="L32" i="14" s="1"/>
  <c r="F935" i="2" l="1"/>
  <c r="H935" i="2" s="1"/>
  <c r="H936" i="2" s="1"/>
  <c r="X933" i="2"/>
  <c r="Y933" i="2" s="1"/>
  <c r="Z933" i="2" s="1"/>
  <c r="H937" i="2" l="1"/>
  <c r="H331" i="2" s="1"/>
  <c r="H345" i="2" s="1"/>
  <c r="F936" i="2"/>
  <c r="K37" i="27"/>
  <c r="L37" i="27" s="1"/>
  <c r="X896" i="2"/>
  <c r="Y896" i="2" s="1"/>
  <c r="Z896" i="2" s="1"/>
  <c r="H675" i="2" l="1"/>
  <c r="H706" i="2" s="1"/>
  <c r="H731" i="2"/>
  <c r="H755" i="2"/>
  <c r="X956" i="2"/>
  <c r="Y956" i="2" s="1"/>
  <c r="Z956" i="2" s="1"/>
  <c r="K37" i="14" l="1"/>
  <c r="L37" i="14" s="1"/>
  <c r="F118" i="1" l="1"/>
  <c r="F146" i="1" s="1"/>
  <c r="K114" i="1" l="1"/>
  <c r="K118" i="1" s="1"/>
  <c r="K146" i="1" s="1"/>
  <c r="F126" i="2" s="1"/>
  <c r="H126" i="2" s="1"/>
  <c r="AA114" i="1"/>
  <c r="AA118" i="1" s="1"/>
  <c r="AA146" i="1" s="1"/>
  <c r="F153" i="2" s="1"/>
  <c r="H153" i="2" s="1"/>
  <c r="O114" i="1"/>
  <c r="O118" i="1" s="1"/>
  <c r="O146" i="1" s="1"/>
  <c r="F132" i="2" s="1"/>
  <c r="H132" i="2" s="1"/>
  <c r="H135" i="2" s="1"/>
  <c r="X114" i="1"/>
  <c r="X118" i="1" s="1"/>
  <c r="X146" i="1" s="1"/>
  <c r="F147" i="2" s="1"/>
  <c r="H147" i="2" s="1"/>
  <c r="AH114" i="1"/>
  <c r="AH118" i="1" s="1"/>
  <c r="AH146" i="1" s="1"/>
  <c r="F169" i="2" s="1"/>
  <c r="H169" i="2" s="1"/>
  <c r="AB114" i="1"/>
  <c r="AB118" i="1" s="1"/>
  <c r="AB146" i="1" s="1"/>
  <c r="F157" i="2" s="1"/>
  <c r="H157" i="2" s="1"/>
  <c r="V114" i="1"/>
  <c r="V118" i="1" s="1"/>
  <c r="V146" i="1" s="1"/>
  <c r="F145" i="2" s="1"/>
  <c r="H145" i="2" s="1"/>
  <c r="H114" i="1"/>
  <c r="AF114" i="1"/>
  <c r="AF118" i="1" s="1"/>
  <c r="AF146" i="1" s="1"/>
  <c r="F166" i="2" s="1"/>
  <c r="H166" i="2" s="1"/>
  <c r="Y114" i="1"/>
  <c r="Y118" i="1" s="1"/>
  <c r="Y146" i="1" s="1"/>
  <c r="F148" i="2" s="1"/>
  <c r="H148" i="2" s="1"/>
  <c r="Z114" i="1"/>
  <c r="Z118" i="1" s="1"/>
  <c r="Z146" i="1" s="1"/>
  <c r="F152" i="2" s="1"/>
  <c r="H152" i="2" s="1"/>
  <c r="H154" i="2" s="1"/>
  <c r="T114" i="1"/>
  <c r="T118" i="1" s="1"/>
  <c r="T146" i="1" s="1"/>
  <c r="F141" i="2" s="1"/>
  <c r="H141" i="2" s="1"/>
  <c r="AD114" i="1"/>
  <c r="AD118" i="1" s="1"/>
  <c r="AD146" i="1" s="1"/>
  <c r="F163" i="2" s="1"/>
  <c r="H163" i="2" s="1"/>
  <c r="W114" i="1"/>
  <c r="W118" i="1" s="1"/>
  <c r="W146" i="1" s="1"/>
  <c r="F146" i="2" s="1"/>
  <c r="H146" i="2" s="1"/>
  <c r="AC114" i="1"/>
  <c r="AC118" i="1" s="1"/>
  <c r="AC146" i="1" s="1"/>
  <c r="F160" i="2" s="1"/>
  <c r="F919" i="2" s="1"/>
  <c r="H149" i="2" l="1"/>
  <c r="F921" i="2"/>
  <c r="H921" i="2" s="1"/>
  <c r="H922" i="2" s="1"/>
  <c r="X919" i="2"/>
  <c r="Y919" i="2" s="1"/>
  <c r="Z919" i="2" s="1"/>
  <c r="F154" i="2"/>
  <c r="F149" i="2"/>
  <c r="F135" i="2"/>
  <c r="AK114" i="1"/>
  <c r="H118" i="1"/>
  <c r="AK118" i="1" l="1"/>
  <c r="H146" i="1"/>
  <c r="AL114" i="1"/>
  <c r="AM114" i="1"/>
  <c r="F922" i="2"/>
  <c r="H923" i="2" s="1"/>
  <c r="H160" i="2" s="1"/>
  <c r="AK146" i="1" l="1"/>
  <c r="F123" i="2"/>
  <c r="AM118" i="1"/>
  <c r="AL118" i="1"/>
  <c r="AM146" i="1" l="1"/>
  <c r="AL146" i="1"/>
  <c r="F876" i="2"/>
  <c r="F129" i="2"/>
  <c r="F174" i="2" s="1"/>
  <c r="F688" i="2" s="1"/>
  <c r="F753" i="2" l="1"/>
  <c r="F757" i="2" s="1"/>
  <c r="F806" i="2" s="1"/>
  <c r="F808" i="2" s="1"/>
  <c r="F878" i="2"/>
  <c r="H878" i="2" s="1"/>
  <c r="H879" i="2" s="1"/>
  <c r="X876" i="2"/>
  <c r="Y876" i="2" s="1"/>
  <c r="Z876" i="2" s="1"/>
  <c r="F759" i="2" l="1"/>
  <c r="F879" i="2"/>
  <c r="H880" i="2" s="1"/>
  <c r="H123" i="2" s="1"/>
  <c r="H129" i="2" s="1"/>
  <c r="H174" i="2" s="1"/>
  <c r="H688" i="2" l="1"/>
  <c r="H753" i="2" s="1"/>
  <c r="H757" i="2" s="1"/>
  <c r="H960" i="2"/>
  <c r="H657" i="2" s="1"/>
  <c r="H669" i="2" s="1"/>
  <c r="O202" i="2"/>
  <c r="R26" i="2"/>
  <c r="U141" i="2"/>
  <c r="I148" i="2"/>
  <c r="P204" i="2"/>
  <c r="Q163" i="2"/>
  <c r="P147" i="2"/>
  <c r="J205" i="2"/>
  <c r="O488" i="2"/>
  <c r="S489" i="2"/>
  <c r="S48" i="2"/>
  <c r="R603" i="2"/>
  <c r="P210" i="2"/>
  <c r="T166" i="2"/>
  <c r="U483" i="2"/>
  <c r="K205" i="2"/>
  <c r="I483" i="2"/>
  <c r="I153" i="2"/>
  <c r="K169" i="2"/>
  <c r="T198" i="2"/>
  <c r="M489" i="2"/>
  <c r="R432" i="2"/>
  <c r="N271" i="2"/>
  <c r="S84" i="2"/>
  <c r="W438" i="2"/>
  <c r="T88" i="2"/>
  <c r="W141" i="2"/>
  <c r="W169" i="2"/>
  <c r="S608" i="2"/>
  <c r="P259" i="2"/>
  <c r="W431" i="2"/>
  <c r="V267" i="2"/>
  <c r="Q607" i="2"/>
  <c r="R271" i="2"/>
  <c r="Q169" i="2"/>
  <c r="T32" i="2"/>
  <c r="V274" i="2"/>
  <c r="U442" i="2"/>
  <c r="R255" i="2"/>
  <c r="T157" i="2"/>
  <c r="I163" i="2"/>
  <c r="K262" i="2"/>
  <c r="Q495" i="2"/>
  <c r="U202" i="2"/>
  <c r="N147" i="2"/>
  <c r="P260" i="2"/>
  <c r="S147" i="2"/>
  <c r="L169" i="2"/>
  <c r="M157" i="2"/>
  <c r="K89" i="2"/>
  <c r="R622" i="2"/>
  <c r="O214" i="2"/>
  <c r="S262" i="2"/>
  <c r="V259" i="2"/>
  <c r="V203" i="2"/>
  <c r="V657" i="2"/>
  <c r="T260" i="2"/>
  <c r="R261" i="2"/>
  <c r="V106" i="2"/>
  <c r="M204" i="2"/>
  <c r="L261" i="2"/>
  <c r="S166" i="2"/>
  <c r="U84" i="2"/>
  <c r="W260" i="2"/>
  <c r="L141" i="2"/>
  <c r="I432" i="2"/>
  <c r="M84" i="2"/>
  <c r="S430" i="2"/>
  <c r="S145" i="2"/>
  <c r="L157" i="2"/>
  <c r="W255" i="2"/>
  <c r="K271" i="2"/>
  <c r="N260" i="2"/>
  <c r="S220" i="2"/>
  <c r="Q96" i="2"/>
  <c r="M271" i="2"/>
  <c r="M141" i="2"/>
  <c r="J84" i="2"/>
  <c r="V430" i="2"/>
  <c r="W267" i="2"/>
  <c r="I603" i="2"/>
  <c r="Q502" i="2"/>
  <c r="L376" i="2"/>
  <c r="S153" i="2"/>
  <c r="K147" i="2"/>
  <c r="T148" i="2"/>
  <c r="M274" i="2"/>
  <c r="Q148" i="2"/>
  <c r="W157" i="2"/>
  <c r="V260" i="2"/>
  <c r="I433" i="2"/>
  <c r="R502" i="2"/>
  <c r="Q274" i="2"/>
  <c r="N432" i="2"/>
  <c r="V148" i="2"/>
  <c r="O141" i="2"/>
  <c r="N262" i="2"/>
  <c r="U262" i="2"/>
  <c r="U147" i="2"/>
  <c r="W615" i="2"/>
  <c r="U255" i="2"/>
  <c r="I267" i="2"/>
  <c r="L153" i="2"/>
  <c r="M89" i="2"/>
  <c r="V204" i="2"/>
  <c r="S203" i="2"/>
  <c r="L214" i="2"/>
  <c r="K261" i="2"/>
  <c r="T169" i="2"/>
  <c r="K153" i="2"/>
  <c r="I438" i="2"/>
  <c r="V205" i="2"/>
  <c r="R157" i="2"/>
  <c r="T204" i="2"/>
  <c r="Q214" i="2"/>
  <c r="J262" i="2"/>
  <c r="W430" i="2"/>
  <c r="Q438" i="2"/>
  <c r="Q374" i="2"/>
  <c r="I205" i="2"/>
  <c r="J202" i="2"/>
  <c r="W432" i="2"/>
  <c r="S141" i="2"/>
  <c r="T274" i="2"/>
  <c r="J210" i="2"/>
  <c r="P255" i="2"/>
  <c r="Q147" i="2"/>
  <c r="S33" i="2"/>
  <c r="O619" i="2"/>
  <c r="L442" i="2"/>
  <c r="Q38" i="2"/>
  <c r="M26" i="2"/>
  <c r="S261" i="2"/>
  <c r="S202" i="2"/>
  <c r="K30" i="2"/>
  <c r="T146" i="2"/>
  <c r="V433" i="2"/>
  <c r="K163" i="2"/>
  <c r="V146" i="2"/>
  <c r="L603" i="2"/>
  <c r="V610" i="2"/>
  <c r="O271" i="2"/>
  <c r="W100" i="2"/>
  <c r="L432" i="2"/>
  <c r="S89" i="2"/>
  <c r="J609" i="2"/>
  <c r="U495" i="2"/>
  <c r="O388" i="2"/>
  <c r="V255" i="2"/>
  <c r="W166" i="2"/>
  <c r="L609" i="2"/>
  <c r="N267" i="2"/>
  <c r="R374" i="2"/>
  <c r="O262" i="2"/>
  <c r="V31" i="2"/>
  <c r="S488" i="2"/>
  <c r="W318" i="2"/>
  <c r="O147" i="2"/>
  <c r="U432" i="2"/>
  <c r="N489" i="2"/>
  <c r="T38" i="2"/>
  <c r="V91" i="2"/>
  <c r="T312" i="2"/>
  <c r="R100" i="2"/>
  <c r="W410" i="2"/>
  <c r="K488" i="2"/>
  <c r="S274" i="2"/>
  <c r="M267" i="2"/>
  <c r="S375" i="2"/>
  <c r="I100" i="2"/>
  <c r="V26" i="2"/>
  <c r="L88" i="2"/>
  <c r="K430" i="2"/>
  <c r="Q610" i="2"/>
  <c r="N148" i="2"/>
  <c r="J483" i="2"/>
  <c r="K260" i="2"/>
  <c r="V169" i="2"/>
  <c r="L205" i="2"/>
  <c r="L147" i="2"/>
  <c r="R214" i="2"/>
  <c r="I271" i="2"/>
  <c r="Q603" i="2"/>
  <c r="P148" i="2"/>
  <c r="O204" i="2"/>
  <c r="L319" i="2"/>
  <c r="O148" i="2"/>
  <c r="J91" i="2"/>
  <c r="U169" i="2"/>
  <c r="T430" i="2"/>
  <c r="O163" i="2"/>
  <c r="Q490" i="2"/>
  <c r="L622" i="2"/>
  <c r="T145" i="2"/>
  <c r="V487" i="2"/>
  <c r="W204" i="2"/>
  <c r="S426" i="2"/>
  <c r="I147" i="2"/>
  <c r="N205" i="2"/>
  <c r="I619" i="2"/>
  <c r="J499" i="2"/>
  <c r="V615" i="2"/>
  <c r="Q48" i="2"/>
  <c r="T499" i="2"/>
  <c r="L32" i="2"/>
  <c r="O489" i="2"/>
  <c r="N261" i="2"/>
  <c r="I495" i="2"/>
  <c r="K352" i="2"/>
  <c r="Q261" i="2"/>
  <c r="V262" i="2"/>
  <c r="R91" i="2"/>
  <c r="R362" i="2"/>
  <c r="V38" i="2"/>
  <c r="Q259" i="2"/>
  <c r="T438" i="2"/>
  <c r="T42" i="2"/>
  <c r="S198" i="2"/>
  <c r="Q91" i="2"/>
  <c r="J96" i="2"/>
  <c r="T141" i="2"/>
  <c r="J410" i="2"/>
  <c r="R89" i="2"/>
  <c r="U261" i="2"/>
  <c r="I214" i="2"/>
  <c r="S490" i="2"/>
  <c r="I328" i="2"/>
  <c r="Q488" i="2"/>
  <c r="R259" i="2"/>
  <c r="M202" i="2"/>
  <c r="Q483" i="2"/>
  <c r="P157" i="2"/>
  <c r="L438" i="2"/>
  <c r="S373" i="2"/>
  <c r="W210" i="2"/>
  <c r="I157" i="2"/>
  <c r="P433" i="2"/>
  <c r="N204" i="2"/>
  <c r="O267" i="2"/>
  <c r="O153" i="2"/>
  <c r="V202" i="2"/>
  <c r="S267" i="2"/>
  <c r="Q141" i="2"/>
  <c r="V84" i="2"/>
  <c r="V48" i="2"/>
  <c r="P603" i="2"/>
  <c r="V88" i="2"/>
  <c r="S495" i="2"/>
  <c r="K615" i="2"/>
  <c r="S483" i="2"/>
  <c r="P438" i="2"/>
  <c r="R318" i="2"/>
  <c r="L615" i="2"/>
  <c r="Q90" i="2"/>
  <c r="I88" i="2"/>
  <c r="W198" i="2"/>
  <c r="W205" i="2"/>
  <c r="I38" i="2"/>
  <c r="J271" i="2"/>
  <c r="R483" i="2"/>
  <c r="J430" i="2"/>
  <c r="M615" i="2"/>
  <c r="R438" i="2"/>
  <c r="L487" i="2"/>
  <c r="P141" i="2"/>
  <c r="T31" i="2"/>
  <c r="O210" i="2"/>
  <c r="S431" i="2"/>
  <c r="M147" i="2"/>
  <c r="K489" i="2"/>
  <c r="P483" i="2"/>
  <c r="T202" i="2"/>
  <c r="V261" i="2"/>
  <c r="M373" i="2"/>
  <c r="M499" i="2"/>
  <c r="K499" i="2"/>
  <c r="S334" i="2"/>
  <c r="K622" i="2"/>
  <c r="O525" i="2"/>
  <c r="P430" i="2"/>
  <c r="K157" i="2"/>
  <c r="J442" i="2"/>
  <c r="K214" i="2"/>
  <c r="Q106" i="2"/>
  <c r="P432" i="2"/>
  <c r="J607" i="2"/>
  <c r="W362" i="2"/>
  <c r="W489" i="2"/>
  <c r="L259" i="2"/>
  <c r="O32" i="2"/>
  <c r="I261" i="2"/>
  <c r="R388" i="2"/>
  <c r="S381" i="2"/>
  <c r="S26" i="2"/>
  <c r="P418" i="2"/>
  <c r="K608" i="2"/>
  <c r="K26" i="2"/>
  <c r="P106" i="2"/>
  <c r="P84" i="2"/>
  <c r="U260" i="2"/>
  <c r="P100" i="2"/>
  <c r="P319" i="2"/>
  <c r="N141" i="2"/>
  <c r="N26" i="2"/>
  <c r="W495" i="2"/>
  <c r="I622" i="2"/>
  <c r="T319" i="2"/>
  <c r="S324" i="2"/>
  <c r="V141" i="2"/>
  <c r="U607" i="2"/>
  <c r="O26" i="2"/>
  <c r="M490" i="2"/>
  <c r="J38" i="2"/>
  <c r="I410" i="2"/>
  <c r="Q622" i="2"/>
  <c r="J375" i="2"/>
  <c r="J100" i="2"/>
  <c r="K76" i="2"/>
  <c r="O316" i="2"/>
  <c r="N366" i="2"/>
  <c r="U319" i="2"/>
  <c r="M433" i="2"/>
  <c r="I90" i="2"/>
  <c r="V374" i="2"/>
  <c r="T622" i="2"/>
  <c r="J33" i="2"/>
  <c r="V145" i="2"/>
  <c r="O467" i="2"/>
  <c r="J586" i="2"/>
  <c r="V488" i="2"/>
  <c r="S205" i="2"/>
  <c r="T352" i="2"/>
  <c r="Q375" i="2"/>
  <c r="N202" i="2"/>
  <c r="N259" i="2"/>
  <c r="N328" i="2"/>
  <c r="Q42" i="2"/>
  <c r="T316" i="2"/>
  <c r="W433" i="2"/>
  <c r="T432" i="2"/>
  <c r="J255" i="2"/>
  <c r="M205" i="2"/>
  <c r="W163" i="2"/>
  <c r="W426" i="2"/>
  <c r="K490" i="2"/>
  <c r="K259" i="2"/>
  <c r="N210" i="2"/>
  <c r="P205" i="2"/>
  <c r="L163" i="2"/>
  <c r="I255" i="2"/>
  <c r="J615" i="2"/>
  <c r="W657" i="2"/>
  <c r="J204" i="2"/>
  <c r="Q255" i="2"/>
  <c r="M31" i="2"/>
  <c r="R106" i="2"/>
  <c r="R607" i="2"/>
  <c r="M260" i="2"/>
  <c r="W203" i="2"/>
  <c r="L483" i="2"/>
  <c r="U88" i="2"/>
  <c r="R30" i="2"/>
  <c r="W316" i="2"/>
  <c r="Q296" i="2"/>
  <c r="N31" i="2"/>
  <c r="J432" i="2"/>
  <c r="O42" i="2"/>
  <c r="U369" i="2"/>
  <c r="L619" i="2"/>
  <c r="I502" i="2"/>
  <c r="S312" i="2"/>
  <c r="W418" i="2"/>
  <c r="O369" i="2"/>
  <c r="O352" i="2"/>
  <c r="N410" i="2"/>
  <c r="J353" i="2"/>
  <c r="V147" i="2"/>
  <c r="J90" i="2"/>
  <c r="M96" i="2"/>
  <c r="K84" i="2"/>
  <c r="S622" i="2"/>
  <c r="V182" i="2"/>
  <c r="I33" i="2"/>
  <c r="T96" i="2"/>
  <c r="J502" i="2"/>
  <c r="L369" i="2"/>
  <c r="T361" i="2"/>
  <c r="P467" i="2"/>
  <c r="S376" i="2"/>
  <c r="L33" i="2"/>
  <c r="O124" i="2"/>
  <c r="S96" i="2"/>
  <c r="L373" i="2"/>
  <c r="O483" i="2"/>
  <c r="S505" i="2"/>
  <c r="M610" i="2"/>
  <c r="Q305" i="2"/>
  <c r="N607" i="2"/>
  <c r="V316" i="2"/>
  <c r="L48" i="2"/>
  <c r="Q316" i="2"/>
  <c r="R153" i="2"/>
  <c r="T163" i="2"/>
  <c r="W106" i="2"/>
  <c r="N38" i="2"/>
  <c r="V431" i="2"/>
  <c r="M432" i="2"/>
  <c r="U30" i="2"/>
  <c r="P91" i="2"/>
  <c r="U210" i="2"/>
  <c r="L610" i="2"/>
  <c r="S157" i="2"/>
  <c r="V369" i="2"/>
  <c r="R42" i="2"/>
  <c r="L148" i="2"/>
  <c r="V153" i="2"/>
  <c r="U157" i="2"/>
  <c r="T483" i="2"/>
  <c r="W202" i="2"/>
  <c r="R38" i="2"/>
  <c r="R33" i="2"/>
  <c r="W42" i="2"/>
  <c r="Q202" i="2"/>
  <c r="T433" i="2"/>
  <c r="J30" i="2"/>
  <c r="O596" i="2"/>
  <c r="L51" i="2"/>
  <c r="S277" i="2"/>
  <c r="S204" i="2"/>
  <c r="R442" i="2"/>
  <c r="K252" i="2"/>
  <c r="J476" i="2"/>
  <c r="O33" i="2"/>
  <c r="J89" i="2"/>
  <c r="U48" i="2"/>
  <c r="K369" i="2"/>
  <c r="J32" i="2"/>
  <c r="Q388" i="2"/>
  <c r="U610" i="2"/>
  <c r="M369" i="2"/>
  <c r="S304" i="2"/>
  <c r="N495" i="2"/>
  <c r="P31" i="2"/>
  <c r="W30" i="2"/>
  <c r="K610" i="2"/>
  <c r="P316" i="2"/>
  <c r="V67" i="2"/>
  <c r="U134" i="2"/>
  <c r="R665" i="2"/>
  <c r="S91" i="2"/>
  <c r="K255" i="2"/>
  <c r="V198" i="2"/>
  <c r="J274" i="2"/>
  <c r="I353" i="2"/>
  <c r="M324" i="2"/>
  <c r="P373" i="2"/>
  <c r="N32" i="2"/>
  <c r="O499" i="2"/>
  <c r="M608" i="2"/>
  <c r="L204" i="2"/>
  <c r="P33" i="2"/>
  <c r="T381" i="2"/>
  <c r="N30" i="2"/>
  <c r="P30" i="2"/>
  <c r="S255" i="2"/>
  <c r="P202" i="2"/>
  <c r="N373" i="2"/>
  <c r="N534" i="2"/>
  <c r="S88" i="2"/>
  <c r="V157" i="2"/>
  <c r="S124" i="2"/>
  <c r="Q525" i="2"/>
  <c r="T48" i="2"/>
  <c r="K603" i="2"/>
  <c r="Q157" i="2"/>
  <c r="L260" i="2"/>
  <c r="R316" i="2"/>
  <c r="I319" i="2"/>
  <c r="U475" i="2"/>
  <c r="K619" i="2"/>
  <c r="K90" i="2"/>
  <c r="T467" i="2"/>
  <c r="R376" i="2"/>
  <c r="U410" i="2"/>
  <c r="M495" i="2"/>
  <c r="N96" i="2"/>
  <c r="Q662" i="2"/>
  <c r="N502" i="2"/>
  <c r="Q586" i="2"/>
  <c r="M595" i="2"/>
  <c r="Q210" i="2"/>
  <c r="O247" i="2"/>
  <c r="N76" i="2"/>
  <c r="M18" i="2"/>
  <c r="N587" i="2"/>
  <c r="J57" i="2"/>
  <c r="W259" i="2"/>
  <c r="T610" i="2"/>
  <c r="O31" i="2"/>
  <c r="Q534" i="2"/>
  <c r="K419" i="2"/>
  <c r="P596" i="2"/>
  <c r="I489" i="2"/>
  <c r="T419" i="2"/>
  <c r="J362" i="2"/>
  <c r="V295" i="2"/>
  <c r="N10" i="2"/>
  <c r="J560" i="2"/>
  <c r="L490" i="2"/>
  <c r="J619" i="2"/>
  <c r="I663" i="2"/>
  <c r="W91" i="2"/>
  <c r="P115" i="2"/>
  <c r="J587" i="2"/>
  <c r="N433" i="2"/>
  <c r="O48" i="2"/>
  <c r="L419" i="2"/>
  <c r="N595" i="2"/>
  <c r="I316" i="2"/>
  <c r="Q304" i="2"/>
  <c r="P595" i="2"/>
  <c r="R586" i="2"/>
  <c r="W304" i="2"/>
  <c r="U182" i="2"/>
  <c r="R541" i="2"/>
  <c r="R488" i="2"/>
  <c r="M148" i="2"/>
  <c r="T295" i="2"/>
  <c r="L106" i="2"/>
  <c r="V665" i="2"/>
  <c r="P786" i="2"/>
  <c r="L67" i="2"/>
  <c r="K475" i="2"/>
  <c r="I376" i="2"/>
  <c r="U352" i="2"/>
  <c r="R68" i="2"/>
  <c r="M381" i="2"/>
  <c r="P819" i="2"/>
  <c r="N90" i="2"/>
  <c r="J361" i="2"/>
  <c r="K534" i="2"/>
  <c r="V312" i="2"/>
  <c r="N596" i="2"/>
  <c r="J495" i="2"/>
  <c r="Q88" i="2"/>
  <c r="U38" i="2"/>
  <c r="W18" i="2"/>
  <c r="R124" i="2"/>
  <c r="N376" i="2"/>
  <c r="I369" i="2"/>
  <c r="Q409" i="2"/>
  <c r="W181" i="2"/>
  <c r="K133" i="2"/>
  <c r="R319" i="2"/>
  <c r="R548" i="2"/>
  <c r="R418" i="2"/>
  <c r="I557" i="2"/>
  <c r="L90" i="2"/>
  <c r="U91" i="2"/>
  <c r="L488" i="2"/>
  <c r="Q476" i="2"/>
  <c r="I786" i="2"/>
  <c r="U19" i="2"/>
  <c r="L181" i="2"/>
  <c r="M596" i="2"/>
  <c r="I115" i="2"/>
  <c r="O115" i="2"/>
  <c r="P134" i="2"/>
  <c r="M261" i="2"/>
  <c r="S163" i="2"/>
  <c r="N124" i="2"/>
  <c r="I84" i="2"/>
  <c r="P77" i="2"/>
  <c r="U619" i="2"/>
  <c r="Q442" i="2"/>
  <c r="O476" i="2"/>
  <c r="S448" i="2"/>
  <c r="R660" i="2"/>
  <c r="N115" i="2"/>
  <c r="S607" i="2"/>
  <c r="N88" i="2"/>
  <c r="W738" i="2"/>
  <c r="R96" i="2"/>
  <c r="T553" i="2"/>
  <c r="R328" i="2"/>
  <c r="V214" i="2"/>
  <c r="P48" i="2"/>
  <c r="P385" i="2"/>
  <c r="M259" i="2"/>
  <c r="S374" i="2"/>
  <c r="M51" i="2"/>
  <c r="P374" i="2"/>
  <c r="N480" i="2"/>
  <c r="U106" i="2"/>
  <c r="L608" i="2"/>
  <c r="W84" i="2"/>
  <c r="N324" i="2"/>
  <c r="Q124" i="2"/>
  <c r="I487" i="2"/>
  <c r="L324" i="2"/>
  <c r="V489" i="2"/>
  <c r="J42" i="2"/>
  <c r="V376" i="2"/>
  <c r="N615" i="2"/>
  <c r="K210" i="2"/>
  <c r="T607" i="2"/>
  <c r="O410" i="2"/>
  <c r="V475" i="2"/>
  <c r="S476" i="2"/>
  <c r="N388" i="2"/>
  <c r="S210" i="2"/>
  <c r="J433" i="2"/>
  <c r="L361" i="2"/>
  <c r="S32" i="2"/>
  <c r="U388" i="2"/>
  <c r="Q324" i="2"/>
  <c r="N603" i="2"/>
  <c r="U90" i="2"/>
  <c r="L42" i="2"/>
  <c r="O319" i="2"/>
  <c r="M442" i="2"/>
  <c r="P381" i="2"/>
  <c r="L89" i="2"/>
  <c r="W238" i="2"/>
  <c r="V238" i="2"/>
  <c r="V410" i="2"/>
  <c r="U115" i="2"/>
  <c r="V534" i="2"/>
  <c r="R546" i="2"/>
  <c r="S419" i="2"/>
  <c r="J305" i="2"/>
  <c r="Q153" i="2"/>
  <c r="R172" i="2"/>
  <c r="L374" i="2"/>
  <c r="N819" i="2"/>
  <c r="J480" i="2"/>
  <c r="W816" i="2"/>
  <c r="W153" i="2"/>
  <c r="O824" i="2"/>
  <c r="N538" i="2"/>
  <c r="L816" i="2"/>
  <c r="Q133" i="2"/>
  <c r="N553" i="2"/>
  <c r="R32" i="2"/>
  <c r="R88" i="2"/>
  <c r="V163" i="2"/>
  <c r="N305" i="2"/>
  <c r="U596" i="2"/>
  <c r="J304" i="2"/>
  <c r="U324" i="2"/>
  <c r="K423" i="2"/>
  <c r="S596" i="2"/>
  <c r="R410" i="2"/>
  <c r="I305" i="2"/>
  <c r="T495" i="2"/>
  <c r="Q172" i="2"/>
  <c r="U423" i="2"/>
  <c r="L210" i="2"/>
  <c r="S433" i="2"/>
  <c r="W317" i="2"/>
  <c r="S148" i="2"/>
  <c r="S362" i="2"/>
  <c r="R138" i="2"/>
  <c r="M109" i="2"/>
  <c r="N353" i="2"/>
  <c r="K353" i="2"/>
  <c r="T255" i="2"/>
  <c r="U381" i="2"/>
  <c r="O89" i="2"/>
  <c r="O609" i="2"/>
  <c r="P181" i="2"/>
  <c r="T442" i="2"/>
  <c r="Q608" i="2"/>
  <c r="P615" i="2"/>
  <c r="L195" i="2"/>
  <c r="P214" i="2"/>
  <c r="P587" i="2"/>
  <c r="O96" i="2"/>
  <c r="T409" i="2"/>
  <c r="M466" i="2"/>
  <c r="M375" i="2"/>
  <c r="I595" i="2"/>
  <c r="U96" i="2"/>
  <c r="I442" i="2"/>
  <c r="U305" i="2"/>
  <c r="J68" i="2"/>
  <c r="N545" i="2"/>
  <c r="M823" i="2"/>
  <c r="R309" i="2"/>
  <c r="Q191" i="2"/>
  <c r="M57" i="2"/>
  <c r="P89" i="2"/>
  <c r="W483" i="2"/>
  <c r="O91" i="2"/>
  <c r="N84" i="2"/>
  <c r="J267" i="2"/>
  <c r="P586" i="2"/>
  <c r="I385" i="2"/>
  <c r="V30" i="2"/>
  <c r="I608" i="2"/>
  <c r="J595" i="2"/>
  <c r="T147" i="2"/>
  <c r="K388" i="2"/>
  <c r="K88" i="2"/>
  <c r="J163" i="2"/>
  <c r="U385" i="2"/>
  <c r="P252" i="2"/>
  <c r="W375" i="2"/>
  <c r="J603" i="2"/>
  <c r="K487" i="2"/>
  <c r="M525" i="2"/>
  <c r="N385" i="2"/>
  <c r="N442" i="2"/>
  <c r="R375" i="2"/>
  <c r="M319" i="2"/>
  <c r="O603" i="2"/>
  <c r="U267" i="2"/>
  <c r="N89" i="2"/>
  <c r="M438" i="2"/>
  <c r="P502" i="2"/>
  <c r="T487" i="2"/>
  <c r="I169" i="2"/>
  <c r="V738" i="2"/>
  <c r="S214" i="2"/>
  <c r="T431" i="2"/>
  <c r="O419" i="2"/>
  <c r="W124" i="2"/>
  <c r="P524" i="2"/>
  <c r="T374" i="2"/>
  <c r="Q410" i="2"/>
  <c r="U89" i="2"/>
  <c r="V622" i="2"/>
  <c r="V352" i="2"/>
  <c r="V76" i="2"/>
  <c r="T652" i="2"/>
  <c r="N296" i="2"/>
  <c r="T106" i="2"/>
  <c r="Q823" i="2"/>
  <c r="Q628" i="2" s="1"/>
  <c r="J324" i="2"/>
  <c r="O822" i="2"/>
  <c r="M786" i="2"/>
  <c r="W608" i="2"/>
  <c r="J48" i="2"/>
  <c r="O533" i="2"/>
  <c r="N169" i="2"/>
  <c r="O438" i="2"/>
  <c r="P328" i="2"/>
  <c r="J475" i="2"/>
  <c r="W195" i="2"/>
  <c r="K467" i="2"/>
  <c r="L430" i="2"/>
  <c r="N418" i="2"/>
  <c r="J373" i="2"/>
  <c r="P665" i="2"/>
  <c r="S625" i="2"/>
  <c r="P823" i="2"/>
  <c r="R524" i="2"/>
  <c r="O109" i="2"/>
  <c r="V524" i="2"/>
  <c r="Q67" i="2"/>
  <c r="P388" i="2"/>
  <c r="W33" i="2"/>
  <c r="K586" i="2"/>
  <c r="Q467" i="2"/>
  <c r="Q328" i="2"/>
  <c r="J489" i="2"/>
  <c r="R560" i="2"/>
  <c r="K9" i="2"/>
  <c r="P600" i="2"/>
  <c r="K112" i="2"/>
  <c r="L57" i="2"/>
  <c r="L202" i="2"/>
  <c r="N319" i="2"/>
  <c r="T203" i="2"/>
  <c r="N608" i="2"/>
  <c r="K495" i="2"/>
  <c r="V388" i="2"/>
  <c r="J148" i="2"/>
  <c r="S553" i="2"/>
  <c r="S191" i="2"/>
  <c r="Q138" i="2"/>
  <c r="S19" i="2"/>
  <c r="S547" i="2"/>
  <c r="K10" i="2"/>
  <c r="K824" i="2"/>
  <c r="U608" i="2"/>
  <c r="P26" i="2"/>
  <c r="I533" i="2"/>
  <c r="N375" i="2"/>
  <c r="R169" i="2"/>
  <c r="O502" i="2"/>
  <c r="R31" i="2"/>
  <c r="J157" i="2"/>
  <c r="V68" i="2"/>
  <c r="U603" i="2"/>
  <c r="O305" i="2"/>
  <c r="U42" i="2"/>
  <c r="N239" i="2"/>
  <c r="W10" i="2"/>
  <c r="U819" i="2"/>
  <c r="K191" i="2"/>
  <c r="T91" i="2"/>
  <c r="K433" i="2"/>
  <c r="K410" i="2"/>
  <c r="K238" i="2"/>
  <c r="W538" i="2"/>
  <c r="J352" i="2"/>
  <c r="M483" i="2"/>
  <c r="U586" i="2"/>
  <c r="R204" i="2"/>
  <c r="I204" i="2"/>
  <c r="T100" i="2"/>
  <c r="U375" i="2"/>
  <c r="P96" i="2"/>
  <c r="W296" i="2"/>
  <c r="S656" i="2"/>
  <c r="V495" i="2"/>
  <c r="V381" i="2"/>
  <c r="I609" i="2"/>
  <c r="R587" i="2"/>
  <c r="T305" i="2"/>
  <c r="M124" i="2"/>
  <c r="O296" i="2"/>
  <c r="L84" i="2"/>
  <c r="U238" i="2"/>
  <c r="O23" i="2"/>
  <c r="K54" i="2"/>
  <c r="J259" i="2"/>
  <c r="L534" i="2"/>
  <c r="M418" i="2"/>
  <c r="K316" i="2"/>
  <c r="V608" i="2"/>
  <c r="P42" i="2"/>
  <c r="K546" i="2"/>
  <c r="O30" i="2"/>
  <c r="W261" i="2"/>
  <c r="U533" i="2"/>
  <c r="R252" i="2"/>
  <c r="J260" i="2"/>
  <c r="U786" i="2"/>
  <c r="U800" i="2" s="1"/>
  <c r="O138" i="2"/>
  <c r="K655" i="2"/>
  <c r="I819" i="2"/>
  <c r="L385" i="2"/>
  <c r="W664" i="2"/>
  <c r="N247" i="2"/>
  <c r="M534" i="2"/>
  <c r="K318" i="2"/>
  <c r="N619" i="2"/>
  <c r="S366" i="2"/>
  <c r="U9" i="2"/>
  <c r="N663" i="2"/>
  <c r="N610" i="2"/>
  <c r="Q376" i="2"/>
  <c r="U23" i="2"/>
  <c r="Q366" i="2"/>
  <c r="W81" i="2"/>
  <c r="U172" i="2"/>
  <c r="P362" i="2"/>
  <c r="W622" i="2"/>
  <c r="Q499" i="2"/>
  <c r="S385" i="2"/>
  <c r="O557" i="2"/>
  <c r="M112" i="2"/>
  <c r="S259" i="2"/>
  <c r="Q466" i="2"/>
  <c r="M304" i="2"/>
  <c r="Q109" i="2"/>
  <c r="I138" i="2"/>
  <c r="J525" i="2"/>
  <c r="K38" i="2"/>
  <c r="W67" i="2"/>
  <c r="U538" i="2"/>
  <c r="V600" i="2"/>
  <c r="O76" i="2"/>
  <c r="V191" i="2"/>
  <c r="R205" i="2"/>
  <c r="U163" i="2"/>
  <c r="I524" i="2"/>
  <c r="V824" i="2"/>
  <c r="P18" i="2"/>
  <c r="W32" i="2"/>
  <c r="N499" i="2"/>
  <c r="S499" i="2"/>
  <c r="L318" i="2"/>
  <c r="L388" i="2"/>
  <c r="K409" i="2"/>
  <c r="K57" i="2"/>
  <c r="I274" i="2"/>
  <c r="I823" i="2"/>
  <c r="I280" i="2" s="1"/>
  <c r="M388" i="2"/>
  <c r="T210" i="2"/>
  <c r="M366" i="2"/>
  <c r="U525" i="2"/>
  <c r="S309" i="2"/>
  <c r="R600" i="2"/>
  <c r="I124" i="2"/>
  <c r="I607" i="2"/>
  <c r="W89" i="2"/>
  <c r="K324" i="2"/>
  <c r="U374" i="2"/>
  <c r="P304" i="2"/>
  <c r="L786" i="2"/>
  <c r="R433" i="2"/>
  <c r="L587" i="2"/>
  <c r="S663" i="2"/>
  <c r="W823" i="2"/>
  <c r="K609" i="2"/>
  <c r="N318" i="2"/>
  <c r="T247" i="2"/>
  <c r="U655" i="2"/>
  <c r="S81" i="2"/>
  <c r="P538" i="2"/>
  <c r="K274" i="2"/>
  <c r="R48" i="2"/>
  <c r="V353" i="2"/>
  <c r="O373" i="2"/>
  <c r="U191" i="2"/>
  <c r="W271" i="2"/>
  <c r="V607" i="2"/>
  <c r="T205" i="2"/>
  <c r="N153" i="2"/>
  <c r="V317" i="2"/>
  <c r="N476" i="2"/>
  <c r="M214" i="2"/>
  <c r="M309" i="2"/>
  <c r="I587" i="2"/>
  <c r="L133" i="2"/>
  <c r="Q665" i="2"/>
  <c r="M33" i="2"/>
  <c r="L489" i="2"/>
  <c r="N487" i="2"/>
  <c r="T19" i="2"/>
  <c r="O57" i="2"/>
  <c r="W125" i="2"/>
  <c r="M663" i="2"/>
  <c r="R274" i="2"/>
  <c r="T466" i="2"/>
  <c r="T267" i="2"/>
  <c r="V319" i="2"/>
  <c r="W534" i="2"/>
  <c r="T560" i="2"/>
  <c r="O259" i="2"/>
  <c r="Q195" i="2"/>
  <c r="R84" i="2"/>
  <c r="S42" i="2"/>
  <c r="I361" i="2"/>
  <c r="V822" i="2"/>
  <c r="M32" i="2"/>
  <c r="W115" i="2"/>
  <c r="S595" i="2"/>
  <c r="L138" i="2"/>
  <c r="R115" i="2"/>
  <c r="M247" i="2"/>
  <c r="V9" i="2"/>
  <c r="L134" i="2"/>
  <c r="P19" i="2"/>
  <c r="N274" i="2"/>
  <c r="M19" i="2"/>
  <c r="J316" i="2"/>
  <c r="W619" i="2"/>
  <c r="O495" i="2"/>
  <c r="U153" i="2"/>
  <c r="W610" i="2"/>
  <c r="Q30" i="2"/>
  <c r="W148" i="2"/>
  <c r="N409" i="2"/>
  <c r="Q51" i="2"/>
  <c r="R163" i="2"/>
  <c r="W274" i="2"/>
  <c r="M475" i="2"/>
  <c r="S296" i="2"/>
  <c r="K148" i="2"/>
  <c r="M88" i="2"/>
  <c r="R202" i="2"/>
  <c r="O615" i="2"/>
  <c r="U489" i="2"/>
  <c r="N609" i="2"/>
  <c r="J295" i="2"/>
  <c r="O475" i="2"/>
  <c r="O607" i="2"/>
  <c r="S603" i="2"/>
  <c r="M38" i="2"/>
  <c r="W247" i="2"/>
  <c r="W133" i="2"/>
  <c r="W309" i="2"/>
  <c r="P190" i="2"/>
  <c r="L316" i="2"/>
  <c r="Q595" i="2"/>
  <c r="W603" i="2"/>
  <c r="Q553" i="2"/>
  <c r="U271" i="2"/>
  <c r="I57" i="2"/>
  <c r="Q247" i="2"/>
  <c r="V483" i="2"/>
  <c r="O18" i="2"/>
  <c r="I430" i="2"/>
  <c r="S545" i="2"/>
  <c r="W373" i="2"/>
  <c r="W214" i="2"/>
  <c r="W476" i="2"/>
  <c r="R90" i="2"/>
  <c r="T328" i="2"/>
  <c r="Q68" i="2"/>
  <c r="P248" i="2"/>
  <c r="I247" i="2"/>
  <c r="K23" i="2"/>
  <c r="W239" i="2"/>
  <c r="W388" i="2"/>
  <c r="T665" i="2"/>
  <c r="I181" i="2"/>
  <c r="Q125" i="2"/>
  <c r="R619" i="2"/>
  <c r="U560" i="2"/>
  <c r="V586" i="2"/>
  <c r="V90" i="2"/>
  <c r="R267" i="2"/>
  <c r="V19" i="2"/>
  <c r="P816" i="2"/>
  <c r="Q267" i="2"/>
  <c r="L19" i="2"/>
  <c r="I202" i="2"/>
  <c r="J76" i="2"/>
  <c r="I54" i="2"/>
  <c r="K502" i="2"/>
  <c r="W487" i="2"/>
  <c r="O169" i="2"/>
  <c r="V603" i="2"/>
  <c r="K376" i="2"/>
  <c r="K91" i="2"/>
  <c r="K42" i="2"/>
  <c r="M362" i="2"/>
  <c r="W319" i="2"/>
  <c r="S467" i="2"/>
  <c r="V480" i="2"/>
  <c r="J376" i="2"/>
  <c r="O261" i="2"/>
  <c r="T10" i="2"/>
  <c r="R77" i="2"/>
  <c r="O68" i="2"/>
  <c r="L262" i="2"/>
  <c r="T259" i="2"/>
  <c r="R381" i="2"/>
  <c r="U659" i="2"/>
  <c r="S487" i="2"/>
  <c r="M153" i="2"/>
  <c r="M316" i="2"/>
  <c r="T369" i="2"/>
  <c r="P324" i="2"/>
  <c r="N133" i="2"/>
  <c r="T362" i="2"/>
  <c r="J418" i="2"/>
  <c r="M533" i="2"/>
  <c r="I362" i="2"/>
  <c r="Q381" i="2"/>
  <c r="M560" i="2"/>
  <c r="Q609" i="2"/>
  <c r="N547" i="2"/>
  <c r="N490" i="2"/>
  <c r="R609" i="2"/>
  <c r="J261" i="2"/>
  <c r="K305" i="2"/>
  <c r="Q353" i="2"/>
  <c r="R260" i="2"/>
  <c r="Q262" i="2"/>
  <c r="N77" i="2"/>
  <c r="Q32" i="2"/>
  <c r="I125" i="2"/>
  <c r="N488" i="2"/>
  <c r="V587" i="2"/>
  <c r="O823" i="2"/>
  <c r="Q84" i="2"/>
  <c r="M586" i="2"/>
  <c r="T663" i="2"/>
  <c r="L607" i="2"/>
  <c r="L665" i="2"/>
  <c r="T317" i="2"/>
  <c r="I409" i="2"/>
  <c r="Q309" i="2"/>
  <c r="O816" i="2"/>
  <c r="L819" i="2"/>
  <c r="L548" i="2"/>
  <c r="R262" i="2"/>
  <c r="J296" i="2"/>
  <c r="S391" i="2"/>
  <c r="K385" i="2"/>
  <c r="R366" i="2"/>
  <c r="K662" i="2"/>
  <c r="K480" i="2"/>
  <c r="V432" i="2"/>
  <c r="S38" i="2"/>
  <c r="L362" i="2"/>
  <c r="S533" i="2"/>
  <c r="Q419" i="2"/>
  <c r="U316" i="2"/>
  <c r="L100" i="2"/>
  <c r="W381" i="2"/>
  <c r="M423" i="2"/>
  <c r="L255" i="2"/>
  <c r="R385" i="2"/>
  <c r="W305" i="2"/>
  <c r="U32" i="2"/>
  <c r="V652" i="2"/>
  <c r="T656" i="2"/>
  <c r="V660" i="2"/>
  <c r="N525" i="2"/>
  <c r="V659" i="2"/>
  <c r="L600" i="2"/>
  <c r="V553" i="2"/>
  <c r="V296" i="2"/>
  <c r="Q76" i="2"/>
  <c r="J248" i="2"/>
  <c r="P153" i="2"/>
  <c r="Q487" i="2"/>
  <c r="U214" i="2"/>
  <c r="M91" i="2"/>
  <c r="L295" i="2"/>
  <c r="W312" i="2"/>
  <c r="L10" i="2"/>
  <c r="P138" i="2"/>
  <c r="K483" i="2"/>
  <c r="T133" i="2"/>
  <c r="S54" i="2"/>
  <c r="N662" i="2"/>
  <c r="K533" i="2"/>
  <c r="S423" i="2"/>
  <c r="O662" i="2"/>
  <c r="Q548" i="2"/>
  <c r="K141" i="2"/>
  <c r="P488" i="2"/>
  <c r="I375" i="2"/>
  <c r="R352" i="2"/>
  <c r="K442" i="2"/>
  <c r="P369" i="2"/>
  <c r="V138" i="2"/>
  <c r="P475" i="2"/>
  <c r="T600" i="2"/>
  <c r="M125" i="2"/>
  <c r="S352" i="2"/>
  <c r="S51" i="2"/>
  <c r="T502" i="2"/>
  <c r="J374" i="2"/>
  <c r="V609" i="2"/>
  <c r="J147" i="2"/>
  <c r="I546" i="2"/>
  <c r="O490" i="2"/>
  <c r="P125" i="2"/>
  <c r="O328" i="2"/>
  <c r="P271" i="2"/>
  <c r="L267" i="2"/>
  <c r="K31" i="2"/>
  <c r="I490" i="2"/>
  <c r="U76" i="2"/>
  <c r="I48" i="2"/>
  <c r="P419" i="2"/>
  <c r="V362" i="2"/>
  <c r="I76" i="2"/>
  <c r="T410" i="2"/>
  <c r="S525" i="2"/>
  <c r="J141" i="2"/>
  <c r="O157" i="2"/>
  <c r="O248" i="2"/>
  <c r="V190" i="2"/>
  <c r="T376" i="2"/>
  <c r="P238" i="2"/>
  <c r="I538" i="2"/>
  <c r="W38" i="2"/>
  <c r="U304" i="2"/>
  <c r="N67" i="2"/>
  <c r="I112" i="2"/>
  <c r="S409" i="2"/>
  <c r="M318" i="2"/>
  <c r="R495" i="2"/>
  <c r="Q181" i="2"/>
  <c r="M607" i="2"/>
  <c r="J247" i="2"/>
  <c r="W467" i="2"/>
  <c r="N665" i="2"/>
  <c r="I259" i="2"/>
  <c r="P487" i="2"/>
  <c r="R480" i="2"/>
  <c r="V17" i="2"/>
  <c r="L328" i="2"/>
  <c r="N374" i="2"/>
  <c r="R608" i="2"/>
  <c r="P262" i="2"/>
  <c r="J181" i="2"/>
  <c r="S480" i="2"/>
  <c r="Q600" i="2"/>
  <c r="J596" i="2"/>
  <c r="I373" i="2"/>
  <c r="O487" i="2"/>
  <c r="T239" i="2"/>
  <c r="T586" i="2"/>
  <c r="V375" i="2"/>
  <c r="L557" i="2"/>
  <c r="W96" i="2"/>
  <c r="Q26" i="2"/>
  <c r="W658" i="2"/>
  <c r="W586" i="2"/>
  <c r="W385" i="2"/>
  <c r="O587" i="2"/>
  <c r="S305" i="2"/>
  <c r="I324" i="2"/>
  <c r="V655" i="2"/>
  <c r="T57" i="2"/>
  <c r="V546" i="2"/>
  <c r="I381" i="2"/>
  <c r="V51" i="2"/>
  <c r="S662" i="2"/>
  <c r="O19" i="2"/>
  <c r="R489" i="2"/>
  <c r="N533" i="2"/>
  <c r="R125" i="2"/>
  <c r="I466" i="2"/>
  <c r="R525" i="2"/>
  <c r="J239" i="2"/>
  <c r="R615" i="2"/>
  <c r="R324" i="2"/>
  <c r="U667" i="2"/>
  <c r="Q9" i="2"/>
  <c r="V181" i="2"/>
  <c r="K374" i="2"/>
  <c r="J319" i="2"/>
  <c r="W600" i="2"/>
  <c r="U665" i="2"/>
  <c r="V499" i="2"/>
  <c r="V533" i="2"/>
  <c r="K418" i="2"/>
  <c r="M557" i="2"/>
  <c r="O191" i="2"/>
  <c r="U587" i="2"/>
  <c r="S655" i="2"/>
  <c r="Q18" i="2"/>
  <c r="S819" i="2"/>
  <c r="O295" i="2"/>
  <c r="T84" i="2"/>
  <c r="L271" i="2"/>
  <c r="P163" i="2"/>
  <c r="M255" i="2"/>
  <c r="V656" i="2"/>
  <c r="W262" i="2"/>
  <c r="P822" i="2"/>
  <c r="P277" i="2" s="1"/>
  <c r="J816" i="2"/>
  <c r="O190" i="2"/>
  <c r="W609" i="2"/>
  <c r="N524" i="2"/>
  <c r="R148" i="2"/>
  <c r="N42" i="2"/>
  <c r="W502" i="2"/>
  <c r="O430" i="2"/>
  <c r="V560" i="2"/>
  <c r="W596" i="2"/>
  <c r="T587" i="2"/>
  <c r="W353" i="2"/>
  <c r="J182" i="2"/>
  <c r="T81" i="2"/>
  <c r="T525" i="2"/>
  <c r="L68" i="2"/>
  <c r="T76" i="2"/>
  <c r="L239" i="2"/>
  <c r="O595" i="2"/>
  <c r="R499" i="2"/>
  <c r="J252" i="2"/>
  <c r="O466" i="2"/>
  <c r="T124" i="2"/>
  <c r="W546" i="2"/>
  <c r="Q205" i="2"/>
  <c r="P51" i="2"/>
  <c r="R373" i="2"/>
  <c r="Q239" i="2"/>
  <c r="K309" i="2"/>
  <c r="S369" i="2"/>
  <c r="P38" i="2"/>
  <c r="M385" i="2"/>
  <c r="M262" i="2"/>
  <c r="J622" i="2"/>
  <c r="I610" i="2"/>
  <c r="O361" i="2"/>
  <c r="T296" i="2"/>
  <c r="W252" i="2"/>
  <c r="W295" i="2"/>
  <c r="W607" i="2"/>
  <c r="Q100" i="2"/>
  <c r="I141" i="2"/>
  <c r="S659" i="2"/>
  <c r="N316" i="2"/>
  <c r="L553" i="2"/>
  <c r="T261" i="2"/>
  <c r="K596" i="2"/>
  <c r="L495" i="2"/>
  <c r="K822" i="2"/>
  <c r="V490" i="2"/>
  <c r="M305" i="2"/>
  <c r="P409" i="2"/>
  <c r="J467" i="2"/>
  <c r="K607" i="2"/>
  <c r="K438" i="2"/>
  <c r="T375" i="2"/>
  <c r="P489" i="2"/>
  <c r="U541" i="2"/>
  <c r="I476" i="2"/>
  <c r="W190" i="2"/>
  <c r="O362" i="2"/>
  <c r="N309" i="2"/>
  <c r="J125" i="2"/>
  <c r="O182" i="2"/>
  <c r="T115" i="2"/>
  <c r="W665" i="2"/>
  <c r="M295" i="2"/>
  <c r="P660" i="2"/>
  <c r="K18" i="2"/>
  <c r="M10" i="2"/>
  <c r="M68" i="2"/>
  <c r="V541" i="2"/>
  <c r="U663" i="2"/>
  <c r="R23" i="2"/>
  <c r="L247" i="2"/>
  <c r="P295" i="2"/>
  <c r="O586" i="2"/>
  <c r="P560" i="2"/>
  <c r="S466" i="2"/>
  <c r="L381" i="2"/>
  <c r="I374" i="2"/>
  <c r="P667" i="2"/>
  <c r="T659" i="2"/>
  <c r="V134" i="2"/>
  <c r="T388" i="2"/>
  <c r="N467" i="2"/>
  <c r="L96" i="2"/>
  <c r="J419" i="2"/>
  <c r="U615" i="2"/>
  <c r="I660" i="2"/>
  <c r="O665" i="2"/>
  <c r="Q204" i="2"/>
  <c r="V786" i="2"/>
  <c r="V800" i="2" s="1"/>
  <c r="P545" i="2"/>
  <c r="V654" i="2"/>
  <c r="M169" i="2"/>
  <c r="P375" i="2"/>
  <c r="Q318" i="2"/>
  <c r="I295" i="2"/>
  <c r="S560" i="2"/>
  <c r="N214" i="2"/>
  <c r="V547" i="2"/>
  <c r="S586" i="2"/>
  <c r="T426" i="2"/>
  <c r="R816" i="2"/>
  <c r="T385" i="2"/>
  <c r="W31" i="2"/>
  <c r="L433" i="2"/>
  <c r="K328" i="2"/>
  <c r="V545" i="2"/>
  <c r="Q352" i="2"/>
  <c r="U490" i="2"/>
  <c r="P609" i="2"/>
  <c r="O608" i="2"/>
  <c r="M48" i="2"/>
  <c r="M667" i="2"/>
  <c r="V304" i="2"/>
  <c r="R610" i="2"/>
  <c r="K476" i="2"/>
  <c r="S247" i="2"/>
  <c r="T353" i="2"/>
  <c r="U499" i="2"/>
  <c r="J822" i="2"/>
  <c r="K204" i="2"/>
  <c r="R51" i="2"/>
  <c r="U430" i="2"/>
  <c r="J381" i="2"/>
  <c r="P305" i="2"/>
  <c r="T534" i="2"/>
  <c r="K553" i="2"/>
  <c r="U476" i="2"/>
  <c r="L667" i="2"/>
  <c r="L410" i="2"/>
  <c r="V33" i="2"/>
  <c r="Q541" i="2"/>
  <c r="Q489" i="2"/>
  <c r="O84" i="2"/>
  <c r="W48" i="2"/>
  <c r="M553" i="2"/>
  <c r="Q369" i="2"/>
  <c r="W553" i="2"/>
  <c r="O660" i="2"/>
  <c r="M100" i="2"/>
  <c r="S600" i="2"/>
  <c r="W68" i="2"/>
  <c r="N51" i="2"/>
  <c r="U823" i="2"/>
  <c r="V318" i="2"/>
  <c r="S541" i="2"/>
  <c r="I67" i="2"/>
  <c r="T182" i="2"/>
  <c r="W134" i="2"/>
  <c r="S410" i="2"/>
  <c r="M42" i="2"/>
  <c r="J106" i="2"/>
  <c r="O195" i="2"/>
  <c r="P239" i="2"/>
  <c r="W786" i="2"/>
  <c r="I239" i="2"/>
  <c r="V423" i="2"/>
  <c r="R663" i="2"/>
  <c r="I252" i="2"/>
  <c r="R76" i="2"/>
  <c r="M195" i="2"/>
  <c r="T252" i="2"/>
  <c r="L172" i="2"/>
  <c r="K786" i="2"/>
  <c r="P81" i="2"/>
  <c r="S295" i="2"/>
  <c r="T109" i="2"/>
  <c r="L409" i="2"/>
  <c r="R547" i="2"/>
  <c r="S442" i="2"/>
  <c r="V166" i="2"/>
  <c r="U376" i="2"/>
  <c r="N656" i="2"/>
  <c r="T373" i="2"/>
  <c r="J608" i="2"/>
  <c r="O125" i="2"/>
  <c r="Q560" i="2"/>
  <c r="T77" i="2"/>
  <c r="P361" i="2"/>
  <c r="P32" i="2"/>
  <c r="P495" i="2"/>
  <c r="U409" i="2"/>
  <c r="O274" i="2"/>
  <c r="W146" i="2"/>
  <c r="L476" i="2"/>
  <c r="O375" i="2"/>
  <c r="K295" i="2"/>
  <c r="P490" i="2"/>
  <c r="I388" i="2"/>
  <c r="S9" i="2"/>
  <c r="M600" i="2"/>
  <c r="V125" i="2"/>
  <c r="V247" i="2"/>
  <c r="T112" i="2"/>
  <c r="U662" i="2"/>
  <c r="V172" i="2"/>
  <c r="N381" i="2"/>
  <c r="K319" i="2"/>
  <c r="I366" i="2"/>
  <c r="W109" i="2"/>
  <c r="U68" i="2"/>
  <c r="T238" i="2"/>
  <c r="R467" i="2"/>
  <c r="R239" i="2"/>
  <c r="R247" i="2"/>
  <c r="W824" i="2"/>
  <c r="W286" i="2" s="1"/>
  <c r="I96" i="2"/>
  <c r="O88" i="2"/>
  <c r="V548" i="2"/>
  <c r="N586" i="2"/>
  <c r="R487" i="2"/>
  <c r="M81" i="2"/>
  <c r="S68" i="2"/>
  <c r="O366" i="2"/>
  <c r="S619" i="2"/>
  <c r="I304" i="2"/>
  <c r="R147" i="2"/>
  <c r="O304" i="2"/>
  <c r="S31" i="2"/>
  <c r="Q10" i="2"/>
  <c r="Q361" i="2"/>
  <c r="T667" i="2"/>
  <c r="N816" i="2"/>
  <c r="S609" i="2"/>
  <c r="J466" i="2"/>
  <c r="S90" i="2"/>
  <c r="U205" i="2"/>
  <c r="K125" i="2"/>
  <c r="M328" i="2"/>
  <c r="O67" i="2"/>
  <c r="K373" i="2"/>
  <c r="V324" i="2"/>
  <c r="V426" i="2"/>
  <c r="I77" i="2"/>
  <c r="J109" i="2"/>
  <c r="T545" i="2"/>
  <c r="J153" i="2"/>
  <c r="R238" i="2"/>
  <c r="N295" i="2"/>
  <c r="V619" i="2"/>
  <c r="M603" i="2"/>
  <c r="N9" i="2"/>
  <c r="I133" i="2"/>
  <c r="J124" i="2"/>
  <c r="U81" i="2"/>
  <c r="W652" i="2"/>
  <c r="P655" i="2"/>
  <c r="S169" i="2"/>
  <c r="L480" i="2"/>
  <c r="N191" i="2"/>
  <c r="I586" i="2"/>
  <c r="P23" i="2"/>
  <c r="V502" i="2"/>
  <c r="M480" i="2"/>
  <c r="Q547" i="2"/>
  <c r="L23" i="2"/>
  <c r="K138" i="2"/>
  <c r="U31" i="2"/>
  <c r="O819" i="2"/>
  <c r="I191" i="2"/>
  <c r="S438" i="2"/>
  <c r="Q57" i="2"/>
  <c r="K190" i="2"/>
  <c r="U57" i="2"/>
  <c r="W548" i="2"/>
  <c r="L663" i="2"/>
  <c r="P172" i="2"/>
  <c r="R134" i="2"/>
  <c r="W663" i="2"/>
  <c r="L38" i="2"/>
  <c r="Q77" i="2"/>
  <c r="S112" i="2"/>
  <c r="S190" i="2"/>
  <c r="I615" i="2"/>
  <c r="W819" i="2"/>
  <c r="J487" i="2"/>
  <c r="O10" i="2"/>
  <c r="S610" i="2"/>
  <c r="O524" i="2"/>
  <c r="N304" i="2"/>
  <c r="T786" i="2"/>
  <c r="M191" i="2"/>
  <c r="P169" i="2"/>
  <c r="M816" i="2"/>
  <c r="M299" i="2" s="1"/>
  <c r="K96" i="2"/>
  <c r="U488" i="2"/>
  <c r="T195" i="2"/>
  <c r="T664" i="2"/>
  <c r="T660" i="2"/>
  <c r="J51" i="2"/>
  <c r="P88" i="2"/>
  <c r="P533" i="2"/>
  <c r="L375" i="2"/>
  <c r="L191" i="2"/>
  <c r="J26" i="2"/>
  <c r="T54" i="2"/>
  <c r="L353" i="2"/>
  <c r="O418" i="2"/>
  <c r="T248" i="2"/>
  <c r="U547" i="2"/>
  <c r="T609" i="2"/>
  <c r="V239" i="2"/>
  <c r="M548" i="2"/>
  <c r="N423" i="2"/>
  <c r="S652" i="2"/>
  <c r="S319" i="2"/>
  <c r="N560" i="2"/>
  <c r="Q423" i="2"/>
  <c r="T418" i="2"/>
  <c r="M655" i="2"/>
  <c r="P195" i="2"/>
  <c r="N23" i="2"/>
  <c r="P423" i="2"/>
  <c r="M182" i="2"/>
  <c r="R190" i="2"/>
  <c r="U822" i="2"/>
  <c r="Q89" i="2"/>
  <c r="U77" i="2"/>
  <c r="P442" i="2"/>
  <c r="N157" i="2"/>
  <c r="V112" i="2"/>
  <c r="U419" i="2"/>
  <c r="J423" i="2"/>
  <c r="P656" i="2"/>
  <c r="O553" i="2"/>
  <c r="S502" i="2"/>
  <c r="S146" i="2"/>
  <c r="L822" i="2"/>
  <c r="N546" i="2"/>
  <c r="V10" i="2"/>
  <c r="V525" i="2"/>
  <c r="L524" i="2"/>
  <c r="L366" i="2"/>
  <c r="U109" i="2"/>
  <c r="N54" i="2"/>
  <c r="W654" i="2"/>
  <c r="Q816" i="2"/>
  <c r="Q298" i="2" s="1"/>
  <c r="U10" i="2"/>
  <c r="V195" i="2"/>
  <c r="W77" i="2"/>
  <c r="P608" i="2"/>
  <c r="R786" i="2"/>
  <c r="U124" i="2"/>
  <c r="N195" i="2"/>
  <c r="W54" i="2"/>
  <c r="R112" i="2"/>
  <c r="R595" i="2"/>
  <c r="L190" i="2"/>
  <c r="T68" i="2"/>
  <c r="Q19" i="2"/>
  <c r="M430" i="2"/>
  <c r="N655" i="2"/>
  <c r="J488" i="2"/>
  <c r="Q545" i="2"/>
  <c r="Q112" i="2"/>
  <c r="W90" i="2"/>
  <c r="M541" i="2"/>
  <c r="T476" i="2"/>
  <c r="L655" i="2"/>
  <c r="T823" i="2"/>
  <c r="K432" i="2"/>
  <c r="T9" i="2"/>
  <c r="W76" i="2"/>
  <c r="Q656" i="2"/>
  <c r="L182" i="2"/>
  <c r="Q615" i="2"/>
  <c r="W182" i="2"/>
  <c r="L252" i="2"/>
  <c r="U296" i="2"/>
  <c r="K81" i="2"/>
  <c r="M23" i="2"/>
  <c r="T662" i="2"/>
  <c r="W480" i="2"/>
  <c r="V252" i="2"/>
  <c r="N57" i="2"/>
  <c r="T33" i="2"/>
  <c r="L545" i="2"/>
  <c r="R195" i="2"/>
  <c r="M502" i="2"/>
  <c r="Q319" i="2"/>
  <c r="V442" i="2"/>
  <c r="J534" i="2"/>
  <c r="O260" i="2"/>
  <c r="M662" i="2"/>
  <c r="V271" i="2"/>
  <c r="J115" i="2"/>
  <c r="N112" i="2"/>
  <c r="S172" i="2"/>
  <c r="K304" i="2"/>
  <c r="I822" i="2"/>
  <c r="I499" i="2"/>
  <c r="O610" i="2"/>
  <c r="Q190" i="2"/>
  <c r="L352" i="2"/>
  <c r="V248" i="2"/>
  <c r="P112" i="2"/>
  <c r="V366" i="2"/>
  <c r="L54" i="2"/>
  <c r="S786" i="2"/>
  <c r="M609" i="2"/>
  <c r="W545" i="2"/>
  <c r="K267" i="2"/>
  <c r="S546" i="2"/>
  <c r="J667" i="2"/>
  <c r="T819" i="2"/>
  <c r="U138" i="2"/>
  <c r="K664" i="2"/>
  <c r="P9" i="2"/>
  <c r="J547" i="2"/>
  <c r="I662" i="2"/>
  <c r="S23" i="2"/>
  <c r="U248" i="2"/>
  <c r="V467" i="2"/>
  <c r="U259" i="2"/>
  <c r="P376" i="2"/>
  <c r="R181" i="2"/>
  <c r="K68" i="2"/>
  <c r="U824" i="2"/>
  <c r="O81" i="2"/>
  <c r="N600" i="2"/>
  <c r="J660" i="2"/>
  <c r="U433" i="2"/>
  <c r="Q430" i="2"/>
  <c r="W525" i="2"/>
  <c r="P274" i="2"/>
  <c r="K538" i="2"/>
  <c r="N163" i="2"/>
  <c r="N48" i="2"/>
  <c r="I91" i="2"/>
  <c r="T596" i="2"/>
  <c r="O133" i="2"/>
  <c r="S388" i="2"/>
  <c r="Q115" i="2"/>
  <c r="Q362" i="2"/>
  <c r="O664" i="2"/>
  <c r="V663" i="2"/>
  <c r="Q475" i="2"/>
  <c r="N91" i="2"/>
  <c r="T30" i="2"/>
  <c r="J328" i="2"/>
  <c r="R133" i="2"/>
  <c r="P499" i="2"/>
  <c r="I534" i="2"/>
  <c r="K525" i="2"/>
  <c r="K524" i="2"/>
  <c r="O381" i="2"/>
  <c r="V305" i="2"/>
  <c r="K557" i="2"/>
  <c r="I480" i="2"/>
  <c r="P557" i="2"/>
  <c r="N33" i="2"/>
  <c r="J31" i="2"/>
  <c r="P76" i="2"/>
  <c r="M660" i="2"/>
  <c r="I418" i="2"/>
  <c r="L296" i="2"/>
  <c r="K48" i="2"/>
  <c r="M619" i="2"/>
  <c r="I182" i="2"/>
  <c r="V662" i="2"/>
  <c r="P90" i="2"/>
  <c r="U660" i="2"/>
  <c r="U148" i="2"/>
  <c r="M90" i="2"/>
  <c r="U502" i="2"/>
  <c r="J10" i="2"/>
  <c r="R353" i="2"/>
  <c r="W23" i="2"/>
  <c r="P480" i="2"/>
  <c r="I296" i="2"/>
  <c r="V438" i="2"/>
  <c r="N548" i="2"/>
  <c r="T824" i="2"/>
  <c r="I172" i="2"/>
  <c r="Q385" i="2"/>
  <c r="K100" i="2"/>
  <c r="P546" i="2"/>
  <c r="I195" i="2"/>
  <c r="U553" i="2"/>
  <c r="O90" i="2"/>
  <c r="U100" i="2"/>
  <c r="J67" i="2"/>
  <c r="I238" i="2"/>
  <c r="L823" i="2"/>
  <c r="O560" i="2"/>
  <c r="U548" i="2"/>
  <c r="T153" i="2"/>
  <c r="I545" i="2"/>
  <c r="U181" i="2"/>
  <c r="U656" i="2"/>
  <c r="S524" i="2"/>
  <c r="S260" i="2"/>
  <c r="O324" i="2"/>
  <c r="W419" i="2"/>
  <c r="R182" i="2"/>
  <c r="U353" i="2"/>
  <c r="W138" i="2"/>
  <c r="P366" i="2"/>
  <c r="K134" i="2"/>
  <c r="K109" i="2"/>
  <c r="K366" i="2"/>
  <c r="T304" i="2"/>
  <c r="T595" i="2"/>
  <c r="I309" i="2"/>
  <c r="O547" i="2"/>
  <c r="L546" i="2"/>
  <c r="P247" i="2"/>
  <c r="O376" i="2"/>
  <c r="O423" i="2"/>
  <c r="W488" i="2"/>
  <c r="S248" i="2"/>
  <c r="T125" i="2"/>
  <c r="I18" i="2"/>
  <c r="Q373" i="2"/>
  <c r="P67" i="2"/>
  <c r="K660" i="2"/>
  <c r="R664" i="2"/>
  <c r="N786" i="2"/>
  <c r="W147" i="2"/>
  <c r="W442" i="2"/>
  <c r="S30" i="2"/>
  <c r="N466" i="2"/>
  <c r="M538" i="2"/>
  <c r="W822" i="2"/>
  <c r="W505" i="2" s="1"/>
  <c r="W499" i="2"/>
  <c r="I318" i="2"/>
  <c r="P553" i="2"/>
  <c r="V77" i="2"/>
  <c r="Q248" i="2"/>
  <c r="W57" i="2"/>
  <c r="U373" i="2"/>
  <c r="J191" i="2"/>
  <c r="N19" i="2"/>
  <c r="Q182" i="2"/>
  <c r="P662" i="2"/>
  <c r="S615" i="2"/>
  <c r="W656" i="2"/>
  <c r="O51" i="2"/>
  <c r="V115" i="2"/>
  <c r="I81" i="2"/>
  <c r="Q619" i="2"/>
  <c r="N541" i="2"/>
  <c r="I31" i="2"/>
  <c r="V100" i="2"/>
  <c r="I656" i="2"/>
  <c r="Q596" i="2"/>
  <c r="R19" i="2"/>
  <c r="J548" i="2"/>
  <c r="U622" i="2"/>
  <c r="P525" i="2"/>
  <c r="L124" i="2"/>
  <c r="L248" i="2"/>
  <c r="W328" i="2"/>
  <c r="O663" i="2"/>
  <c r="W660" i="2"/>
  <c r="R819" i="2"/>
  <c r="T309" i="2"/>
  <c r="L423" i="2"/>
  <c r="K202" i="2"/>
  <c r="K595" i="2"/>
  <c r="J655" i="2"/>
  <c r="K541" i="2"/>
  <c r="I667" i="2"/>
  <c r="O77" i="2"/>
  <c r="T538" i="2"/>
  <c r="J190" i="2"/>
  <c r="J553" i="2"/>
  <c r="V133" i="2"/>
  <c r="P619" i="2"/>
  <c r="T134" i="2"/>
  <c r="W112" i="2"/>
  <c r="T619" i="2"/>
  <c r="Q31" i="2"/>
  <c r="I248" i="2"/>
  <c r="N361" i="2"/>
  <c r="J656" i="2"/>
  <c r="J610" i="2"/>
  <c r="J18" i="2"/>
  <c r="N352" i="2"/>
  <c r="P622" i="2"/>
  <c r="U480" i="2"/>
  <c r="M76" i="2"/>
  <c r="N134" i="2"/>
  <c r="S353" i="2"/>
  <c r="P261" i="2"/>
  <c r="U487" i="2"/>
  <c r="Q432" i="2"/>
  <c r="N660" i="2"/>
  <c r="T822" i="2"/>
  <c r="T625" i="2" s="1"/>
  <c r="V819" i="2"/>
  <c r="K239" i="2"/>
  <c r="W361" i="2"/>
  <c r="N248" i="2"/>
  <c r="V361" i="2"/>
  <c r="Q664" i="2"/>
  <c r="R304" i="2"/>
  <c r="S181" i="2"/>
  <c r="N100" i="2"/>
  <c r="J369" i="2"/>
  <c r="M409" i="2"/>
  <c r="L547" i="2"/>
  <c r="K33" i="2"/>
  <c r="R423" i="2"/>
  <c r="J133" i="2"/>
  <c r="K181" i="2"/>
  <c r="R545" i="2"/>
  <c r="S125" i="2"/>
  <c r="L660" i="2"/>
  <c r="P54" i="2"/>
  <c r="J665" i="2"/>
  <c r="J557" i="2"/>
  <c r="L538" i="2"/>
  <c r="S182" i="2"/>
  <c r="L662" i="2"/>
  <c r="L76" i="2"/>
  <c r="Q81" i="2"/>
  <c r="W374" i="2"/>
  <c r="W19" i="2"/>
  <c r="M67" i="2"/>
  <c r="T191" i="2"/>
  <c r="R430" i="2"/>
  <c r="T318" i="2"/>
  <c r="R596" i="2"/>
  <c r="J366" i="2"/>
  <c r="P476" i="2"/>
  <c r="R81" i="2"/>
  <c r="T271" i="2"/>
  <c r="O655" i="2"/>
  <c r="J195" i="2"/>
  <c r="V664" i="2"/>
  <c r="O112" i="2"/>
  <c r="M172" i="2"/>
  <c r="S660" i="2"/>
  <c r="T548" i="2"/>
  <c r="I23" i="2"/>
  <c r="N369" i="2"/>
  <c r="T90" i="2"/>
  <c r="U295" i="2"/>
  <c r="J662" i="2"/>
  <c r="K361" i="2"/>
  <c r="O181" i="2"/>
  <c r="U366" i="2"/>
  <c r="M376" i="2"/>
  <c r="I600" i="2"/>
  <c r="N824" i="2"/>
  <c r="W655" i="2"/>
  <c r="L91" i="2"/>
  <c r="R295" i="2"/>
  <c r="R67" i="2"/>
  <c r="T324" i="2"/>
  <c r="S816" i="2"/>
  <c r="Q433" i="2"/>
  <c r="R490" i="2"/>
  <c r="R210" i="2"/>
  <c r="I42" i="2"/>
  <c r="L824" i="2"/>
  <c r="V419" i="2"/>
  <c r="S109" i="2"/>
  <c r="P109" i="2"/>
  <c r="L467" i="2"/>
  <c r="R655" i="2"/>
  <c r="Q786" i="2"/>
  <c r="O541" i="2"/>
  <c r="K548" i="2"/>
  <c r="O432" i="2"/>
  <c r="M524" i="2"/>
  <c r="P133" i="2"/>
  <c r="P10" i="2"/>
  <c r="S823" i="2"/>
  <c r="S631" i="2" s="1"/>
  <c r="L418" i="2"/>
  <c r="P541" i="2"/>
  <c r="N68" i="2"/>
  <c r="O9" i="2"/>
  <c r="L596" i="2"/>
  <c r="R109" i="2"/>
  <c r="P534" i="2"/>
  <c r="V418" i="2"/>
  <c r="V210" i="2"/>
  <c r="S195" i="2"/>
  <c r="J388" i="2"/>
  <c r="W547" i="2"/>
  <c r="S106" i="2"/>
  <c r="M210" i="2"/>
  <c r="W466" i="2"/>
  <c r="Q295" i="2"/>
  <c r="W533" i="2"/>
  <c r="U252" i="2"/>
  <c r="N125" i="2"/>
  <c r="I664" i="2"/>
  <c r="N664" i="2"/>
  <c r="O656" i="2"/>
  <c r="M664" i="2"/>
  <c r="V309" i="2"/>
  <c r="V816" i="2"/>
  <c r="W423" i="2"/>
  <c r="U133" i="2"/>
  <c r="K545" i="2"/>
  <c r="O255" i="2"/>
  <c r="I655" i="2"/>
  <c r="P466" i="2"/>
  <c r="W88" i="2"/>
  <c r="M115" i="2"/>
  <c r="L502" i="2"/>
  <c r="N430" i="2"/>
  <c r="R475" i="2"/>
  <c r="K823" i="2"/>
  <c r="W9" i="2"/>
  <c r="I89" i="2"/>
  <c r="W26" i="2"/>
  <c r="V595" i="2"/>
  <c r="J533" i="2"/>
  <c r="N109" i="2"/>
  <c r="U816" i="2"/>
  <c r="U413" i="2" s="1"/>
  <c r="Q824" i="2"/>
  <c r="K560" i="2"/>
  <c r="U524" i="2"/>
  <c r="S134" i="2"/>
  <c r="P663" i="2"/>
  <c r="U309" i="2"/>
  <c r="J23" i="2"/>
  <c r="S76" i="2"/>
  <c r="L309" i="2"/>
  <c r="T615" i="2"/>
  <c r="M361" i="2"/>
  <c r="M138" i="2"/>
  <c r="S654" i="2"/>
  <c r="J134" i="2"/>
  <c r="I262" i="2"/>
  <c r="W587" i="2"/>
  <c r="W191" i="2"/>
  <c r="K172" i="2"/>
  <c r="Q418" i="2"/>
  <c r="L109" i="2"/>
  <c r="I467" i="2"/>
  <c r="W145" i="2"/>
  <c r="U557" i="2"/>
  <c r="M134" i="2"/>
  <c r="R141" i="2"/>
  <c r="N190" i="2"/>
  <c r="W248" i="2"/>
  <c r="R419" i="2"/>
  <c r="I423" i="2"/>
  <c r="L664" i="2"/>
  <c r="Q238" i="2"/>
  <c r="S432" i="2"/>
  <c r="S77" i="2"/>
  <c r="M190" i="2"/>
  <c r="U195" i="2"/>
  <c r="M77" i="2"/>
  <c r="J172" i="2"/>
  <c r="L586" i="2"/>
  <c r="M587" i="2"/>
  <c r="J238" i="2"/>
  <c r="V823" i="2"/>
  <c r="N182" i="2"/>
  <c r="J81" i="2"/>
  <c r="R553" i="2"/>
  <c r="P182" i="2"/>
  <c r="M248" i="2"/>
  <c r="T557" i="2"/>
  <c r="U125" i="2"/>
  <c r="N181" i="2"/>
  <c r="U467" i="2"/>
  <c r="O409" i="2"/>
  <c r="T214" i="2"/>
  <c r="P607" i="2"/>
  <c r="R823" i="2"/>
  <c r="R394" i="2" s="1"/>
  <c r="N483" i="2"/>
  <c r="N475" i="2"/>
  <c r="V23" i="2"/>
  <c r="O205" i="2"/>
  <c r="Q23" i="2"/>
  <c r="M374" i="2"/>
  <c r="T366" i="2"/>
  <c r="V54" i="2"/>
  <c r="U600" i="2"/>
  <c r="N238" i="2"/>
  <c r="N18" i="2"/>
  <c r="T533" i="2"/>
  <c r="T262" i="2"/>
  <c r="Q546" i="2"/>
  <c r="P191" i="2"/>
  <c r="S418" i="2"/>
  <c r="W324" i="2"/>
  <c r="M163" i="2"/>
  <c r="I32" i="2"/>
  <c r="T67" i="2"/>
  <c r="I352" i="2"/>
  <c r="Q663" i="2"/>
  <c r="R538" i="2"/>
  <c r="V538" i="2"/>
  <c r="O622" i="2"/>
  <c r="L238" i="2"/>
  <c r="Q538" i="2"/>
  <c r="R662" i="2"/>
  <c r="U328" i="2"/>
  <c r="R533" i="2"/>
  <c r="W376" i="2"/>
  <c r="W409" i="2"/>
  <c r="S10" i="2"/>
  <c r="O374" i="2"/>
  <c r="L304" i="2"/>
  <c r="U362" i="2"/>
  <c r="L31" i="2"/>
  <c r="M545" i="2"/>
  <c r="I9" i="2"/>
  <c r="W560" i="2"/>
  <c r="T51" i="2"/>
  <c r="I419" i="2"/>
  <c r="M133" i="2"/>
  <c r="K106" i="2"/>
  <c r="U418" i="2"/>
  <c r="Q822" i="2"/>
  <c r="Q563" i="2" s="1"/>
  <c r="J546" i="2"/>
  <c r="R9" i="2"/>
  <c r="R426" i="2"/>
  <c r="M419" i="2"/>
  <c r="U204" i="2"/>
  <c r="L30" i="2"/>
  <c r="L26" i="2"/>
  <c r="M353" i="2"/>
  <c r="O172" i="2"/>
  <c r="V385" i="2"/>
  <c r="P68" i="2"/>
  <c r="K656" i="2"/>
  <c r="L77" i="2"/>
  <c r="S252" i="2"/>
  <c r="T489" i="2"/>
  <c r="L9" i="2"/>
  <c r="O353" i="2"/>
  <c r="O786" i="2"/>
  <c r="K362" i="2"/>
  <c r="V57" i="2"/>
  <c r="T608" i="2"/>
  <c r="L115" i="2"/>
  <c r="I596" i="2"/>
  <c r="J538" i="2"/>
  <c r="S475" i="2"/>
  <c r="J663" i="2"/>
  <c r="O546" i="2"/>
  <c r="M476" i="2"/>
  <c r="P352" i="2"/>
  <c r="U595" i="2"/>
  <c r="N622" i="2"/>
  <c r="W17" i="2"/>
  <c r="J19" i="2"/>
  <c r="V466" i="2"/>
  <c r="K124" i="2"/>
  <c r="U274" i="2"/>
  <c r="S538" i="2"/>
  <c r="N822" i="2"/>
  <c r="S115" i="2"/>
  <c r="L305" i="2"/>
  <c r="T480" i="2"/>
  <c r="U18" i="2"/>
  <c r="K819" i="2"/>
  <c r="I109" i="2"/>
  <c r="Q33" i="2"/>
  <c r="L125" i="2"/>
  <c r="J524" i="2"/>
  <c r="T547" i="2"/>
  <c r="V96" i="2"/>
  <c r="T654" i="2"/>
  <c r="M296" i="2"/>
  <c r="M547" i="2"/>
  <c r="L541" i="2"/>
  <c r="I525" i="2"/>
  <c r="R656" i="2"/>
  <c r="T546" i="2"/>
  <c r="T423" i="2"/>
  <c r="K663" i="2"/>
  <c r="W662" i="2"/>
  <c r="K667" i="2"/>
  <c r="S57" i="2"/>
  <c r="S328" i="2"/>
  <c r="U318" i="2"/>
  <c r="V18" i="2"/>
  <c r="W595" i="2"/>
  <c r="M410" i="2"/>
  <c r="M487" i="2"/>
  <c r="U438" i="2"/>
  <c r="Q54" i="2"/>
  <c r="I548" i="2"/>
  <c r="S534" i="2"/>
  <c r="J112" i="2"/>
  <c r="S665" i="2"/>
  <c r="O239" i="2"/>
  <c r="I26" i="2"/>
  <c r="I190" i="2"/>
  <c r="J786" i="2"/>
  <c r="S238" i="2"/>
  <c r="I665" i="2"/>
  <c r="M665" i="2"/>
  <c r="S587" i="2"/>
  <c r="L525" i="2"/>
  <c r="N172" i="2"/>
  <c r="K600" i="2"/>
  <c r="L81" i="2"/>
  <c r="S361" i="2"/>
  <c r="R317" i="2"/>
  <c r="O318" i="2"/>
  <c r="L18" i="2"/>
  <c r="U609" i="2"/>
  <c r="T488" i="2"/>
  <c r="M239" i="2"/>
  <c r="K247" i="2"/>
  <c r="P548" i="2"/>
  <c r="W366" i="2"/>
  <c r="J214" i="2"/>
  <c r="U546" i="2"/>
  <c r="N255" i="2"/>
  <c r="M352" i="2"/>
  <c r="U361" i="2"/>
  <c r="J545" i="2"/>
  <c r="U112" i="2"/>
  <c r="P824" i="2"/>
  <c r="P514" i="2" s="1"/>
  <c r="S67" i="2"/>
  <c r="R312" i="2"/>
  <c r="R166" i="2"/>
  <c r="R652" i="2"/>
  <c r="R198" i="2"/>
  <c r="T172" i="2"/>
  <c r="K182" i="2"/>
  <c r="J318" i="2"/>
  <c r="N362" i="2"/>
  <c r="I134" i="2"/>
  <c r="K547" i="2"/>
  <c r="N438" i="2"/>
  <c r="L274" i="2"/>
  <c r="S557" i="2"/>
  <c r="W172" i="2"/>
  <c r="J600" i="2"/>
  <c r="Q524" i="2"/>
  <c r="W475" i="2"/>
  <c r="R409" i="2"/>
  <c r="W352" i="2"/>
  <c r="P547" i="2"/>
  <c r="O600" i="2"/>
  <c r="I210" i="2"/>
  <c r="U466" i="2"/>
  <c r="M252" i="2"/>
  <c r="V557" i="2"/>
  <c r="Q134" i="2"/>
  <c r="K67" i="2"/>
  <c r="N252" i="2"/>
  <c r="R54" i="2"/>
  <c r="J438" i="2"/>
  <c r="S18" i="2"/>
  <c r="J88" i="2"/>
  <c r="V596" i="2"/>
  <c r="M819" i="2"/>
  <c r="U247" i="2"/>
  <c r="R191" i="2"/>
  <c r="J409" i="2"/>
  <c r="U33" i="2"/>
  <c r="I824" i="2"/>
  <c r="I634" i="2" s="1"/>
  <c r="I475" i="2"/>
  <c r="J490" i="2"/>
  <c r="L112" i="2"/>
  <c r="L656" i="2"/>
  <c r="S563" i="2"/>
  <c r="U67" i="2"/>
  <c r="R305" i="2"/>
  <c r="U51" i="2"/>
  <c r="Q260" i="2"/>
  <c r="L560" i="2"/>
  <c r="O106" i="2"/>
  <c r="N419" i="2"/>
  <c r="J823" i="2"/>
  <c r="J511" i="2" s="1"/>
  <c r="W659" i="2"/>
  <c r="T26" i="2"/>
  <c r="O309" i="2"/>
  <c r="Q480" i="2"/>
  <c r="R466" i="2"/>
  <c r="M822" i="2"/>
  <c r="J309" i="2"/>
  <c r="I560" i="2"/>
  <c r="J664" i="2"/>
  <c r="M54" i="2"/>
  <c r="M546" i="2"/>
  <c r="I51" i="2"/>
  <c r="N667" i="2"/>
  <c r="W51" i="2"/>
  <c r="T490" i="2"/>
  <c r="T89" i="2"/>
  <c r="P296" i="2"/>
  <c r="S824" i="2"/>
  <c r="I68" i="2"/>
  <c r="I816" i="2"/>
  <c r="I590" i="2" s="1"/>
  <c r="U664" i="2"/>
  <c r="O538" i="2"/>
  <c r="R654" i="2"/>
  <c r="R146" i="2"/>
  <c r="T816" i="2"/>
  <c r="T12" i="2" s="1"/>
  <c r="U534" i="2"/>
  <c r="W524" i="2"/>
  <c r="L466" i="2"/>
  <c r="O238" i="2"/>
  <c r="K248" i="2"/>
  <c r="K381" i="2"/>
  <c r="W541" i="2"/>
  <c r="R824" i="2"/>
  <c r="O480" i="2"/>
  <c r="T23" i="2"/>
  <c r="Q655" i="2"/>
  <c r="V124" i="2"/>
  <c r="R369" i="2"/>
  <c r="O545" i="2"/>
  <c r="L499" i="2"/>
  <c r="O433" i="2"/>
  <c r="P309" i="2"/>
  <c r="V373" i="2"/>
  <c r="J9" i="2"/>
  <c r="O548" i="2"/>
  <c r="S100" i="2"/>
  <c r="I260" i="2"/>
  <c r="R557" i="2"/>
  <c r="Q533" i="2"/>
  <c r="J138" i="2"/>
  <c r="Q667" i="2"/>
  <c r="R57" i="2"/>
  <c r="V328" i="2"/>
  <c r="I553" i="2"/>
  <c r="S239" i="2"/>
  <c r="T524" i="2"/>
  <c r="M106" i="2"/>
  <c r="Q660" i="2"/>
  <c r="O100" i="2"/>
  <c r="T603" i="2"/>
  <c r="R534" i="2"/>
  <c r="M181" i="2"/>
  <c r="S316" i="2"/>
  <c r="K375" i="2"/>
  <c r="R296" i="2"/>
  <c r="K77" i="2"/>
  <c r="J819" i="2"/>
  <c r="K195" i="2"/>
  <c r="V42" i="2"/>
  <c r="T18" i="2"/>
  <c r="K19" i="2"/>
  <c r="O134" i="2"/>
  <c r="R361" i="2"/>
  <c r="J54" i="2"/>
  <c r="V409" i="2"/>
  <c r="S133" i="2"/>
  <c r="O38" i="2"/>
  <c r="I547" i="2"/>
  <c r="M656" i="2"/>
  <c r="N138" i="2"/>
  <c r="T138" i="2"/>
  <c r="S138" i="2"/>
  <c r="I10" i="2"/>
  <c r="M488" i="2"/>
  <c r="P353" i="2"/>
  <c r="I106" i="2"/>
  <c r="P610" i="2"/>
  <c r="P410" i="2"/>
  <c r="N81" i="2"/>
  <c r="R203" i="2"/>
  <c r="M824" i="2"/>
  <c r="M634" i="2" s="1"/>
  <c r="V89" i="2"/>
  <c r="V109" i="2"/>
  <c r="N106" i="2"/>
  <c r="K115" i="2"/>
  <c r="J77" i="2"/>
  <c r="O442" i="2"/>
  <c r="K816" i="2"/>
  <c r="K13" i="2" s="1"/>
  <c r="P57" i="2"/>
  <c r="M238" i="2"/>
  <c r="W490" i="2"/>
  <c r="R667" i="2"/>
  <c r="V81" i="2"/>
  <c r="L533" i="2"/>
  <c r="J385" i="2"/>
  <c r="J541" i="2"/>
  <c r="R145" i="2"/>
  <c r="P318" i="2"/>
  <c r="T541" i="2"/>
  <c r="U26" i="2"/>
  <c r="T475" i="2"/>
  <c r="Q271" i="2"/>
  <c r="M30" i="2"/>
  <c r="I30" i="2"/>
  <c r="U190" i="2"/>
  <c r="Q587" i="2"/>
  <c r="K466" i="2"/>
  <c r="M9" i="2"/>
  <c r="K51" i="2"/>
  <c r="S317" i="2"/>
  <c r="R431" i="2"/>
  <c r="S548" i="2"/>
  <c r="T190" i="2"/>
  <c r="Q557" i="2"/>
  <c r="N823" i="2"/>
  <c r="N223" i="2" s="1"/>
  <c r="R659" i="2"/>
  <c r="O534" i="2"/>
  <c r="R476" i="2"/>
  <c r="S318" i="2"/>
  <c r="L475" i="2"/>
  <c r="V32" i="2"/>
  <c r="M622" i="2"/>
  <c r="J824" i="2"/>
  <c r="O54" i="2"/>
  <c r="K32" i="2"/>
  <c r="W369" i="2"/>
  <c r="I488" i="2"/>
  <c r="V476" i="2"/>
  <c r="R10" i="2"/>
  <c r="U239" i="2"/>
  <c r="J169" i="2"/>
  <c r="O385" i="2"/>
  <c r="I541" i="2"/>
  <c r="K665" i="2"/>
  <c r="L595" i="2"/>
  <c r="M467" i="2"/>
  <c r="O252" i="2"/>
  <c r="T655" i="2"/>
  <c r="U54" i="2"/>
  <c r="K587" i="2"/>
  <c r="P267" i="2"/>
  <c r="O667" i="2"/>
  <c r="T181" i="2"/>
  <c r="Q252" i="2"/>
  <c r="R248" i="2"/>
  <c r="S667" i="2"/>
  <c r="P664" i="2"/>
  <c r="W557" i="2"/>
  <c r="U545" i="2"/>
  <c r="R18" i="2"/>
  <c r="I19" i="2"/>
  <c r="P124" i="2"/>
  <c r="N557" i="2"/>
  <c r="K296" i="2"/>
  <c r="Q819" i="2"/>
  <c r="S271" i="2"/>
  <c r="S664" i="2"/>
  <c r="Q317" i="2"/>
  <c r="Q312" i="2"/>
  <c r="Q426" i="2"/>
  <c r="Q654" i="2"/>
  <c r="Q431" i="2"/>
  <c r="L486" i="2"/>
  <c r="O152" i="2"/>
  <c r="P606" i="2"/>
  <c r="P201" i="2"/>
  <c r="I486" i="2"/>
  <c r="N935" i="2"/>
  <c r="N936" i="2" s="1"/>
  <c r="S494" i="2"/>
  <c r="P258" i="2"/>
  <c r="O437" i="2"/>
  <c r="V372" i="2"/>
  <c r="N258" i="2"/>
  <c r="N594" i="2"/>
  <c r="J594" i="2"/>
  <c r="Q144" i="2"/>
  <c r="I312" i="2"/>
  <c r="U935" i="2"/>
  <c r="U936" i="2" s="1"/>
  <c r="V144" i="2"/>
  <c r="Q258" i="2"/>
  <c r="V315" i="2"/>
  <c r="V201" i="2"/>
  <c r="N606" i="2"/>
  <c r="N494" i="2"/>
  <c r="S921" i="2"/>
  <c r="S922" i="2" s="1"/>
  <c r="S923" i="2" s="1"/>
  <c r="P885" i="2"/>
  <c r="P886" i="2" s="1"/>
  <c r="P614" i="2"/>
  <c r="V429" i="2"/>
  <c r="O606" i="2"/>
  <c r="S486" i="2"/>
  <c r="J465" i="2"/>
  <c r="Q914" i="2"/>
  <c r="Q915" i="2" s="1"/>
  <c r="L532" i="2"/>
  <c r="N871" i="2"/>
  <c r="N872" i="2" s="1"/>
  <c r="R437" i="2"/>
  <c r="S95" i="2"/>
  <c r="O209" i="2"/>
  <c r="I315" i="2"/>
  <c r="K372" i="2"/>
  <c r="N907" i="2"/>
  <c r="N908" i="2" s="1"/>
  <c r="O429" i="2"/>
  <c r="P899" i="2"/>
  <c r="P900" i="2" s="1"/>
  <c r="O29" i="2"/>
  <c r="J29" i="2"/>
  <c r="I152" i="2"/>
  <c r="L380" i="2"/>
  <c r="K494" i="2"/>
  <c r="M544" i="2"/>
  <c r="M921" i="2"/>
  <c r="M922" i="2" s="1"/>
  <c r="Q885" i="2"/>
  <c r="Q886" i="2" s="1"/>
  <c r="Q887" i="2" s="1"/>
  <c r="K29" i="2"/>
  <c r="K360" i="2"/>
  <c r="V266" i="2"/>
  <c r="R201" i="2"/>
  <c r="M532" i="2"/>
  <c r="N246" i="2"/>
  <c r="N237" i="2"/>
  <c r="Q532" i="2"/>
  <c r="K380" i="2"/>
  <c r="Q494" i="2"/>
  <c r="T494" i="2"/>
  <c r="T209" i="2"/>
  <c r="O144" i="2"/>
  <c r="P266" i="2"/>
  <c r="T544" i="2"/>
  <c r="I144" i="2"/>
  <c r="T152" i="2"/>
  <c r="P37" i="2"/>
  <c r="M594" i="2"/>
  <c r="V87" i="2"/>
  <c r="V878" i="2"/>
  <c r="V879" i="2" s="1"/>
  <c r="J614" i="2"/>
  <c r="U37" i="2"/>
  <c r="L914" i="2"/>
  <c r="L915" i="2" s="1"/>
  <c r="N942" i="2"/>
  <c r="N943" i="2" s="1"/>
  <c r="Q266" i="2"/>
  <c r="R417" i="2"/>
  <c r="W144" i="2"/>
  <c r="K152" i="2"/>
  <c r="U437" i="2"/>
  <c r="L29" i="2"/>
  <c r="Q372" i="2"/>
  <c r="M614" i="2"/>
  <c r="T144" i="2"/>
  <c r="K864" i="2"/>
  <c r="K865" i="2" s="1"/>
  <c r="O914" i="2"/>
  <c r="O915" i="2" s="1"/>
  <c r="I474" i="2"/>
  <c r="N372" i="2"/>
  <c r="U544" i="2"/>
  <c r="W152" i="2"/>
  <c r="V417" i="2"/>
  <c r="Q29" i="2"/>
  <c r="V95" i="2"/>
  <c r="I429" i="2"/>
  <c r="Q899" i="2"/>
  <c r="Q900" i="2" s="1"/>
  <c r="U209" i="2"/>
  <c r="P144" i="2"/>
  <c r="O864" i="2"/>
  <c r="O865" i="2" s="1"/>
  <c r="S907" i="2"/>
  <c r="S908" i="2" s="1"/>
  <c r="K871" i="2"/>
  <c r="K872" i="2" s="1"/>
  <c r="W532" i="2"/>
  <c r="Q429" i="2"/>
  <c r="I907" i="2"/>
  <c r="I908" i="2" s="1"/>
  <c r="Q95" i="2"/>
  <c r="Q75" i="2"/>
  <c r="W606" i="2"/>
  <c r="T87" i="2"/>
  <c r="R885" i="2"/>
  <c r="R886" i="2" s="1"/>
  <c r="L594" i="2"/>
  <c r="M315" i="2"/>
  <c r="N532" i="2"/>
  <c r="V323" i="2"/>
  <c r="L942" i="2"/>
  <c r="L943" i="2" s="1"/>
  <c r="M928" i="2"/>
  <c r="M929" i="2" s="1"/>
  <c r="T864" i="2"/>
  <c r="T865" i="2" s="1"/>
  <c r="M360" i="2"/>
  <c r="T372" i="2"/>
  <c r="J95" i="2"/>
  <c r="J97" i="2" s="1"/>
  <c r="U315" i="2"/>
  <c r="L935" i="2"/>
  <c r="L936" i="2" s="1"/>
  <c r="U474" i="2"/>
  <c r="T29" i="2"/>
  <c r="W544" i="2"/>
  <c r="K486" i="2"/>
  <c r="O899" i="2"/>
  <c r="O900" i="2" s="1"/>
  <c r="S864" i="2"/>
  <c r="S865" i="2" s="1"/>
  <c r="P372" i="2"/>
  <c r="I201" i="2"/>
  <c r="O474" i="2"/>
  <c r="P474" i="2"/>
  <c r="M95" i="2"/>
  <c r="J654" i="2"/>
  <c r="O921" i="2"/>
  <c r="O922" i="2" s="1"/>
  <c r="M351" i="2"/>
  <c r="O75" i="2"/>
  <c r="M258" i="2"/>
  <c r="O266" i="2"/>
  <c r="T928" i="2"/>
  <c r="T929" i="2" s="1"/>
  <c r="P552" i="2"/>
  <c r="R486" i="2"/>
  <c r="T360" i="2"/>
  <c r="I266" i="2"/>
  <c r="P871" i="2"/>
  <c r="P872" i="2" s="1"/>
  <c r="L614" i="2"/>
  <c r="L426" i="2"/>
  <c r="N201" i="2"/>
  <c r="O878" i="2"/>
  <c r="O879" i="2" s="1"/>
  <c r="S360" i="2"/>
  <c r="S899" i="2"/>
  <c r="S900" i="2" s="1"/>
  <c r="S901" i="2" s="1"/>
  <c r="L878" i="2"/>
  <c r="L879" i="2" s="1"/>
  <c r="M494" i="2"/>
  <c r="K75" i="2"/>
  <c r="W29" i="2"/>
  <c r="K928" i="2"/>
  <c r="K929" i="2" s="1"/>
  <c r="R928" i="2"/>
  <c r="R929" i="2" s="1"/>
  <c r="U323" i="2"/>
  <c r="I552" i="2"/>
  <c r="T899" i="2"/>
  <c r="T900" i="2" s="1"/>
  <c r="V486" i="2"/>
  <c r="W594" i="2"/>
  <c r="J209" i="2"/>
  <c r="U17" i="2"/>
  <c r="O315" i="2"/>
  <c r="K594" i="2"/>
  <c r="N885" i="2"/>
  <c r="N886" i="2" s="1"/>
  <c r="N887" i="2" s="1"/>
  <c r="R494" i="2"/>
  <c r="I871" i="2"/>
  <c r="I872" i="2" s="1"/>
  <c r="I873" i="2" s="1"/>
  <c r="I66" i="2" s="1"/>
  <c r="P942" i="2"/>
  <c r="P943" i="2" s="1"/>
  <c r="R209" i="2"/>
  <c r="U892" i="2"/>
  <c r="U893" i="2" s="1"/>
  <c r="N892" i="2"/>
  <c r="N893" i="2" s="1"/>
  <c r="V258" i="2"/>
  <c r="N429" i="2"/>
  <c r="I323" i="2"/>
  <c r="M317" i="2"/>
  <c r="O544" i="2"/>
  <c r="L907" i="2"/>
  <c r="L908" i="2" s="1"/>
  <c r="L246" i="2"/>
  <c r="P323" i="2"/>
  <c r="W37" i="2"/>
  <c r="O532" i="2"/>
  <c r="I942" i="2"/>
  <c r="I943" i="2" s="1"/>
  <c r="I944" i="2" s="1"/>
  <c r="I445" i="2" s="1"/>
  <c r="U654" i="2"/>
  <c r="S201" i="2"/>
  <c r="S942" i="2"/>
  <c r="S943" i="2" s="1"/>
  <c r="T532" i="2"/>
  <c r="Q606" i="2"/>
  <c r="U942" i="2"/>
  <c r="U943" i="2" s="1"/>
  <c r="V942" i="2"/>
  <c r="V943" i="2" s="1"/>
  <c r="V944" i="2" s="1"/>
  <c r="I494" i="2"/>
  <c r="S380" i="2"/>
  <c r="U614" i="2"/>
  <c r="L437" i="2"/>
  <c r="K144" i="2"/>
  <c r="L885" i="2"/>
  <c r="L886" i="2" s="1"/>
  <c r="K935" i="2"/>
  <c r="K936" i="2" s="1"/>
  <c r="R323" i="2"/>
  <c r="U201" i="2"/>
  <c r="L209" i="2"/>
  <c r="I258" i="2"/>
  <c r="K942" i="2"/>
  <c r="K943" i="2" s="1"/>
  <c r="T942" i="2"/>
  <c r="T943" i="2" s="1"/>
  <c r="M552" i="2"/>
  <c r="P892" i="2"/>
  <c r="P893" i="2" s="1"/>
  <c r="J907" i="2"/>
  <c r="J908" i="2" s="1"/>
  <c r="P87" i="2"/>
  <c r="Q323" i="2"/>
  <c r="J494" i="2"/>
  <c r="S429" i="2"/>
  <c r="K429" i="2"/>
  <c r="R942" i="2"/>
  <c r="R943" i="2" s="1"/>
  <c r="R921" i="2"/>
  <c r="R922" i="2" s="1"/>
  <c r="R935" i="2"/>
  <c r="R936" i="2" s="1"/>
  <c r="U914" i="2"/>
  <c r="U915" i="2" s="1"/>
  <c r="M209" i="2"/>
  <c r="W246" i="2"/>
  <c r="J899" i="2"/>
  <c r="J900" i="2" s="1"/>
  <c r="U312" i="2"/>
  <c r="P921" i="2"/>
  <c r="P922" i="2" s="1"/>
  <c r="N465" i="2"/>
  <c r="N87" i="2"/>
  <c r="R878" i="2"/>
  <c r="R879" i="2" s="1"/>
  <c r="N317" i="2"/>
  <c r="L258" i="2"/>
  <c r="V606" i="2"/>
  <c r="I146" i="2"/>
  <c r="S878" i="2"/>
  <c r="S879" i="2" s="1"/>
  <c r="Q907" i="2"/>
  <c r="Q908" i="2" s="1"/>
  <c r="S144" i="2"/>
  <c r="U907" i="2"/>
  <c r="U908" i="2" s="1"/>
  <c r="I606" i="2"/>
  <c r="M144" i="2"/>
  <c r="L17" i="2"/>
  <c r="S189" i="2"/>
  <c r="P237" i="2"/>
  <c r="U431" i="2"/>
  <c r="S37" i="2"/>
  <c r="V303" i="2"/>
  <c r="T323" i="2"/>
  <c r="I928" i="2"/>
  <c r="I929" i="2" s="1"/>
  <c r="I930" i="2" s="1"/>
  <c r="I217" i="2" s="1"/>
  <c r="J144" i="2"/>
  <c r="R237" i="2"/>
  <c r="G90" i="2"/>
  <c r="P152" i="2"/>
  <c r="P864" i="2"/>
  <c r="P865" i="2" s="1"/>
  <c r="V29" i="2"/>
  <c r="O494" i="2"/>
  <c r="V921" i="2"/>
  <c r="V922" i="2" s="1"/>
  <c r="Q892" i="2"/>
  <c r="Q893" i="2" s="1"/>
  <c r="Q894" i="2" s="1"/>
  <c r="T465" i="2"/>
  <c r="V864" i="2"/>
  <c r="V865" i="2" s="1"/>
  <c r="M29" i="2"/>
  <c r="K921" i="2"/>
  <c r="K922" i="2" s="1"/>
  <c r="J942" i="2"/>
  <c r="J943" i="2" s="1"/>
  <c r="J944" i="2" s="1"/>
  <c r="J445" i="2" s="1"/>
  <c r="L201" i="2"/>
  <c r="M486" i="2"/>
  <c r="K312" i="2"/>
  <c r="M914" i="2"/>
  <c r="M915" i="2" s="1"/>
  <c r="M916" i="2" s="1"/>
  <c r="S323" i="2"/>
  <c r="W209" i="2"/>
  <c r="S914" i="2"/>
  <c r="S915" i="2" s="1"/>
  <c r="S916" i="2" s="1"/>
  <c r="S103" i="2" s="1"/>
  <c r="S258" i="2"/>
  <c r="N95" i="2"/>
  <c r="I317" i="2"/>
  <c r="S303" i="2"/>
  <c r="J885" i="2"/>
  <c r="J886" i="2" s="1"/>
  <c r="P246" i="2"/>
  <c r="P437" i="2"/>
  <c r="P494" i="2"/>
  <c r="K315" i="2"/>
  <c r="J532" i="2"/>
  <c r="W189" i="2"/>
  <c r="W486" i="2"/>
  <c r="G586" i="2"/>
  <c r="Q942" i="2"/>
  <c r="Q943" i="2" s="1"/>
  <c r="O654" i="2"/>
  <c r="T914" i="2"/>
  <c r="T915" i="2" s="1"/>
  <c r="T916" i="2" s="1"/>
  <c r="T103" i="2" s="1"/>
  <c r="O942" i="2"/>
  <c r="O943" i="2" s="1"/>
  <c r="O944" i="2" s="1"/>
  <c r="J935" i="2"/>
  <c r="J936" i="2" s="1"/>
  <c r="P914" i="2"/>
  <c r="P915" i="2" s="1"/>
  <c r="U928" i="2"/>
  <c r="U929" i="2" s="1"/>
  <c r="U75" i="2"/>
  <c r="W871" i="2"/>
  <c r="W872" i="2" s="1"/>
  <c r="T315" i="2"/>
  <c r="R594" i="2"/>
  <c r="R372" i="2"/>
  <c r="R95" i="2"/>
  <c r="L928" i="2"/>
  <c r="L929" i="2" s="1"/>
  <c r="T95" i="2"/>
  <c r="V380" i="2"/>
  <c r="J544" i="2"/>
  <c r="W585" i="2"/>
  <c r="P75" i="2"/>
  <c r="G499" i="2"/>
  <c r="N486" i="2"/>
  <c r="I29" i="2"/>
  <c r="J914" i="2"/>
  <c r="J915" i="2" s="1"/>
  <c r="J17" i="2"/>
  <c r="I431" i="2"/>
  <c r="K899" i="2"/>
  <c r="K900" i="2" s="1"/>
  <c r="L152" i="2"/>
  <c r="L87" i="2"/>
  <c r="L372" i="2"/>
  <c r="U360" i="2"/>
  <c r="L606" i="2"/>
  <c r="S17" i="2"/>
  <c r="Q246" i="2"/>
  <c r="S75" i="2"/>
  <c r="W437" i="2"/>
  <c r="L303" i="2"/>
  <c r="S152" i="2"/>
  <c r="T585" i="2"/>
  <c r="M380" i="2"/>
  <c r="L144" i="2"/>
  <c r="L899" i="2"/>
  <c r="L900" i="2" s="1"/>
  <c r="K614" i="2"/>
  <c r="K616" i="2" s="1"/>
  <c r="I37" i="2"/>
  <c r="S585" i="2"/>
  <c r="G429" i="2"/>
  <c r="P417" i="2"/>
  <c r="J201" i="2"/>
  <c r="L37" i="2"/>
  <c r="L351" i="2"/>
  <c r="S614" i="2"/>
  <c r="G419" i="2"/>
  <c r="T474" i="2"/>
  <c r="O372" i="2"/>
  <c r="M372" i="2"/>
  <c r="P380" i="2"/>
  <c r="J246" i="2"/>
  <c r="R258" i="2"/>
  <c r="L360" i="2"/>
  <c r="N266" i="2"/>
  <c r="O885" i="2"/>
  <c r="O886" i="2" s="1"/>
  <c r="U864" i="2"/>
  <c r="U865" i="2" s="1"/>
  <c r="Q928" i="2"/>
  <c r="Q929" i="2" s="1"/>
  <c r="J892" i="2"/>
  <c r="J893" i="2" s="1"/>
  <c r="W429" i="2"/>
  <c r="J87" i="2"/>
  <c r="V552" i="2"/>
  <c r="G369" i="2"/>
  <c r="I303" i="2"/>
  <c r="V899" i="2"/>
  <c r="V900" i="2" s="1"/>
  <c r="P29" i="2"/>
  <c r="P95" i="2"/>
  <c r="T437" i="2"/>
  <c r="W921" i="2"/>
  <c r="W922" i="2" s="1"/>
  <c r="S266" i="2"/>
  <c r="M237" i="2"/>
  <c r="U144" i="2"/>
  <c r="K907" i="2"/>
  <c r="K908" i="2" s="1"/>
  <c r="U246" i="2"/>
  <c r="U303" i="2"/>
  <c r="P532" i="2"/>
  <c r="O465" i="2"/>
  <c r="I246" i="2"/>
  <c r="S892" i="2"/>
  <c r="S893" i="2" s="1"/>
  <c r="J152" i="2"/>
  <c r="T552" i="2"/>
  <c r="V544" i="2"/>
  <c r="P594" i="2"/>
  <c r="J146" i="2"/>
  <c r="V594" i="2"/>
  <c r="V189" i="2"/>
  <c r="I921" i="2"/>
  <c r="I922" i="2" s="1"/>
  <c r="I923" i="2" s="1"/>
  <c r="I160" i="2" s="1"/>
  <c r="W494" i="2"/>
  <c r="G259" i="2"/>
  <c r="O594" i="2"/>
  <c r="G318" i="2"/>
  <c r="J360" i="2"/>
  <c r="G385" i="2"/>
  <c r="T907" i="2"/>
  <c r="T908" i="2" s="1"/>
  <c r="N864" i="2"/>
  <c r="N865" i="2" s="1"/>
  <c r="G248" i="2"/>
  <c r="U380" i="2"/>
  <c r="W87" i="2"/>
  <c r="L654" i="2"/>
  <c r="V474" i="2"/>
  <c r="S465" i="2"/>
  <c r="T921" i="2"/>
  <c r="T922" i="2" s="1"/>
  <c r="N380" i="2"/>
  <c r="P935" i="2"/>
  <c r="P936" i="2" s="1"/>
  <c r="N878" i="2"/>
  <c r="N879" i="2" s="1"/>
  <c r="L552" i="2"/>
  <c r="Q417" i="2"/>
  <c r="U532" i="2"/>
  <c r="V935" i="2"/>
  <c r="V936" i="2" s="1"/>
  <c r="K474" i="2"/>
  <c r="K37" i="2"/>
  <c r="T892" i="2"/>
  <c r="T893" i="2" s="1"/>
  <c r="M17" i="2"/>
  <c r="R17" i="2"/>
  <c r="J878" i="2"/>
  <c r="J879" i="2" s="1"/>
  <c r="L494" i="2"/>
  <c r="V351" i="2"/>
  <c r="W417" i="2"/>
  <c r="N152" i="2"/>
  <c r="U871" i="2"/>
  <c r="U872" i="2" s="1"/>
  <c r="J429" i="2"/>
  <c r="G426" i="2"/>
  <c r="Q474" i="2"/>
  <c r="S246" i="2"/>
  <c r="W651" i="2"/>
  <c r="R899" i="2"/>
  <c r="R900" i="2" s="1"/>
  <c r="G487" i="2"/>
  <c r="W552" i="2"/>
  <c r="I380" i="2"/>
  <c r="T75" i="2"/>
  <c r="J474" i="2"/>
  <c r="R892" i="2"/>
  <c r="R893" i="2" s="1"/>
  <c r="W258" i="2"/>
  <c r="G476" i="2"/>
  <c r="T258" i="2"/>
  <c r="T201" i="2"/>
  <c r="U486" i="2"/>
  <c r="G303" i="2"/>
  <c r="P360" i="2"/>
  <c r="S552" i="2"/>
  <c r="I87" i="2"/>
  <c r="G324" i="2"/>
  <c r="G48" i="2"/>
  <c r="O380" i="2"/>
  <c r="R380" i="2"/>
  <c r="L544" i="2"/>
  <c r="R152" i="2"/>
  <c r="K532" i="2"/>
  <c r="T17" i="2"/>
  <c r="S871" i="2"/>
  <c r="S872" i="2" s="1"/>
  <c r="I878" i="2"/>
  <c r="I879" i="2" s="1"/>
  <c r="I880" i="2" s="1"/>
  <c r="I123" i="2" s="1"/>
  <c r="U885" i="2"/>
  <c r="U886" i="2" s="1"/>
  <c r="Q552" i="2"/>
  <c r="T417" i="2"/>
  <c r="J921" i="2"/>
  <c r="J922" i="2" s="1"/>
  <c r="J923" i="2" s="1"/>
  <c r="J160" i="2" s="1"/>
  <c r="V360" i="2"/>
  <c r="G148" i="2"/>
  <c r="N29" i="2"/>
  <c r="W132" i="2"/>
  <c r="Q380" i="2"/>
  <c r="M431" i="2"/>
  <c r="R315" i="2"/>
  <c r="M152" i="2"/>
  <c r="R144" i="2"/>
  <c r="S29" i="2"/>
  <c r="P315" i="2"/>
  <c r="G260" i="2"/>
  <c r="L95" i="2"/>
  <c r="Q17" i="2"/>
  <c r="Q878" i="2"/>
  <c r="Q879" i="2" s="1"/>
  <c r="O360" i="2"/>
  <c r="T486" i="2"/>
  <c r="N928" i="2"/>
  <c r="N929" i="2" s="1"/>
  <c r="I652" i="2"/>
  <c r="D44" i="27" s="1"/>
  <c r="F44" i="27" s="1"/>
  <c r="N899" i="2"/>
  <c r="N900" i="2" s="1"/>
  <c r="U429" i="2"/>
  <c r="M87" i="2"/>
  <c r="W878" i="2"/>
  <c r="W879" i="2" s="1"/>
  <c r="O426" i="2"/>
  <c r="I166" i="2"/>
  <c r="Q921" i="2"/>
  <c r="Q922" i="2" s="1"/>
  <c r="Q923" i="2" s="1"/>
  <c r="T594" i="2"/>
  <c r="K544" i="2"/>
  <c r="G502" i="2"/>
  <c r="R429" i="2"/>
  <c r="S606" i="2"/>
  <c r="W237" i="2"/>
  <c r="S209" i="2"/>
  <c r="N921" i="2"/>
  <c r="N922" i="2" s="1"/>
  <c r="K606" i="2"/>
  <c r="P878" i="2"/>
  <c r="P879" i="2" s="1"/>
  <c r="M878" i="2"/>
  <c r="M879" i="2" s="1"/>
  <c r="M880" i="2" s="1"/>
  <c r="L317" i="2"/>
  <c r="M75" i="2"/>
  <c r="O246" i="2"/>
  <c r="K246" i="2"/>
  <c r="O317" i="2"/>
  <c r="U266" i="2"/>
  <c r="G547" i="2"/>
  <c r="Q87" i="2"/>
  <c r="S594" i="2"/>
  <c r="L266" i="2"/>
  <c r="V892" i="2"/>
  <c r="V893" i="2" s="1"/>
  <c r="W95" i="2"/>
  <c r="G274" i="2"/>
  <c r="T189" i="2"/>
  <c r="L315" i="2"/>
  <c r="S417" i="2"/>
  <c r="K878" i="2"/>
  <c r="K879" i="2" s="1"/>
  <c r="V75" i="2"/>
  <c r="T37" i="2"/>
  <c r="I237" i="2"/>
  <c r="R606" i="2"/>
  <c r="M871" i="2"/>
  <c r="M872" i="2" s="1"/>
  <c r="I75" i="2"/>
  <c r="W303" i="2"/>
  <c r="V907" i="2"/>
  <c r="V908" i="2" s="1"/>
  <c r="R864" i="2"/>
  <c r="R865" i="2" s="1"/>
  <c r="R37" i="2"/>
  <c r="Q935" i="2"/>
  <c r="Q936" i="2" s="1"/>
  <c r="Q937" i="2" s="1"/>
  <c r="P928" i="2"/>
  <c r="P929" i="2" s="1"/>
  <c r="I351" i="2"/>
  <c r="U87" i="2"/>
  <c r="M659" i="2"/>
  <c r="V523" i="2"/>
  <c r="I145" i="2"/>
  <c r="S372" i="2"/>
  <c r="I594" i="2"/>
  <c r="S474" i="2"/>
  <c r="M885" i="2"/>
  <c r="M886" i="2" s="1"/>
  <c r="G533" i="2"/>
  <c r="G606" i="2"/>
  <c r="G353" i="2"/>
  <c r="U372" i="2"/>
  <c r="J258" i="2"/>
  <c r="R465" i="2"/>
  <c r="I892" i="2"/>
  <c r="I893" i="2" s="1"/>
  <c r="I894" i="2" s="1"/>
  <c r="I294" i="2" s="1"/>
  <c r="V651" i="2"/>
  <c r="U594" i="2"/>
  <c r="I532" i="2"/>
  <c r="Q614" i="2"/>
  <c r="I465" i="2"/>
  <c r="T303" i="2"/>
  <c r="J315" i="2"/>
  <c r="V246" i="2"/>
  <c r="U523" i="2"/>
  <c r="M942" i="2"/>
  <c r="M943" i="2" s="1"/>
  <c r="M944" i="2" s="1"/>
  <c r="O659" i="2"/>
  <c r="I426" i="2"/>
  <c r="V928" i="2"/>
  <c r="V929" i="2" s="1"/>
  <c r="J606" i="2"/>
  <c r="T935" i="2"/>
  <c r="T936" i="2" s="1"/>
  <c r="S437" i="2"/>
  <c r="K654" i="2"/>
  <c r="G544" i="2"/>
  <c r="I654" i="2"/>
  <c r="G488" i="2"/>
  <c r="N144" i="2"/>
  <c r="O351" i="2"/>
  <c r="W323" i="2"/>
  <c r="G409" i="2"/>
  <c r="M323" i="2"/>
  <c r="I17" i="2"/>
  <c r="M417" i="2"/>
  <c r="L474" i="2"/>
  <c r="G109" i="2"/>
  <c r="K95" i="2"/>
  <c r="G437" i="2"/>
  <c r="J652" i="2"/>
  <c r="D44" i="32" s="1"/>
  <c r="F44" i="32" s="1"/>
  <c r="P486" i="2"/>
  <c r="L312" i="2"/>
  <c r="V437" i="2"/>
  <c r="R585" i="2"/>
  <c r="G667" i="2"/>
  <c r="S544" i="2"/>
  <c r="U203" i="2"/>
  <c r="R246" i="2"/>
  <c r="J426" i="2"/>
  <c r="K237" i="2"/>
  <c r="W465" i="2"/>
  <c r="Q209" i="2"/>
  <c r="K465" i="2"/>
  <c r="R614" i="2"/>
  <c r="O237" i="2"/>
  <c r="M266" i="2"/>
  <c r="G885" i="2"/>
  <c r="G886" i="2" s="1"/>
  <c r="G887" i="2" s="1"/>
  <c r="G180" i="2" s="1"/>
  <c r="U417" i="2"/>
  <c r="U494" i="2"/>
  <c r="G545" i="2"/>
  <c r="K437" i="2"/>
  <c r="G262" i="2"/>
  <c r="G433" i="2"/>
  <c r="G376" i="2"/>
  <c r="O201" i="2"/>
  <c r="K317" i="2"/>
  <c r="P907" i="2"/>
  <c r="P908" i="2" s="1"/>
  <c r="T885" i="2"/>
  <c r="T886" i="2" s="1"/>
  <c r="N426" i="2"/>
  <c r="R532" i="2"/>
  <c r="M312" i="2"/>
  <c r="J317" i="2"/>
  <c r="G819" i="2"/>
  <c r="K552" i="2"/>
  <c r="G88" i="2"/>
  <c r="J37" i="2"/>
  <c r="O585" i="2"/>
  <c r="G255" i="2"/>
  <c r="R351" i="2"/>
  <c r="O258" i="2"/>
  <c r="G153" i="2"/>
  <c r="J486" i="2"/>
  <c r="U317" i="2"/>
  <c r="J372" i="2"/>
  <c r="J75" i="2"/>
  <c r="O95" i="2"/>
  <c r="N552" i="2"/>
  <c r="S935" i="2"/>
  <c r="S936" i="2" s="1"/>
  <c r="G132" i="2"/>
  <c r="L323" i="2"/>
  <c r="U237" i="2"/>
  <c r="U351" i="2"/>
  <c r="M907" i="2"/>
  <c r="M908" i="2" s="1"/>
  <c r="V614" i="2"/>
  <c r="N614" i="2"/>
  <c r="U921" i="2"/>
  <c r="U922" i="2" s="1"/>
  <c r="V494" i="2"/>
  <c r="W266" i="2"/>
  <c r="M474" i="2"/>
  <c r="W907" i="2"/>
  <c r="W908" i="2" s="1"/>
  <c r="W952" i="2" s="1"/>
  <c r="S315" i="2"/>
  <c r="P317" i="2"/>
  <c r="L659" i="2"/>
  <c r="L75" i="2"/>
  <c r="W914" i="2"/>
  <c r="W915" i="2" s="1"/>
  <c r="V209" i="2"/>
  <c r="G596" i="2"/>
  <c r="M145" i="2"/>
  <c r="O37" i="2"/>
  <c r="I914" i="2"/>
  <c r="I915" i="2" s="1"/>
  <c r="I916" i="2" s="1"/>
  <c r="I103" i="2" s="1"/>
  <c r="G30" i="2"/>
  <c r="J323" i="2"/>
  <c r="G660" i="2"/>
  <c r="N209" i="2"/>
  <c r="G323" i="2"/>
  <c r="G935" i="2"/>
  <c r="G936" i="2" s="1"/>
  <c r="G937" i="2" s="1"/>
  <c r="G331" i="2" s="1"/>
  <c r="R914" i="2"/>
  <c r="R915" i="2" s="1"/>
  <c r="R916" i="2" s="1"/>
  <c r="G442" i="2"/>
  <c r="Q146" i="2"/>
  <c r="O323" i="2"/>
  <c r="G210" i="2"/>
  <c r="U552" i="2"/>
  <c r="M426" i="2"/>
  <c r="I372" i="2"/>
  <c r="S885" i="2"/>
  <c r="S886" i="2" s="1"/>
  <c r="S887" i="2" s="1"/>
  <c r="K146" i="2"/>
  <c r="N474" i="2"/>
  <c r="G87" i="2"/>
  <c r="P585" i="2"/>
  <c r="W372" i="2"/>
  <c r="K201" i="2"/>
  <c r="G373" i="2"/>
  <c r="G191" i="2"/>
  <c r="I437" i="2"/>
  <c r="R266" i="2"/>
  <c r="I95" i="2"/>
  <c r="G362" i="2"/>
  <c r="N544" i="2"/>
  <c r="U189" i="2"/>
  <c r="G486" i="2"/>
  <c r="O431" i="2"/>
  <c r="O303" i="2"/>
  <c r="J928" i="2"/>
  <c r="J929" i="2" s="1"/>
  <c r="P351" i="2"/>
  <c r="K885" i="2"/>
  <c r="K886" i="2" s="1"/>
  <c r="L429" i="2"/>
  <c r="R75" i="2"/>
  <c r="G474" i="2"/>
  <c r="G296" i="2"/>
  <c r="G317" i="2"/>
  <c r="T266" i="2"/>
  <c r="P429" i="2"/>
  <c r="O928" i="2"/>
  <c r="O929" i="2" s="1"/>
  <c r="G907" i="2"/>
  <c r="G908" i="2" s="1"/>
  <c r="G952" i="2" s="1"/>
  <c r="R87" i="2"/>
  <c r="O523" i="2"/>
  <c r="G871" i="2"/>
  <c r="G872" i="2" s="1"/>
  <c r="G873" i="2" s="1"/>
  <c r="G66" i="2" s="1"/>
  <c r="G316" i="2"/>
  <c r="G112" i="2"/>
  <c r="T351" i="2"/>
  <c r="T606" i="2"/>
  <c r="G490" i="2"/>
  <c r="W864" i="2"/>
  <c r="W865" i="2" s="1"/>
  <c r="G532" i="2"/>
  <c r="V132" i="2"/>
  <c r="G878" i="2"/>
  <c r="T429" i="2"/>
  <c r="L921" i="2"/>
  <c r="L922" i="2" s="1"/>
  <c r="M246" i="2"/>
  <c r="U198" i="2"/>
  <c r="W892" i="2"/>
  <c r="W893" i="2" s="1"/>
  <c r="Q37" i="2"/>
  <c r="G622" i="2"/>
  <c r="G202" i="2"/>
  <c r="W885" i="2"/>
  <c r="W886" i="2" s="1"/>
  <c r="G237" i="2"/>
  <c r="Q585" i="2"/>
  <c r="W899" i="2"/>
  <c r="W900" i="2" s="1"/>
  <c r="K132" i="2"/>
  <c r="G654" i="2"/>
  <c r="U166" i="2"/>
  <c r="O417" i="2"/>
  <c r="G664" i="2"/>
  <c r="G17" i="2"/>
  <c r="S87" i="2"/>
  <c r="W928" i="2"/>
  <c r="W929" i="2" s="1"/>
  <c r="N360" i="2"/>
  <c r="G483" i="2"/>
  <c r="I585" i="2"/>
  <c r="V871" i="2"/>
  <c r="V872" i="2" s="1"/>
  <c r="Q544" i="2"/>
  <c r="G239" i="2"/>
  <c r="K659" i="2"/>
  <c r="M132" i="2"/>
  <c r="G546" i="2"/>
  <c r="G381" i="2"/>
  <c r="U465" i="2"/>
  <c r="W474" i="2"/>
  <c r="W614" i="2"/>
  <c r="Q594" i="2"/>
  <c r="R907" i="2"/>
  <c r="R908" i="2" s="1"/>
  <c r="I203" i="2"/>
  <c r="V885" i="2"/>
  <c r="V886" i="2" s="1"/>
  <c r="V532" i="2"/>
  <c r="L237" i="2"/>
  <c r="G152" i="2"/>
  <c r="O17" i="2"/>
  <c r="L465" i="2"/>
  <c r="P465" i="2"/>
  <c r="K87" i="2"/>
  <c r="J431" i="2"/>
  <c r="I360" i="2"/>
  <c r="P145" i="2"/>
  <c r="M437" i="2"/>
  <c r="U145" i="2"/>
  <c r="K914" i="2"/>
  <c r="K915" i="2" s="1"/>
  <c r="R29" i="2"/>
  <c r="G37" i="2"/>
  <c r="L585" i="2"/>
  <c r="G614" i="2"/>
  <c r="L864" i="2"/>
  <c r="L865" i="2" s="1"/>
  <c r="G38" i="2"/>
  <c r="S523" i="2"/>
  <c r="Q315" i="2"/>
  <c r="R474" i="2"/>
  <c r="R544" i="2"/>
  <c r="N166" i="2"/>
  <c r="Q303" i="2"/>
  <c r="L892" i="2"/>
  <c r="L893" i="2" s="1"/>
  <c r="L894" i="2" s="1"/>
  <c r="Q486" i="2"/>
  <c r="G295" i="2"/>
  <c r="G899" i="2"/>
  <c r="P544" i="2"/>
  <c r="K303" i="2"/>
  <c r="P523" i="2"/>
  <c r="G68" i="2"/>
  <c r="Q237" i="2"/>
  <c r="G23" i="2"/>
  <c r="G892" i="2"/>
  <c r="M465" i="2"/>
  <c r="O198" i="2"/>
  <c r="K431" i="2"/>
  <c r="G182" i="2"/>
  <c r="G100" i="2"/>
  <c r="M606" i="2"/>
  <c r="G238" i="2"/>
  <c r="G662" i="2"/>
  <c r="Q465" i="2"/>
  <c r="W360" i="2"/>
  <c r="G204" i="2"/>
  <c r="G115" i="2"/>
  <c r="G145" i="2"/>
  <c r="G144" i="2"/>
  <c r="N659" i="2"/>
  <c r="J351" i="2"/>
  <c r="G541" i="2"/>
  <c r="P146" i="2"/>
  <c r="K258" i="2"/>
  <c r="W75" i="2"/>
  <c r="P431" i="2"/>
  <c r="T132" i="2"/>
  <c r="Q201" i="2"/>
  <c r="J303" i="2"/>
  <c r="Q871" i="2"/>
  <c r="Q872" i="2" s="1"/>
  <c r="K426" i="2"/>
  <c r="G942" i="2"/>
  <c r="G943" i="2" s="1"/>
  <c r="G266" i="2"/>
  <c r="G655" i="2"/>
  <c r="G418" i="2"/>
  <c r="G659" i="2"/>
  <c r="U258" i="2"/>
  <c r="G133" i="2"/>
  <c r="G380" i="2"/>
  <c r="P659" i="2"/>
  <c r="P426" i="2"/>
  <c r="T246" i="2"/>
  <c r="J437" i="2"/>
  <c r="N146" i="2"/>
  <c r="M585" i="2"/>
  <c r="G209" i="2"/>
  <c r="G89" i="2"/>
  <c r="P166" i="2"/>
  <c r="K17" i="2"/>
  <c r="I544" i="2"/>
  <c r="G417" i="2"/>
  <c r="N75" i="2"/>
  <c r="N17" i="2"/>
  <c r="G823" i="2"/>
  <c r="G494" i="2"/>
  <c r="G106" i="2"/>
  <c r="R871" i="2"/>
  <c r="R872" i="2" s="1"/>
  <c r="N523" i="2"/>
  <c r="K145" i="2"/>
  <c r="Q152" i="2"/>
  <c r="G95" i="2"/>
  <c r="G147" i="2"/>
  <c r="G663" i="2"/>
  <c r="G315" i="2"/>
  <c r="G42" i="2"/>
  <c r="Q132" i="2"/>
  <c r="J585" i="2"/>
  <c r="I885" i="2"/>
  <c r="J864" i="2"/>
  <c r="J865" i="2" s="1"/>
  <c r="K266" i="2"/>
  <c r="M523" i="2"/>
  <c r="G557" i="2"/>
  <c r="T871" i="2"/>
  <c r="T872" i="2" s="1"/>
  <c r="G432" i="2"/>
  <c r="O652" i="2"/>
  <c r="D44" i="25" s="1"/>
  <c r="F44" i="25" s="1"/>
  <c r="G553" i="2"/>
  <c r="G615" i="2"/>
  <c r="K585" i="2"/>
  <c r="N37" i="2"/>
  <c r="G914" i="2"/>
  <c r="G915" i="2" s="1"/>
  <c r="T380" i="2"/>
  <c r="G665" i="2"/>
  <c r="J312" i="2"/>
  <c r="V914" i="2"/>
  <c r="V915" i="2" s="1"/>
  <c r="V916" i="2" s="1"/>
  <c r="G495" i="2"/>
  <c r="N351" i="2"/>
  <c r="G169" i="2"/>
  <c r="I899" i="2"/>
  <c r="I900" i="2" s="1"/>
  <c r="I901" i="2" s="1"/>
  <c r="I408" i="2" s="1"/>
  <c r="G587" i="2"/>
  <c r="G467" i="2"/>
  <c r="L145" i="2"/>
  <c r="R523" i="2"/>
  <c r="G388" i="2"/>
  <c r="G319" i="2"/>
  <c r="L166" i="2"/>
  <c r="P312" i="2"/>
  <c r="R360" i="2"/>
  <c r="I935" i="2"/>
  <c r="I936" i="2" s="1"/>
  <c r="I937" i="2" s="1"/>
  <c r="I331" i="2" s="1"/>
  <c r="G141" i="2"/>
  <c r="T878" i="2"/>
  <c r="T879" i="2" s="1"/>
  <c r="T880" i="2" s="1"/>
  <c r="U426" i="2"/>
  <c r="O312" i="2"/>
  <c r="P132" i="2"/>
  <c r="G594" i="2"/>
  <c r="G466" i="2"/>
  <c r="I417" i="2"/>
  <c r="G124" i="2"/>
  <c r="G921" i="2"/>
  <c r="K652" i="2"/>
  <c r="D44" i="17" s="1"/>
  <c r="F44" i="17" s="1"/>
  <c r="O87" i="2"/>
  <c r="M37" i="2"/>
  <c r="L417" i="2"/>
  <c r="G608" i="2"/>
  <c r="G214" i="2"/>
  <c r="Q166" i="2"/>
  <c r="G607" i="2"/>
  <c r="M899" i="2"/>
  <c r="M900" i="2" s="1"/>
  <c r="M901" i="2" s="1"/>
  <c r="J380" i="2"/>
  <c r="K323" i="2"/>
  <c r="J417" i="2"/>
  <c r="N315" i="2"/>
  <c r="V585" i="2"/>
  <c r="P209" i="2"/>
  <c r="P211" i="2" s="1"/>
  <c r="O146" i="2"/>
  <c r="G375" i="2"/>
  <c r="U585" i="2"/>
  <c r="U29" i="2"/>
  <c r="M654" i="2"/>
  <c r="G166" i="2"/>
  <c r="L871" i="2"/>
  <c r="L872" i="2" s="1"/>
  <c r="L873" i="2" s="1"/>
  <c r="G57" i="2"/>
  <c r="G205" i="2"/>
  <c r="G77" i="2"/>
  <c r="M201" i="2"/>
  <c r="J266" i="2"/>
  <c r="W380" i="2"/>
  <c r="G374" i="2"/>
  <c r="Q189" i="2"/>
  <c r="P652" i="2"/>
  <c r="D44" i="26" s="1"/>
  <c r="F44" i="26" s="1"/>
  <c r="N431" i="2"/>
  <c r="N652" i="2"/>
  <c r="D44" i="21" s="1"/>
  <c r="F44" i="21" s="1"/>
  <c r="N437" i="2"/>
  <c r="G271" i="2"/>
  <c r="G430" i="2"/>
  <c r="U146" i="2"/>
  <c r="G29" i="2"/>
  <c r="G75" i="2"/>
  <c r="G125" i="2"/>
  <c r="Q198" i="2"/>
  <c r="Q203" i="2"/>
  <c r="G816" i="2"/>
  <c r="G297" i="2" s="1"/>
  <c r="Q351" i="2"/>
  <c r="G610" i="2"/>
  <c r="O486" i="2"/>
  <c r="U606" i="2"/>
  <c r="V152" i="2"/>
  <c r="J166" i="2"/>
  <c r="G652" i="2"/>
  <c r="W351" i="2"/>
  <c r="U878" i="2"/>
  <c r="U879" i="2" s="1"/>
  <c r="U880" i="2" s="1"/>
  <c r="U123" i="2" s="1"/>
  <c r="Q437" i="2"/>
  <c r="G361" i="2"/>
  <c r="U95" i="2"/>
  <c r="R651" i="2"/>
  <c r="G195" i="2"/>
  <c r="G651" i="2"/>
  <c r="N417" i="2"/>
  <c r="K166" i="2"/>
  <c r="K351" i="2"/>
  <c r="K198" i="2"/>
  <c r="S532" i="2"/>
  <c r="L146" i="2"/>
  <c r="M429" i="2"/>
  <c r="G609" i="2"/>
  <c r="I659" i="2"/>
  <c r="G157" i="2"/>
  <c r="G261" i="2"/>
  <c r="M189" i="2"/>
  <c r="N654" i="2"/>
  <c r="S928" i="2"/>
  <c r="S929" i="2" s="1"/>
  <c r="S930" i="2" s="1"/>
  <c r="O166" i="2"/>
  <c r="I198" i="2"/>
  <c r="G328" i="2"/>
  <c r="T523" i="2"/>
  <c r="G552" i="2"/>
  <c r="M864" i="2"/>
  <c r="M865" i="2" s="1"/>
  <c r="J237" i="2"/>
  <c r="G309" i="2"/>
  <c r="G372" i="2"/>
  <c r="Q360" i="2"/>
  <c r="G595" i="2"/>
  <c r="G523" i="2"/>
  <c r="G91" i="2"/>
  <c r="G304" i="2"/>
  <c r="G26" i="2"/>
  <c r="J871" i="2"/>
  <c r="J872" i="2" s="1"/>
  <c r="J873" i="2" s="1"/>
  <c r="J66" i="2" s="1"/>
  <c r="Q145" i="2"/>
  <c r="N303" i="2"/>
  <c r="G76" i="2"/>
  <c r="G10" i="2"/>
  <c r="V237" i="2"/>
  <c r="L132" i="2"/>
  <c r="S132" i="2"/>
  <c r="M892" i="2"/>
  <c r="M893" i="2" s="1"/>
  <c r="G438" i="2"/>
  <c r="K203" i="2"/>
  <c r="W315" i="2"/>
  <c r="G465" i="2"/>
  <c r="G352" i="2"/>
  <c r="G201" i="2"/>
  <c r="G560" i="2"/>
  <c r="P17" i="2"/>
  <c r="I614" i="2"/>
  <c r="Q659" i="2"/>
  <c r="I523" i="2"/>
  <c r="R303" i="2"/>
  <c r="O892" i="2"/>
  <c r="O893" i="2" s="1"/>
  <c r="O894" i="2" s="1"/>
  <c r="N312" i="2"/>
  <c r="Q523" i="2"/>
  <c r="G19" i="2"/>
  <c r="G146" i="2"/>
  <c r="O871" i="2"/>
  <c r="O872" i="2" s="1"/>
  <c r="P654" i="2"/>
  <c r="T614" i="2"/>
  <c r="N198" i="2"/>
  <c r="W942" i="2"/>
  <c r="U152" i="2"/>
  <c r="I864" i="2"/>
  <c r="I865" i="2" s="1"/>
  <c r="O907" i="2"/>
  <c r="O908" i="2" s="1"/>
  <c r="G181" i="2"/>
  <c r="V465" i="2"/>
  <c r="N323" i="2"/>
  <c r="G928" i="2"/>
  <c r="G929" i="2" s="1"/>
  <c r="G930" i="2" s="1"/>
  <c r="W201" i="2"/>
  <c r="U652" i="2"/>
  <c r="G81" i="2"/>
  <c r="P189" i="2"/>
  <c r="J203" i="2"/>
  <c r="G312" i="2"/>
  <c r="G198" i="2"/>
  <c r="G67" i="2"/>
  <c r="J659" i="2"/>
  <c r="G32" i="2"/>
  <c r="O132" i="2"/>
  <c r="K417" i="2"/>
  <c r="L431" i="2"/>
  <c r="G360" i="2"/>
  <c r="M198" i="2"/>
  <c r="J523" i="2"/>
  <c r="G33" i="2"/>
  <c r="L652" i="2"/>
  <c r="D44" i="19" s="1"/>
  <c r="F44" i="19" s="1"/>
  <c r="J145" i="2"/>
  <c r="O614" i="2"/>
  <c r="G246" i="2"/>
  <c r="K209" i="2"/>
  <c r="O552" i="2"/>
  <c r="N585" i="2"/>
  <c r="G864" i="2"/>
  <c r="G865" i="2" s="1"/>
  <c r="J651" i="2"/>
  <c r="G247" i="2"/>
  <c r="G351" i="2"/>
  <c r="P203" i="2"/>
  <c r="G267" i="2"/>
  <c r="Q864" i="2"/>
  <c r="Q865" i="2" s="1"/>
  <c r="Q652" i="2"/>
  <c r="L523" i="2"/>
  <c r="P303" i="2"/>
  <c r="G524" i="2"/>
  <c r="G822" i="2"/>
  <c r="G563" i="2" s="1"/>
  <c r="M652" i="2"/>
  <c r="D44" i="20" s="1"/>
  <c r="F44" i="20" s="1"/>
  <c r="I189" i="2"/>
  <c r="T651" i="2"/>
  <c r="U899" i="2"/>
  <c r="U900" i="2" s="1"/>
  <c r="V37" i="2"/>
  <c r="I132" i="2"/>
  <c r="G538" i="2"/>
  <c r="M935" i="2"/>
  <c r="M936" i="2" s="1"/>
  <c r="R189" i="2"/>
  <c r="G54" i="2"/>
  <c r="G258" i="2"/>
  <c r="R132" i="2"/>
  <c r="J189" i="2"/>
  <c r="N145" i="2"/>
  <c r="R552" i="2"/>
  <c r="G9" i="2"/>
  <c r="U651" i="2"/>
  <c r="S237" i="2"/>
  <c r="G305" i="2"/>
  <c r="G203" i="2"/>
  <c r="N132" i="2"/>
  <c r="O935" i="2"/>
  <c r="O936" i="2" s="1"/>
  <c r="O937" i="2" s="1"/>
  <c r="G603" i="2"/>
  <c r="I209" i="2"/>
  <c r="K892" i="2"/>
  <c r="K893" i="2" s="1"/>
  <c r="G656" i="2"/>
  <c r="S651" i="2"/>
  <c r="G84" i="2"/>
  <c r="O203" i="2"/>
  <c r="G423" i="2"/>
  <c r="G163" i="2"/>
  <c r="M203" i="2"/>
  <c r="N189" i="2"/>
  <c r="G489" i="2"/>
  <c r="L651" i="2"/>
  <c r="G31" i="2"/>
  <c r="G548" i="2"/>
  <c r="G410" i="2"/>
  <c r="J552" i="2"/>
  <c r="G366" i="2"/>
  <c r="G824" i="2"/>
  <c r="G400" i="2" s="1"/>
  <c r="W935" i="2"/>
  <c r="W936" i="2" s="1"/>
  <c r="O145" i="2"/>
  <c r="I651" i="2"/>
  <c r="G172" i="2"/>
  <c r="M166" i="2"/>
  <c r="Q651" i="2"/>
  <c r="T237" i="2"/>
  <c r="K651" i="2"/>
  <c r="L203" i="2"/>
  <c r="M651" i="2"/>
  <c r="U132" i="2"/>
  <c r="G431" i="2"/>
  <c r="S351" i="2"/>
  <c r="G252" i="2"/>
  <c r="N914" i="2"/>
  <c r="N915" i="2" s="1"/>
  <c r="K523" i="2"/>
  <c r="G600" i="2"/>
  <c r="G585" i="2"/>
  <c r="G534" i="2"/>
  <c r="J132" i="2"/>
  <c r="G525" i="2"/>
  <c r="N203" i="2"/>
  <c r="G189" i="2"/>
  <c r="M146" i="2"/>
  <c r="G475" i="2"/>
  <c r="G96" i="2"/>
  <c r="G18" i="2"/>
  <c r="G138" i="2"/>
  <c r="G134" i="2"/>
  <c r="G619" i="2"/>
  <c r="M303" i="2"/>
  <c r="P651" i="2"/>
  <c r="G786" i="2"/>
  <c r="L189" i="2"/>
  <c r="W523" i="2"/>
  <c r="L198" i="2"/>
  <c r="G480" i="2"/>
  <c r="G190" i="2"/>
  <c r="G51" i="2"/>
  <c r="O189" i="2"/>
  <c r="N651" i="2"/>
  <c r="J198" i="2"/>
  <c r="O651" i="2"/>
  <c r="K189" i="2"/>
  <c r="P198" i="2"/>
  <c r="V39" i="2" l="1"/>
  <c r="N496" i="2"/>
  <c r="K154" i="2"/>
  <c r="H704" i="2"/>
  <c r="H710" i="2" s="1"/>
  <c r="H717" i="2"/>
  <c r="H725" i="2" s="1"/>
  <c r="V616" i="2"/>
  <c r="I154" i="2"/>
  <c r="H806" i="2"/>
  <c r="F57" i="33" s="1"/>
  <c r="F31" i="33"/>
  <c r="W616" i="2"/>
  <c r="W901" i="2"/>
  <c r="W905" i="2" s="1"/>
  <c r="V894" i="2"/>
  <c r="P880" i="2"/>
  <c r="J894" i="2"/>
  <c r="J294" i="2" s="1"/>
  <c r="J901" i="2"/>
  <c r="J408" i="2" s="1"/>
  <c r="K944" i="2"/>
  <c r="K445" i="2" s="1"/>
  <c r="I30" i="17" s="1"/>
  <c r="V445" i="2"/>
  <c r="O923" i="2"/>
  <c r="M923" i="2"/>
  <c r="L394" i="2"/>
  <c r="V873" i="2"/>
  <c r="N901" i="2"/>
  <c r="N408" i="2" s="1"/>
  <c r="S894" i="2"/>
  <c r="U930" i="2"/>
  <c r="R937" i="2"/>
  <c r="R331" i="2" s="1"/>
  <c r="S944" i="2"/>
  <c r="O873" i="2"/>
  <c r="Q873" i="2"/>
  <c r="O930" i="2"/>
  <c r="K887" i="2"/>
  <c r="M887" i="2"/>
  <c r="N180" i="2" s="1"/>
  <c r="E28" i="21" s="1"/>
  <c r="W880" i="2"/>
  <c r="W883" i="2" s="1"/>
  <c r="S873" i="2"/>
  <c r="R901" i="2"/>
  <c r="Q930" i="2"/>
  <c r="L930" i="2"/>
  <c r="P916" i="2"/>
  <c r="V923" i="2"/>
  <c r="R923" i="2"/>
  <c r="R160" i="2" s="1"/>
  <c r="P894" i="2"/>
  <c r="P294" i="2" s="1"/>
  <c r="K937" i="2"/>
  <c r="U944" i="2"/>
  <c r="P944" i="2"/>
  <c r="P445" i="2" s="1"/>
  <c r="I30" i="26" s="1"/>
  <c r="R887" i="2"/>
  <c r="R180" i="2" s="1"/>
  <c r="K873" i="2"/>
  <c r="K66" i="2" s="1"/>
  <c r="N937" i="2"/>
  <c r="O331" i="2" s="1"/>
  <c r="I29" i="25" s="1"/>
  <c r="S572" i="2"/>
  <c r="M563" i="2"/>
  <c r="T123" i="2"/>
  <c r="N916" i="2"/>
  <c r="N103" i="2" s="1"/>
  <c r="U901" i="2"/>
  <c r="V887" i="2"/>
  <c r="N930" i="2"/>
  <c r="V937" i="2"/>
  <c r="N880" i="2"/>
  <c r="N123" i="2" s="1"/>
  <c r="E14" i="21" s="1"/>
  <c r="S880" i="2"/>
  <c r="Q901" i="2"/>
  <c r="K448" i="2"/>
  <c r="J185" i="2"/>
  <c r="J916" i="2"/>
  <c r="J103" i="2" s="1"/>
  <c r="O901" i="2"/>
  <c r="L944" i="2"/>
  <c r="L445" i="2" s="1"/>
  <c r="I30" i="19" s="1"/>
  <c r="N457" i="2"/>
  <c r="T457" i="2"/>
  <c r="R505" i="2"/>
  <c r="R588" i="2"/>
  <c r="R563" i="2"/>
  <c r="J880" i="2"/>
  <c r="J123" i="2" s="1"/>
  <c r="E14" i="32" s="1"/>
  <c r="K894" i="2"/>
  <c r="L294" i="2" s="1"/>
  <c r="M873" i="2"/>
  <c r="M66" i="2" s="1"/>
  <c r="Q880" i="2"/>
  <c r="Q123" i="2" s="1"/>
  <c r="K901" i="2"/>
  <c r="K408" i="2" s="1"/>
  <c r="T283" i="2"/>
  <c r="K457" i="2"/>
  <c r="O572" i="2"/>
  <c r="R277" i="2"/>
  <c r="R625" i="2"/>
  <c r="M445" i="2"/>
  <c r="I30" i="20" s="1"/>
  <c r="K923" i="2"/>
  <c r="K160" i="2" s="1"/>
  <c r="I14" i="17" s="1"/>
  <c r="K916" i="2"/>
  <c r="K103" i="2" s="1"/>
  <c r="T923" i="2"/>
  <c r="T160" i="2" s="1"/>
  <c r="L937" i="2"/>
  <c r="L331" i="2" s="1"/>
  <c r="I29" i="19" s="1"/>
  <c r="Q916" i="2"/>
  <c r="Q103" i="2" s="1"/>
  <c r="M408" i="2"/>
  <c r="T873" i="2"/>
  <c r="T66" i="2" s="1"/>
  <c r="R873" i="2"/>
  <c r="R66" i="2" s="1"/>
  <c r="L923" i="2"/>
  <c r="L160" i="2" s="1"/>
  <c r="I14" i="19" s="1"/>
  <c r="U923" i="2"/>
  <c r="U160" i="2" s="1"/>
  <c r="S937" i="2"/>
  <c r="S331" i="2" s="1"/>
  <c r="T887" i="2"/>
  <c r="T180" i="2" s="1"/>
  <c r="P930" i="2"/>
  <c r="P217" i="2" s="1"/>
  <c r="I28" i="26" s="1"/>
  <c r="K880" i="2"/>
  <c r="K123" i="2" s="1"/>
  <c r="E14" i="17" s="1"/>
  <c r="N923" i="2"/>
  <c r="N160" i="2" s="1"/>
  <c r="I14" i="21" s="1"/>
  <c r="V901" i="2"/>
  <c r="V408" i="2" s="1"/>
  <c r="L901" i="2"/>
  <c r="L408" i="2" s="1"/>
  <c r="W873" i="2"/>
  <c r="W66" i="2" s="1"/>
  <c r="J937" i="2"/>
  <c r="J331" i="2" s="1"/>
  <c r="I29" i="32" s="1"/>
  <c r="Q944" i="2"/>
  <c r="Q445" i="2" s="1"/>
  <c r="P923" i="2"/>
  <c r="P160" i="2" s="1"/>
  <c r="I14" i="26" s="1"/>
  <c r="R944" i="2"/>
  <c r="L887" i="2"/>
  <c r="L180" i="2" s="1"/>
  <c r="E28" i="19" s="1"/>
  <c r="N894" i="2"/>
  <c r="R930" i="2"/>
  <c r="O880" i="2"/>
  <c r="P873" i="2"/>
  <c r="P66" i="2" s="1"/>
  <c r="N944" i="2"/>
  <c r="N445" i="2" s="1"/>
  <c r="I30" i="21" s="1"/>
  <c r="V880" i="2"/>
  <c r="V123" i="2" s="1"/>
  <c r="J400" i="2"/>
  <c r="S71" i="2"/>
  <c r="L505" i="2"/>
  <c r="U563" i="2"/>
  <c r="U511" i="2"/>
  <c r="J505" i="2"/>
  <c r="O590" i="2"/>
  <c r="V505" i="2"/>
  <c r="V400" i="2"/>
  <c r="P283" i="2"/>
  <c r="O448" i="2"/>
  <c r="R391" i="2"/>
  <c r="R448" i="2"/>
  <c r="V930" i="2"/>
  <c r="V217" i="2" s="1"/>
  <c r="M937" i="2"/>
  <c r="M331" i="2" s="1"/>
  <c r="I29" i="20" s="1"/>
  <c r="M894" i="2"/>
  <c r="M294" i="2" s="1"/>
  <c r="W887" i="2"/>
  <c r="W890" i="2" s="1"/>
  <c r="W894" i="2"/>
  <c r="W897" i="2" s="1"/>
  <c r="J930" i="2"/>
  <c r="J217" i="2" s="1"/>
  <c r="I28" i="32" s="1"/>
  <c r="T937" i="2"/>
  <c r="T331" i="2" s="1"/>
  <c r="Q331" i="2"/>
  <c r="U887" i="2"/>
  <c r="R894" i="2"/>
  <c r="R294" i="2" s="1"/>
  <c r="U873" i="2"/>
  <c r="U66" i="2" s="1"/>
  <c r="T894" i="2"/>
  <c r="T294" i="2" s="1"/>
  <c r="P937" i="2"/>
  <c r="P331" i="2" s="1"/>
  <c r="I29" i="26" s="1"/>
  <c r="O887" i="2"/>
  <c r="O180" i="2" s="1"/>
  <c r="E28" i="25" s="1"/>
  <c r="R880" i="2"/>
  <c r="U916" i="2"/>
  <c r="U103" i="2" s="1"/>
  <c r="T944" i="2"/>
  <c r="T445" i="2" s="1"/>
  <c r="U894" i="2"/>
  <c r="T901" i="2"/>
  <c r="T408" i="2" s="1"/>
  <c r="K930" i="2"/>
  <c r="L880" i="2"/>
  <c r="L123" i="2" s="1"/>
  <c r="E14" i="19" s="1"/>
  <c r="T930" i="2"/>
  <c r="T217" i="2" s="1"/>
  <c r="M930" i="2"/>
  <c r="M217" i="2" s="1"/>
  <c r="O916" i="2"/>
  <c r="O103" i="2" s="1"/>
  <c r="L916" i="2"/>
  <c r="L103" i="2" s="1"/>
  <c r="P901" i="2"/>
  <c r="P408" i="2" s="1"/>
  <c r="N873" i="2"/>
  <c r="N66" i="2" s="1"/>
  <c r="P887" i="2"/>
  <c r="U937" i="2"/>
  <c r="U331" i="2" s="1"/>
  <c r="Q400" i="2"/>
  <c r="K451" i="2"/>
  <c r="V69" i="2"/>
  <c r="U572" i="2"/>
  <c r="N354" i="2"/>
  <c r="O280" i="2"/>
  <c r="P240" i="2"/>
  <c r="W223" i="2"/>
  <c r="R334" i="2"/>
  <c r="L240" i="2"/>
  <c r="W126" i="2"/>
  <c r="R220" i="2"/>
  <c r="J909" i="2"/>
  <c r="J952" i="2"/>
  <c r="R909" i="2"/>
  <c r="R952" i="2"/>
  <c r="M909" i="2"/>
  <c r="M952" i="2"/>
  <c r="T909" i="2"/>
  <c r="T952" i="2"/>
  <c r="Q909" i="2"/>
  <c r="Q952" i="2"/>
  <c r="N909" i="2"/>
  <c r="N952" i="2"/>
  <c r="L909" i="2"/>
  <c r="L952" i="2"/>
  <c r="L229" i="2" s="1"/>
  <c r="O909" i="2"/>
  <c r="O45" i="2" s="1"/>
  <c r="O952" i="2"/>
  <c r="O226" i="2" s="1"/>
  <c r="V909" i="2"/>
  <c r="V45" i="2" s="1"/>
  <c r="V952" i="2"/>
  <c r="K909" i="2"/>
  <c r="K952" i="2"/>
  <c r="I909" i="2"/>
  <c r="I45" i="2" s="1"/>
  <c r="I952" i="2"/>
  <c r="I226" i="2" s="1"/>
  <c r="S909" i="2"/>
  <c r="S45" i="2" s="1"/>
  <c r="S952" i="2"/>
  <c r="S226" i="2" s="1"/>
  <c r="P909" i="2"/>
  <c r="P45" i="2" s="1"/>
  <c r="P952" i="2"/>
  <c r="U909" i="2"/>
  <c r="U45" i="2" s="1"/>
  <c r="U952" i="2"/>
  <c r="U226" i="2" s="1"/>
  <c r="L183" i="2"/>
  <c r="F28" i="19" s="1"/>
  <c r="I439" i="2"/>
  <c r="W439" i="2"/>
  <c r="S496" i="2"/>
  <c r="P183" i="2"/>
  <c r="F28" i="26" s="1"/>
  <c r="U211" i="2"/>
  <c r="J616" i="2"/>
  <c r="T39" i="2"/>
  <c r="N211" i="2"/>
  <c r="O154" i="2"/>
  <c r="L154" i="2"/>
  <c r="L439" i="2"/>
  <c r="S154" i="2"/>
  <c r="W268" i="2"/>
  <c r="J211" i="2"/>
  <c r="W355" i="2"/>
  <c r="L185" i="2"/>
  <c r="Q439" i="2"/>
  <c r="J866" i="2"/>
  <c r="U866" i="2"/>
  <c r="V866" i="2"/>
  <c r="T866" i="2"/>
  <c r="R866" i="2"/>
  <c r="I866" i="2"/>
  <c r="I8" i="2" s="1"/>
  <c r="I962" i="2" s="1"/>
  <c r="I740" i="2" s="1"/>
  <c r="W866" i="2"/>
  <c r="W8" i="2" s="1"/>
  <c r="S866" i="2"/>
  <c r="S8" i="2" s="1"/>
  <c r="S962" i="2" s="1"/>
  <c r="S740" i="2" s="1"/>
  <c r="O866" i="2"/>
  <c r="M866" i="2"/>
  <c r="Q866" i="2"/>
  <c r="L866" i="2"/>
  <c r="N866" i="2"/>
  <c r="N8" i="2" s="1"/>
  <c r="N962" i="2" s="1"/>
  <c r="N740" i="2" s="1"/>
  <c r="P866" i="2"/>
  <c r="P8" i="2" s="1"/>
  <c r="P962" i="2" s="1"/>
  <c r="P740" i="2" s="1"/>
  <c r="K866" i="2"/>
  <c r="K8" i="2" s="1"/>
  <c r="K962" i="2" s="1"/>
  <c r="K740" i="2" s="1"/>
  <c r="R439" i="2"/>
  <c r="T382" i="2"/>
  <c r="R154" i="2"/>
  <c r="O211" i="2"/>
  <c r="L588" i="2"/>
  <c r="W589" i="2"/>
  <c r="L526" i="2"/>
  <c r="W528" i="2"/>
  <c r="K211" i="2"/>
  <c r="L12" i="2"/>
  <c r="L298" i="2"/>
  <c r="L13" i="2"/>
  <c r="W185" i="2"/>
  <c r="N97" i="2"/>
  <c r="L589" i="2"/>
  <c r="M382" i="2"/>
  <c r="L126" i="2"/>
  <c r="F14" i="19" s="1"/>
  <c r="W356" i="2"/>
  <c r="W184" i="2"/>
  <c r="V229" i="2"/>
  <c r="O505" i="2"/>
  <c r="L411" i="2"/>
  <c r="W413" i="2"/>
  <c r="W469" i="2"/>
  <c r="W527" i="2"/>
  <c r="J14" i="21"/>
  <c r="Q39" i="2"/>
  <c r="V263" i="2"/>
  <c r="O325" i="2"/>
  <c r="P154" i="2"/>
  <c r="L263" i="2"/>
  <c r="W39" i="2"/>
  <c r="U325" i="2"/>
  <c r="K286" i="2"/>
  <c r="N306" i="2"/>
  <c r="G29" i="21" s="1"/>
  <c r="O400" i="2"/>
  <c r="O298" i="2"/>
  <c r="V572" i="2"/>
  <c r="O588" i="2"/>
  <c r="O71" i="2"/>
  <c r="L70" i="2"/>
  <c r="L468" i="2"/>
  <c r="W70" i="2"/>
  <c r="D43" i="32"/>
  <c r="E43" i="32" s="1"/>
  <c r="S211" i="2"/>
  <c r="R97" i="2"/>
  <c r="N554" i="2"/>
  <c r="U496" i="2"/>
  <c r="W496" i="2"/>
  <c r="O97" i="2"/>
  <c r="V439" i="2"/>
  <c r="W306" i="2"/>
  <c r="K535" i="2"/>
  <c r="L496" i="2"/>
  <c r="M183" i="2"/>
  <c r="F28" i="20" s="1"/>
  <c r="W566" i="2"/>
  <c r="J325" i="2"/>
  <c r="K39" i="2"/>
  <c r="J14" i="26"/>
  <c r="D43" i="21"/>
  <c r="E43" i="21" s="1"/>
  <c r="K43" i="21" s="1"/>
  <c r="L43" i="21" s="1"/>
  <c r="O126" i="2"/>
  <c r="F14" i="25" s="1"/>
  <c r="O20" i="2"/>
  <c r="O658" i="2" s="1"/>
  <c r="D45" i="25" s="1"/>
  <c r="G45" i="25" s="1"/>
  <c r="K45" i="25" s="1"/>
  <c r="L45" i="25" s="1"/>
  <c r="N34" i="2"/>
  <c r="W154" i="2"/>
  <c r="T211" i="2"/>
  <c r="P508" i="2"/>
  <c r="O391" i="2"/>
  <c r="N183" i="2"/>
  <c r="F28" i="21" s="1"/>
  <c r="P223" i="2"/>
  <c r="J268" i="2"/>
  <c r="U39" i="2"/>
  <c r="M597" i="2"/>
  <c r="N263" i="2"/>
  <c r="P337" i="2"/>
  <c r="P454" i="2"/>
  <c r="V634" i="2"/>
  <c r="L616" i="2"/>
  <c r="K439" i="2"/>
  <c r="M325" i="2"/>
  <c r="U223" i="2"/>
  <c r="P597" i="2"/>
  <c r="P382" i="2"/>
  <c r="M97" i="2"/>
  <c r="K496" i="2"/>
  <c r="O185" i="2"/>
  <c r="J183" i="2"/>
  <c r="F28" i="32" s="1"/>
  <c r="W337" i="2"/>
  <c r="M454" i="2"/>
  <c r="M569" i="2"/>
  <c r="M394" i="2"/>
  <c r="M223" i="2"/>
  <c r="W631" i="2"/>
  <c r="M439" i="2"/>
  <c r="T268" i="2"/>
  <c r="U382" i="2"/>
  <c r="V135" i="2"/>
  <c r="P126" i="2"/>
  <c r="F14" i="26" s="1"/>
  <c r="K554" i="2"/>
  <c r="I535" i="2"/>
  <c r="W97" i="2"/>
  <c r="S554" i="2"/>
  <c r="S249" i="2"/>
  <c r="I306" i="2"/>
  <c r="G29" i="27" s="1"/>
  <c r="L39" i="2"/>
  <c r="M451" i="2"/>
  <c r="W394" i="2"/>
  <c r="M397" i="2"/>
  <c r="P135" i="2"/>
  <c r="G14" i="26" s="1"/>
  <c r="J14" i="19"/>
  <c r="N39" i="2"/>
  <c r="W206" i="2"/>
  <c r="Q192" i="2"/>
  <c r="Q306" i="2"/>
  <c r="K183" i="2"/>
  <c r="F28" i="17" s="1"/>
  <c r="I496" i="2"/>
  <c r="M616" i="2"/>
  <c r="P192" i="2"/>
  <c r="G28" i="26" s="1"/>
  <c r="J14" i="25"/>
  <c r="K268" i="2"/>
  <c r="I97" i="2"/>
  <c r="P298" i="2"/>
  <c r="P470" i="2"/>
  <c r="U154" i="2"/>
  <c r="M39" i="2"/>
  <c r="S597" i="2"/>
  <c r="Q554" i="2"/>
  <c r="R382" i="2"/>
  <c r="M20" i="2"/>
  <c r="T363" i="2"/>
  <c r="P589" i="2"/>
  <c r="T616" i="2"/>
  <c r="L135" i="2"/>
  <c r="G14" i="19" s="1"/>
  <c r="J382" i="2"/>
  <c r="I420" i="2"/>
  <c r="S34" i="2"/>
  <c r="W263" i="2"/>
  <c r="U477" i="2"/>
  <c r="V320" i="2"/>
  <c r="O527" i="2"/>
  <c r="O356" i="2"/>
  <c r="M306" i="2"/>
  <c r="G29" i="20" s="1"/>
  <c r="O183" i="2"/>
  <c r="F28" i="25" s="1"/>
  <c r="O616" i="2"/>
  <c r="N126" i="2"/>
  <c r="F14" i="21" s="1"/>
  <c r="R616" i="2"/>
  <c r="D43" i="25"/>
  <c r="E43" i="25" s="1"/>
  <c r="L97" i="2"/>
  <c r="M554" i="2"/>
  <c r="Q268" i="2"/>
  <c r="P39" i="2"/>
  <c r="O589" i="2"/>
  <c r="O299" i="2"/>
  <c r="R78" i="2"/>
  <c r="D43" i="19"/>
  <c r="E43" i="19" s="1"/>
  <c r="K477" i="2"/>
  <c r="O597" i="2"/>
  <c r="L363" i="2"/>
  <c r="V611" i="2"/>
  <c r="O11" i="2"/>
  <c r="O355" i="2"/>
  <c r="U340" i="2"/>
  <c r="O128" i="2"/>
  <c r="O468" i="2"/>
  <c r="O354" i="2"/>
  <c r="Q382" i="2"/>
  <c r="X141" i="2"/>
  <c r="Y141" i="2" s="1"/>
  <c r="Z141" i="2" s="1"/>
  <c r="I78" i="2"/>
  <c r="K420" i="2"/>
  <c r="T135" i="2"/>
  <c r="W363" i="2"/>
  <c r="U78" i="2"/>
  <c r="R496" i="2"/>
  <c r="O508" i="2"/>
  <c r="I616" i="2"/>
  <c r="X261" i="2"/>
  <c r="Y261" i="2" s="1"/>
  <c r="Z261" i="2" s="1"/>
  <c r="O92" i="2"/>
  <c r="O306" i="2"/>
  <c r="G29" i="25" s="1"/>
  <c r="L268" i="2"/>
  <c r="K611" i="2"/>
  <c r="T78" i="2"/>
  <c r="L554" i="2"/>
  <c r="S39" i="2"/>
  <c r="O340" i="2"/>
  <c r="N192" i="2"/>
  <c r="G28" i="21" s="1"/>
  <c r="P363" i="2"/>
  <c r="U554" i="2"/>
  <c r="T420" i="2"/>
  <c r="H14" i="25"/>
  <c r="I211" i="2"/>
  <c r="O223" i="2"/>
  <c r="N20" i="2"/>
  <c r="I363" i="2"/>
  <c r="V535" i="2"/>
  <c r="S92" i="2"/>
  <c r="M249" i="2"/>
  <c r="I223" i="2"/>
  <c r="N616" i="2"/>
  <c r="M420" i="2"/>
  <c r="Q616" i="2"/>
  <c r="R611" i="2"/>
  <c r="R263" i="2"/>
  <c r="Q78" i="2"/>
  <c r="H28" i="32"/>
  <c r="R192" i="2"/>
  <c r="X91" i="2"/>
  <c r="Y91" i="2" s="1"/>
  <c r="Z91" i="2" s="1"/>
  <c r="J611" i="2"/>
  <c r="U126" i="2"/>
  <c r="U183" i="2"/>
  <c r="Q477" i="2"/>
  <c r="I325" i="2"/>
  <c r="O439" i="2"/>
  <c r="L491" i="2"/>
  <c r="Q397" i="2"/>
  <c r="S135" i="2"/>
  <c r="X418" i="2"/>
  <c r="Y418" i="2" s="1"/>
  <c r="Z418" i="2" s="1"/>
  <c r="D43" i="27"/>
  <c r="E43" i="27" s="1"/>
  <c r="Q597" i="2"/>
  <c r="T611" i="2"/>
  <c r="X210" i="2"/>
  <c r="Y210" i="2" s="1"/>
  <c r="Z210" i="2" s="1"/>
  <c r="X433" i="2"/>
  <c r="Y433" i="2" s="1"/>
  <c r="Z433" i="2" s="1"/>
  <c r="V249" i="2"/>
  <c r="Q20" i="2"/>
  <c r="M126" i="2"/>
  <c r="F14" i="20" s="1"/>
  <c r="P496" i="2"/>
  <c r="S149" i="2"/>
  <c r="R325" i="2"/>
  <c r="L382" i="2"/>
  <c r="N597" i="2"/>
  <c r="O229" i="2"/>
  <c r="K343" i="2"/>
  <c r="K192" i="2"/>
  <c r="G28" i="17" s="1"/>
  <c r="O192" i="2"/>
  <c r="G28" i="25" s="1"/>
  <c r="R135" i="2"/>
  <c r="P20" i="2"/>
  <c r="X157" i="2"/>
  <c r="Y157" i="2" s="1"/>
  <c r="Z157" i="2" s="1"/>
  <c r="J14" i="17"/>
  <c r="V154" i="2"/>
  <c r="W382" i="2"/>
  <c r="J420" i="2"/>
  <c r="J306" i="2"/>
  <c r="G29" i="32" s="1"/>
  <c r="W78" i="2"/>
  <c r="R549" i="2"/>
  <c r="K135" i="2"/>
  <c r="G14" i="17" s="1"/>
  <c r="T434" i="2"/>
  <c r="R268" i="2"/>
  <c r="V496" i="2"/>
  <c r="J263" i="2"/>
  <c r="R39" i="2"/>
  <c r="W135" i="2"/>
  <c r="E14" i="27"/>
  <c r="J477" i="2"/>
  <c r="N382" i="2"/>
  <c r="I39" i="2"/>
  <c r="L611" i="2"/>
  <c r="S325" i="2"/>
  <c r="L211" i="2"/>
  <c r="S382" i="2"/>
  <c r="Q611" i="2"/>
  <c r="P325" i="2"/>
  <c r="Q496" i="2"/>
  <c r="S97" i="2"/>
  <c r="K514" i="2"/>
  <c r="O343" i="2"/>
  <c r="K572" i="2"/>
  <c r="K229" i="2"/>
  <c r="K223" i="2"/>
  <c r="X96" i="2"/>
  <c r="Y96" i="2" s="1"/>
  <c r="Z96" i="2" s="1"/>
  <c r="J14" i="20"/>
  <c r="X410" i="2"/>
  <c r="Y410" i="2" s="1"/>
  <c r="Z410" i="2" s="1"/>
  <c r="X489" i="2"/>
  <c r="Y489" i="2" s="1"/>
  <c r="Z489" i="2" s="1"/>
  <c r="X603" i="2"/>
  <c r="Y603" i="2" s="1"/>
  <c r="Z603" i="2" s="1"/>
  <c r="P206" i="2"/>
  <c r="W320" i="2"/>
  <c r="S535" i="2"/>
  <c r="N420" i="2"/>
  <c r="K263" i="2"/>
  <c r="J377" i="2"/>
  <c r="O263" i="2"/>
  <c r="Q211" i="2"/>
  <c r="U268" i="2"/>
  <c r="S611" i="2"/>
  <c r="T597" i="2"/>
  <c r="W420" i="2"/>
  <c r="W92" i="2"/>
  <c r="V192" i="2"/>
  <c r="V549" i="2"/>
  <c r="S268" i="2"/>
  <c r="P34" i="2"/>
  <c r="V554" i="2"/>
  <c r="P420" i="2"/>
  <c r="P78" i="2"/>
  <c r="T97" i="2"/>
  <c r="R597" i="2"/>
  <c r="P92" i="2"/>
  <c r="N535" i="2"/>
  <c r="M535" i="2"/>
  <c r="O34" i="2"/>
  <c r="P616" i="2"/>
  <c r="N611" i="2"/>
  <c r="V149" i="2"/>
  <c r="J597" i="2"/>
  <c r="K400" i="2"/>
  <c r="O634" i="2"/>
  <c r="X33" i="2"/>
  <c r="Y33" i="2" s="1"/>
  <c r="Z33" i="2" s="1"/>
  <c r="X147" i="2"/>
  <c r="Y147" i="2" s="1"/>
  <c r="Z147" i="2" s="1"/>
  <c r="X295" i="2"/>
  <c r="Y295" i="2" s="1"/>
  <c r="Z295" i="2" s="1"/>
  <c r="X148" i="2"/>
  <c r="Y148" i="2" s="1"/>
  <c r="Z148" i="2" s="1"/>
  <c r="I382" i="2"/>
  <c r="X259" i="2"/>
  <c r="Y259" i="2" s="1"/>
  <c r="Z259" i="2" s="1"/>
  <c r="N92" i="2"/>
  <c r="W34" i="2"/>
  <c r="I268" i="2"/>
  <c r="W611" i="2"/>
  <c r="S491" i="2"/>
  <c r="V206" i="2"/>
  <c r="Q340" i="2"/>
  <c r="X54" i="2"/>
  <c r="Y54" i="2" s="1"/>
  <c r="Z54" i="2" s="1"/>
  <c r="X319" i="2"/>
  <c r="Y319" i="2" s="1"/>
  <c r="Z319" i="2" s="1"/>
  <c r="X823" i="2"/>
  <c r="Y823" i="2" s="1"/>
  <c r="Z823" i="2" s="1"/>
  <c r="X373" i="2"/>
  <c r="Y373" i="2" s="1"/>
  <c r="Z373" i="2" s="1"/>
  <c r="I377" i="2"/>
  <c r="X262" i="2"/>
  <c r="Y262" i="2" s="1"/>
  <c r="Z262" i="2" s="1"/>
  <c r="K97" i="2"/>
  <c r="M92" i="2"/>
  <c r="X138" i="2"/>
  <c r="Y138" i="2" s="1"/>
  <c r="Z138" i="2" s="1"/>
  <c r="U135" i="2"/>
  <c r="X366" i="2"/>
  <c r="Y366" i="2" s="1"/>
  <c r="Z366" i="2" s="1"/>
  <c r="X84" i="2"/>
  <c r="Y84" i="2" s="1"/>
  <c r="Z84" i="2" s="1"/>
  <c r="N135" i="2"/>
  <c r="G14" i="21" s="1"/>
  <c r="J192" i="2"/>
  <c r="G28" i="32" s="1"/>
  <c r="X524" i="2"/>
  <c r="Y524" i="2" s="1"/>
  <c r="Z524" i="2" s="1"/>
  <c r="X67" i="2"/>
  <c r="Y67" i="2" s="1"/>
  <c r="Z67" i="2" s="1"/>
  <c r="X76" i="2"/>
  <c r="Y76" i="2" s="1"/>
  <c r="Z76" i="2" s="1"/>
  <c r="X26" i="2"/>
  <c r="Y26" i="2" s="1"/>
  <c r="Z26" i="2" s="1"/>
  <c r="U97" i="2"/>
  <c r="U611" i="2"/>
  <c r="X271" i="2"/>
  <c r="Y271" i="2" s="1"/>
  <c r="Z271" i="2" s="1"/>
  <c r="X205" i="2"/>
  <c r="Y205" i="2" s="1"/>
  <c r="Z205" i="2" s="1"/>
  <c r="X607" i="2"/>
  <c r="Y607" i="2" s="1"/>
  <c r="Z607" i="2" s="1"/>
  <c r="X42" i="2"/>
  <c r="Y42" i="2" s="1"/>
  <c r="Z42" i="2" s="1"/>
  <c r="U263" i="2"/>
  <c r="Q491" i="2"/>
  <c r="K92" i="2"/>
  <c r="M135" i="2"/>
  <c r="G14" i="20" s="1"/>
  <c r="R92" i="2"/>
  <c r="X153" i="2"/>
  <c r="Y153" i="2" s="1"/>
  <c r="Z153" i="2" s="1"/>
  <c r="P491" i="2"/>
  <c r="U597" i="2"/>
  <c r="S377" i="2"/>
  <c r="U92" i="2"/>
  <c r="O249" i="2"/>
  <c r="J14" i="27"/>
  <c r="V363" i="2"/>
  <c r="O382" i="2"/>
  <c r="T206" i="2"/>
  <c r="W554" i="2"/>
  <c r="U535" i="2"/>
  <c r="J363" i="2"/>
  <c r="J154" i="2"/>
  <c r="T439" i="2"/>
  <c r="W434" i="2"/>
  <c r="J249" i="2"/>
  <c r="N491" i="2"/>
  <c r="P439" i="2"/>
  <c r="W211" i="2"/>
  <c r="J496" i="2"/>
  <c r="U616" i="2"/>
  <c r="S206" i="2"/>
  <c r="O268" i="2"/>
  <c r="O477" i="2"/>
  <c r="T377" i="2"/>
  <c r="T496" i="2"/>
  <c r="V268" i="2"/>
  <c r="R126" i="2"/>
  <c r="I511" i="2"/>
  <c r="Q280" i="2"/>
  <c r="J126" i="2"/>
  <c r="F14" i="32" s="1"/>
  <c r="X169" i="2"/>
  <c r="Y169" i="2" s="1"/>
  <c r="Z169" i="2" s="1"/>
  <c r="Q135" i="2"/>
  <c r="T249" i="2"/>
  <c r="X133" i="2"/>
  <c r="Y133" i="2" s="1"/>
  <c r="Z133" i="2" s="1"/>
  <c r="S420" i="2"/>
  <c r="T554" i="2"/>
  <c r="S306" i="2"/>
  <c r="X480" i="2"/>
  <c r="Y480" i="2" s="1"/>
  <c r="Z480" i="2" s="1"/>
  <c r="L192" i="2"/>
  <c r="G28" i="19" s="1"/>
  <c r="X619" i="2"/>
  <c r="Y619" i="2" s="1"/>
  <c r="Z619" i="2" s="1"/>
  <c r="J135" i="2"/>
  <c r="G14" i="32" s="1"/>
  <c r="X600" i="2"/>
  <c r="Y600" i="2" s="1"/>
  <c r="Z600" i="2" s="1"/>
  <c r="I192" i="2"/>
  <c r="G28" i="27" s="1"/>
  <c r="P306" i="2"/>
  <c r="G29" i="26" s="1"/>
  <c r="X247" i="2"/>
  <c r="Y247" i="2" s="1"/>
  <c r="Z247" i="2" s="1"/>
  <c r="O135" i="2"/>
  <c r="G14" i="25" s="1"/>
  <c r="Q223" i="2"/>
  <c r="Q363" i="2"/>
  <c r="M192" i="2"/>
  <c r="G28" i="20" s="1"/>
  <c r="O491" i="2"/>
  <c r="U34" i="2"/>
  <c r="X495" i="2"/>
  <c r="Y495" i="2" s="1"/>
  <c r="Z495" i="2" s="1"/>
  <c r="Q154" i="2"/>
  <c r="N78" i="2"/>
  <c r="D43" i="26"/>
  <c r="E43" i="26" s="1"/>
  <c r="R34" i="2"/>
  <c r="O420" i="2"/>
  <c r="X316" i="2"/>
  <c r="Y316" i="2" s="1"/>
  <c r="Z316" i="2" s="1"/>
  <c r="J39" i="2"/>
  <c r="M268" i="2"/>
  <c r="S439" i="2"/>
  <c r="O363" i="2"/>
  <c r="M154" i="2"/>
  <c r="N154" i="2"/>
  <c r="U306" i="2"/>
  <c r="P97" i="2"/>
  <c r="N268" i="2"/>
  <c r="V382" i="2"/>
  <c r="R377" i="2"/>
  <c r="O496" i="2"/>
  <c r="I611" i="2"/>
  <c r="Q325" i="2"/>
  <c r="M496" i="2"/>
  <c r="K491" i="2"/>
  <c r="Q97" i="2"/>
  <c r="T149" i="2"/>
  <c r="V434" i="2"/>
  <c r="J411" i="2"/>
  <c r="Q631" i="2"/>
  <c r="Q566" i="2"/>
  <c r="J528" i="2"/>
  <c r="X23" i="2"/>
  <c r="Y23" i="2" s="1"/>
  <c r="Z23" i="2" s="1"/>
  <c r="X191" i="2"/>
  <c r="Y191" i="2" s="1"/>
  <c r="Z191" i="2" s="1"/>
  <c r="O39" i="2"/>
  <c r="X88" i="2"/>
  <c r="Y88" i="2" s="1"/>
  <c r="Z88" i="2" s="1"/>
  <c r="Q451" i="2"/>
  <c r="X134" i="2"/>
  <c r="Y134" i="2" s="1"/>
  <c r="Z134" i="2" s="1"/>
  <c r="J554" i="2"/>
  <c r="X163" i="2"/>
  <c r="Y163" i="2" s="1"/>
  <c r="Z163" i="2" s="1"/>
  <c r="O554" i="2"/>
  <c r="X81" i="2"/>
  <c r="Y81" i="2" s="1"/>
  <c r="Z81" i="2" s="1"/>
  <c r="X304" i="2"/>
  <c r="Y304" i="2" s="1"/>
  <c r="Z304" i="2" s="1"/>
  <c r="X609" i="2"/>
  <c r="Y609" i="2" s="1"/>
  <c r="Z609" i="2" s="1"/>
  <c r="X361" i="2"/>
  <c r="Y361" i="2" s="1"/>
  <c r="Z361" i="2" s="1"/>
  <c r="Q183" i="2"/>
  <c r="R363" i="2"/>
  <c r="K20" i="2"/>
  <c r="M611" i="2"/>
  <c r="V78" i="2"/>
  <c r="X172" i="2"/>
  <c r="Y172" i="2" s="1"/>
  <c r="Z172" i="2" s="1"/>
  <c r="X423" i="2"/>
  <c r="Y423" i="2" s="1"/>
  <c r="Z423" i="2" s="1"/>
  <c r="R554" i="2"/>
  <c r="X32" i="2"/>
  <c r="Y32" i="2" s="1"/>
  <c r="Z32" i="2" s="1"/>
  <c r="X19" i="2"/>
  <c r="Y19" i="2" s="1"/>
  <c r="Z19" i="2" s="1"/>
  <c r="R306" i="2"/>
  <c r="X195" i="2"/>
  <c r="Y195" i="2" s="1"/>
  <c r="Z195" i="2" s="1"/>
  <c r="X374" i="2"/>
  <c r="Y374" i="2" s="1"/>
  <c r="Z374" i="2" s="1"/>
  <c r="X214" i="2"/>
  <c r="Y214" i="2" s="1"/>
  <c r="Z214" i="2" s="1"/>
  <c r="L420" i="2"/>
  <c r="X388" i="2"/>
  <c r="Y388" i="2" s="1"/>
  <c r="Z388" i="2" s="1"/>
  <c r="X106" i="2"/>
  <c r="Y106" i="2" s="1"/>
  <c r="Z106" i="2" s="1"/>
  <c r="X115" i="2"/>
  <c r="Y115" i="2" s="1"/>
  <c r="Z115" i="2" s="1"/>
  <c r="K306" i="2"/>
  <c r="G29" i="17" s="1"/>
  <c r="N363" i="2"/>
  <c r="N477" i="2"/>
  <c r="S616" i="2"/>
  <c r="X525" i="2"/>
  <c r="Y525" i="2" s="1"/>
  <c r="Z525" i="2" s="1"/>
  <c r="X548" i="2"/>
  <c r="Y548" i="2" s="1"/>
  <c r="Z548" i="2" s="1"/>
  <c r="X656" i="2"/>
  <c r="Y656" i="2" s="1"/>
  <c r="Z656" i="2" s="1"/>
  <c r="X538" i="2"/>
  <c r="Y538" i="2" s="1"/>
  <c r="Z538" i="2" s="1"/>
  <c r="X10" i="2"/>
  <c r="Y10" i="2" s="1"/>
  <c r="Z10" i="2" s="1"/>
  <c r="X125" i="2"/>
  <c r="Y125" i="2" s="1"/>
  <c r="Z125" i="2" s="1"/>
  <c r="X430" i="2"/>
  <c r="Y430" i="2" s="1"/>
  <c r="Z430" i="2" s="1"/>
  <c r="X375" i="2"/>
  <c r="Y375" i="2" s="1"/>
  <c r="Z375" i="2" s="1"/>
  <c r="X615" i="2"/>
  <c r="Y615" i="2" s="1"/>
  <c r="Z615" i="2" s="1"/>
  <c r="X89" i="2"/>
  <c r="Y89" i="2" s="1"/>
  <c r="Z89" i="2" s="1"/>
  <c r="I126" i="2"/>
  <c r="F14" i="27" s="1"/>
  <c r="X202" i="2"/>
  <c r="Y202" i="2" s="1"/>
  <c r="Z202" i="2" s="1"/>
  <c r="N549" i="2"/>
  <c r="L223" i="2"/>
  <c r="Q126" i="2"/>
  <c r="Q92" i="2"/>
  <c r="U491" i="2"/>
  <c r="P377" i="2"/>
  <c r="X655" i="2"/>
  <c r="Y655" i="2" s="1"/>
  <c r="Z655" i="2" s="1"/>
  <c r="Q549" i="2"/>
  <c r="X483" i="2"/>
  <c r="Y483" i="2" s="1"/>
  <c r="Z483" i="2" s="1"/>
  <c r="W325" i="2"/>
  <c r="U377" i="2"/>
  <c r="M78" i="2"/>
  <c r="X48" i="2"/>
  <c r="Y48" i="2" s="1"/>
  <c r="Z48" i="2" s="1"/>
  <c r="M263" i="2"/>
  <c r="N377" i="2"/>
  <c r="R13" i="2"/>
  <c r="R470" i="2"/>
  <c r="J413" i="2"/>
  <c r="R12" i="2"/>
  <c r="R468" i="2"/>
  <c r="T154" i="2"/>
  <c r="J468" i="2"/>
  <c r="R183" i="2"/>
  <c r="R411" i="2"/>
  <c r="H14" i="26"/>
  <c r="R527" i="2"/>
  <c r="R184" i="2"/>
  <c r="J527" i="2"/>
  <c r="U566" i="2"/>
  <c r="O242" i="2"/>
  <c r="O69" i="2"/>
  <c r="O411" i="2"/>
  <c r="V563" i="2"/>
  <c r="W511" i="2"/>
  <c r="P69" i="2"/>
  <c r="J590" i="2"/>
  <c r="R299" i="2"/>
  <c r="X38" i="2"/>
  <c r="Y38" i="2" s="1"/>
  <c r="Z38" i="2" s="1"/>
  <c r="O566" i="2"/>
  <c r="W508" i="2"/>
  <c r="P71" i="2"/>
  <c r="W241" i="2"/>
  <c r="J11" i="2"/>
  <c r="J69" i="2"/>
  <c r="L277" i="2"/>
  <c r="J241" i="2"/>
  <c r="J223" i="2"/>
  <c r="X267" i="2"/>
  <c r="Y267" i="2" s="1"/>
  <c r="Z267" i="2" s="1"/>
  <c r="X352" i="2"/>
  <c r="Y352" i="2" s="1"/>
  <c r="Z352" i="2" s="1"/>
  <c r="X610" i="2"/>
  <c r="Y610" i="2" s="1"/>
  <c r="Z610" i="2" s="1"/>
  <c r="X77" i="2"/>
  <c r="Y77" i="2" s="1"/>
  <c r="Z77" i="2" s="1"/>
  <c r="H29" i="26"/>
  <c r="X432" i="2"/>
  <c r="Y432" i="2" s="1"/>
  <c r="Z432" i="2" s="1"/>
  <c r="M477" i="2"/>
  <c r="X353" i="2"/>
  <c r="Y353" i="2" s="1"/>
  <c r="Z353" i="2" s="1"/>
  <c r="L549" i="2"/>
  <c r="I249" i="2"/>
  <c r="H28" i="19"/>
  <c r="X560" i="2"/>
  <c r="Y560" i="2" s="1"/>
  <c r="Z560" i="2" s="1"/>
  <c r="N320" i="2"/>
  <c r="X608" i="2"/>
  <c r="Y608" i="2" s="1"/>
  <c r="Z608" i="2" s="1"/>
  <c r="X204" i="2"/>
  <c r="Y204" i="2" s="1"/>
  <c r="Z204" i="2" s="1"/>
  <c r="X662" i="2"/>
  <c r="Y662" i="2" s="1"/>
  <c r="Z662" i="2" s="1"/>
  <c r="X182" i="2"/>
  <c r="Y182" i="2" s="1"/>
  <c r="Z182" i="2" s="1"/>
  <c r="X68" i="2"/>
  <c r="Y68" i="2" s="1"/>
  <c r="Z68" i="2" s="1"/>
  <c r="W377" i="2"/>
  <c r="X442" i="2"/>
  <c r="Y442" i="2" s="1"/>
  <c r="Z442" i="2" s="1"/>
  <c r="V211" i="2"/>
  <c r="W192" i="2"/>
  <c r="K634" i="2"/>
  <c r="O457" i="2"/>
  <c r="T34" i="2"/>
  <c r="O286" i="2"/>
  <c r="O514" i="2"/>
  <c r="X100" i="2"/>
  <c r="Y100" i="2" s="1"/>
  <c r="Z100" i="2" s="1"/>
  <c r="U192" i="2"/>
  <c r="X255" i="2"/>
  <c r="Y255" i="2" s="1"/>
  <c r="Z255" i="2" s="1"/>
  <c r="T263" i="2"/>
  <c r="P249" i="2"/>
  <c r="J34" i="2"/>
  <c r="T514" i="2"/>
  <c r="M590" i="2"/>
  <c r="M411" i="2"/>
  <c r="R240" i="2"/>
  <c r="Q283" i="2"/>
  <c r="L355" i="2"/>
  <c r="W797" i="2"/>
  <c r="W798" i="2"/>
  <c r="S549" i="2"/>
  <c r="V797" i="2"/>
  <c r="V798" i="2"/>
  <c r="R320" i="2"/>
  <c r="X324" i="2"/>
  <c r="Y324" i="2" s="1"/>
  <c r="Z324" i="2" s="1"/>
  <c r="U797" i="2"/>
  <c r="U798" i="2"/>
  <c r="X9" i="2"/>
  <c r="Y9" i="2" s="1"/>
  <c r="Z9" i="2" s="1"/>
  <c r="X181" i="2"/>
  <c r="Y181" i="2" s="1"/>
  <c r="Z181" i="2" s="1"/>
  <c r="X309" i="2"/>
  <c r="Y309" i="2" s="1"/>
  <c r="Z309" i="2" s="1"/>
  <c r="W477" i="2"/>
  <c r="X112" i="2"/>
  <c r="Y112" i="2" s="1"/>
  <c r="Z112" i="2" s="1"/>
  <c r="X660" i="2"/>
  <c r="Y660" i="2" s="1"/>
  <c r="Z660" i="2" s="1"/>
  <c r="I183" i="2"/>
  <c r="F28" i="27" s="1"/>
  <c r="X376" i="2"/>
  <c r="Y376" i="2" s="1"/>
  <c r="Z376" i="2" s="1"/>
  <c r="D43" i="20"/>
  <c r="E43" i="20" s="1"/>
  <c r="I92" i="2"/>
  <c r="L377" i="2"/>
  <c r="W800" i="2"/>
  <c r="T535" i="2"/>
  <c r="L249" i="2"/>
  <c r="O78" i="2"/>
  <c r="X252" i="2"/>
  <c r="Y252" i="2" s="1"/>
  <c r="Z252" i="2" s="1"/>
  <c r="X328" i="2"/>
  <c r="Y328" i="2" s="1"/>
  <c r="Z328" i="2" s="1"/>
  <c r="X663" i="2"/>
  <c r="Y663" i="2" s="1"/>
  <c r="Z663" i="2" s="1"/>
  <c r="P549" i="2"/>
  <c r="R477" i="2"/>
  <c r="X490" i="2"/>
  <c r="Y490" i="2" s="1"/>
  <c r="Z490" i="2" s="1"/>
  <c r="L78" i="2"/>
  <c r="J491" i="2"/>
  <c r="T306" i="2"/>
  <c r="X502" i="2"/>
  <c r="Y502" i="2" s="1"/>
  <c r="Z502" i="2" s="1"/>
  <c r="P535" i="2"/>
  <c r="L92" i="2"/>
  <c r="J549" i="2"/>
  <c r="I320" i="2"/>
  <c r="I508" i="2"/>
  <c r="I566" i="2"/>
  <c r="X57" i="2"/>
  <c r="Y57" i="2" s="1"/>
  <c r="Z57" i="2" s="1"/>
  <c r="X467" i="2"/>
  <c r="Y467" i="2" s="1"/>
  <c r="Z467" i="2" s="1"/>
  <c r="X238" i="2"/>
  <c r="Y238" i="2" s="1"/>
  <c r="Z238" i="2" s="1"/>
  <c r="X622" i="2"/>
  <c r="Y622" i="2" s="1"/>
  <c r="Z622" i="2" s="1"/>
  <c r="J78" i="2"/>
  <c r="K549" i="2"/>
  <c r="K597" i="2"/>
  <c r="Q11" i="2"/>
  <c r="Q241" i="2"/>
  <c r="W572" i="2"/>
  <c r="X587" i="2"/>
  <c r="Y587" i="2" s="1"/>
  <c r="Z587" i="2" s="1"/>
  <c r="X541" i="2"/>
  <c r="Y541" i="2" s="1"/>
  <c r="Z541" i="2" s="1"/>
  <c r="I30" i="32"/>
  <c r="X546" i="2"/>
  <c r="Y546" i="2" s="1"/>
  <c r="Z546" i="2" s="1"/>
  <c r="X362" i="2"/>
  <c r="Y362" i="2" s="1"/>
  <c r="Z362" i="2" s="1"/>
  <c r="S477" i="2"/>
  <c r="X274" i="2"/>
  <c r="Y274" i="2" s="1"/>
  <c r="Z274" i="2" s="1"/>
  <c r="M377" i="2"/>
  <c r="S78" i="2"/>
  <c r="U363" i="2"/>
  <c r="X586" i="2"/>
  <c r="Y586" i="2" s="1"/>
  <c r="Z586" i="2" s="1"/>
  <c r="V306" i="2"/>
  <c r="S192" i="2"/>
  <c r="V491" i="2"/>
  <c r="R491" i="2"/>
  <c r="N249" i="2"/>
  <c r="Q13" i="2"/>
  <c r="Q590" i="2"/>
  <c r="X786" i="2"/>
  <c r="Y786" i="2" s="1"/>
  <c r="Z786" i="2" s="1"/>
  <c r="P263" i="2"/>
  <c r="J206" i="2"/>
  <c r="H28" i="25"/>
  <c r="W667" i="2"/>
  <c r="W669" i="2" s="1"/>
  <c r="W704" i="2" s="1"/>
  <c r="J299" i="2"/>
  <c r="L11" i="2"/>
  <c r="J412" i="2"/>
  <c r="W468" i="2"/>
  <c r="L354" i="2"/>
  <c r="W590" i="2"/>
  <c r="L69" i="2"/>
  <c r="L528" i="2"/>
  <c r="J526" i="2"/>
  <c r="L184" i="2"/>
  <c r="W11" i="2"/>
  <c r="L127" i="2"/>
  <c r="L469" i="2"/>
  <c r="L297" i="2"/>
  <c r="L470" i="2"/>
  <c r="W71" i="2"/>
  <c r="X124" i="2"/>
  <c r="Y124" i="2" s="1"/>
  <c r="Z124" i="2" s="1"/>
  <c r="I206" i="2"/>
  <c r="R249" i="2"/>
  <c r="L477" i="2"/>
  <c r="I597" i="2"/>
  <c r="O377" i="2"/>
  <c r="J470" i="2"/>
  <c r="J13" i="2"/>
  <c r="L590" i="2"/>
  <c r="L128" i="2"/>
  <c r="W470" i="2"/>
  <c r="W526" i="2"/>
  <c r="W12" i="2"/>
  <c r="L71" i="2"/>
  <c r="L413" i="2"/>
  <c r="M280" i="2"/>
  <c r="W588" i="2"/>
  <c r="M631" i="2"/>
  <c r="L299" i="2"/>
  <c r="T477" i="2"/>
  <c r="L391" i="2"/>
  <c r="J589" i="2"/>
  <c r="W13" i="2"/>
  <c r="Q569" i="2"/>
  <c r="Q394" i="2"/>
  <c r="X51" i="2"/>
  <c r="Y51" i="2" s="1"/>
  <c r="Z51" i="2" s="1"/>
  <c r="N206" i="2"/>
  <c r="X534" i="2"/>
  <c r="Y534" i="2" s="1"/>
  <c r="Z534" i="2" s="1"/>
  <c r="X305" i="2"/>
  <c r="Y305" i="2" s="1"/>
  <c r="Z305" i="2" s="1"/>
  <c r="X595" i="2"/>
  <c r="Y595" i="2" s="1"/>
  <c r="Z595" i="2" s="1"/>
  <c r="X466" i="2"/>
  <c r="Y466" i="2" s="1"/>
  <c r="Z466" i="2" s="1"/>
  <c r="X553" i="2"/>
  <c r="Y553" i="2" s="1"/>
  <c r="Z553" i="2" s="1"/>
  <c r="X557" i="2"/>
  <c r="Y557" i="2" s="1"/>
  <c r="Z557" i="2" s="1"/>
  <c r="I549" i="2"/>
  <c r="Q320" i="2"/>
  <c r="X381" i="2"/>
  <c r="Y381" i="2" s="1"/>
  <c r="Z381" i="2" s="1"/>
  <c r="X596" i="2"/>
  <c r="Y596" i="2" s="1"/>
  <c r="Z596" i="2" s="1"/>
  <c r="R535" i="2"/>
  <c r="U420" i="2"/>
  <c r="T192" i="2"/>
  <c r="Q420" i="2"/>
  <c r="J535" i="2"/>
  <c r="X90" i="2"/>
  <c r="Y90" i="2" s="1"/>
  <c r="Z90" i="2" s="1"/>
  <c r="T325" i="2"/>
  <c r="K391" i="2"/>
  <c r="I135" i="2"/>
  <c r="G14" i="27" s="1"/>
  <c r="X664" i="2"/>
  <c r="Y664" i="2" s="1"/>
  <c r="Z664" i="2" s="1"/>
  <c r="S320" i="2"/>
  <c r="X545" i="2"/>
  <c r="Y545" i="2" s="1"/>
  <c r="Z545" i="2" s="1"/>
  <c r="P554" i="2"/>
  <c r="W549" i="2"/>
  <c r="N127" i="2"/>
  <c r="N242" i="2"/>
  <c r="I337" i="2"/>
  <c r="I340" i="2"/>
  <c r="M628" i="2"/>
  <c r="M283" i="2"/>
  <c r="S184" i="2"/>
  <c r="N589" i="2"/>
  <c r="T491" i="2"/>
  <c r="R149" i="2"/>
  <c r="S20" i="2"/>
  <c r="S434" i="2"/>
  <c r="R211" i="2"/>
  <c r="N184" i="2"/>
  <c r="Q469" i="2"/>
  <c r="Q297" i="2"/>
  <c r="P297" i="2"/>
  <c r="H28" i="20"/>
  <c r="X239" i="2"/>
  <c r="Y239" i="2" s="1"/>
  <c r="Z239" i="2" s="1"/>
  <c r="X260" i="2"/>
  <c r="Y260" i="2" s="1"/>
  <c r="Z260" i="2" s="1"/>
  <c r="X369" i="2"/>
  <c r="Y369" i="2" s="1"/>
  <c r="Z369" i="2" s="1"/>
  <c r="W249" i="2"/>
  <c r="N299" i="2"/>
  <c r="Q240" i="2"/>
  <c r="L508" i="2"/>
  <c r="M511" i="2"/>
  <c r="L356" i="2"/>
  <c r="O206" i="2"/>
  <c r="O451" i="2"/>
  <c r="L242" i="2"/>
  <c r="M340" i="2"/>
  <c r="W127" i="2"/>
  <c r="W128" i="2"/>
  <c r="U242" i="2"/>
  <c r="P391" i="2"/>
  <c r="Q337" i="2"/>
  <c r="Q454" i="2"/>
  <c r="K249" i="2"/>
  <c r="V597" i="2"/>
  <c r="V420" i="2"/>
  <c r="T337" i="2"/>
  <c r="P184" i="2"/>
  <c r="L343" i="2"/>
  <c r="I628" i="2"/>
  <c r="Q634" i="2"/>
  <c r="L306" i="2"/>
  <c r="G29" i="19" s="1"/>
  <c r="J20" i="2"/>
  <c r="J658" i="2" s="1"/>
  <c r="D45" i="32" s="1"/>
  <c r="G45" i="32" s="1"/>
  <c r="K45" i="32" s="1"/>
  <c r="L45" i="32" s="1"/>
  <c r="P477" i="2"/>
  <c r="M413" i="2"/>
  <c r="R127" i="2"/>
  <c r="R11" i="2"/>
  <c r="R590" i="2"/>
  <c r="V286" i="2"/>
  <c r="V457" i="2"/>
  <c r="X30" i="2"/>
  <c r="Y30" i="2" s="1"/>
  <c r="Z30" i="2" s="1"/>
  <c r="I20" i="2"/>
  <c r="I658" i="2" s="1"/>
  <c r="D45" i="27" s="1"/>
  <c r="G45" i="27" s="1"/>
  <c r="K45" i="27" s="1"/>
  <c r="L45" i="27" s="1"/>
  <c r="X487" i="2"/>
  <c r="Y487" i="2" s="1"/>
  <c r="Z487" i="2" s="1"/>
  <c r="X318" i="2"/>
  <c r="Y318" i="2" s="1"/>
  <c r="Z318" i="2" s="1"/>
  <c r="X499" i="2"/>
  <c r="Y499" i="2" s="1"/>
  <c r="Z499" i="2" s="1"/>
  <c r="W535" i="2"/>
  <c r="O611" i="2"/>
  <c r="T340" i="2"/>
  <c r="T631" i="2"/>
  <c r="U286" i="2"/>
  <c r="R128" i="2"/>
  <c r="R298" i="2"/>
  <c r="R185" i="2"/>
  <c r="O394" i="2"/>
  <c r="R413" i="2"/>
  <c r="P625" i="2"/>
  <c r="O569" i="2"/>
  <c r="M434" i="2"/>
  <c r="I263" i="2"/>
  <c r="R69" i="2"/>
  <c r="U20" i="2"/>
  <c r="I477" i="2"/>
  <c r="N588" i="2"/>
  <c r="J356" i="2"/>
  <c r="J70" i="2"/>
  <c r="O70" i="2"/>
  <c r="R355" i="2"/>
  <c r="O413" i="2"/>
  <c r="T394" i="2"/>
  <c r="U589" i="2"/>
  <c r="W299" i="2"/>
  <c r="M355" i="2"/>
  <c r="O184" i="2"/>
  <c r="O240" i="2"/>
  <c r="O528" i="2"/>
  <c r="O241" i="2"/>
  <c r="L241" i="2"/>
  <c r="W69" i="2"/>
  <c r="M508" i="2"/>
  <c r="W354" i="2"/>
  <c r="U241" i="2"/>
  <c r="Q184" i="2"/>
  <c r="O12" i="2"/>
  <c r="M337" i="2"/>
  <c r="W242" i="2"/>
  <c r="W411" i="2"/>
  <c r="K363" i="2"/>
  <c r="X385" i="2"/>
  <c r="Y385" i="2" s="1"/>
  <c r="Z385" i="2" s="1"/>
  <c r="L20" i="2"/>
  <c r="L658" i="2" s="1"/>
  <c r="D45" i="19" s="1"/>
  <c r="G45" i="19" s="1"/>
  <c r="K45" i="19" s="1"/>
  <c r="L45" i="19" s="1"/>
  <c r="S128" i="2"/>
  <c r="M70" i="2"/>
  <c r="U514" i="2"/>
  <c r="Q355" i="2"/>
  <c r="Q356" i="2"/>
  <c r="R356" i="2"/>
  <c r="J71" i="2"/>
  <c r="Q412" i="2"/>
  <c r="R242" i="2"/>
  <c r="Q511" i="2"/>
  <c r="M491" i="2"/>
  <c r="M34" i="2"/>
  <c r="Q535" i="2"/>
  <c r="O470" i="2"/>
  <c r="T526" i="2"/>
  <c r="S589" i="2"/>
  <c r="X476" i="2"/>
  <c r="Y476" i="2" s="1"/>
  <c r="Z476" i="2" s="1"/>
  <c r="Q263" i="2"/>
  <c r="M12" i="2"/>
  <c r="M412" i="2"/>
  <c r="Q470" i="2"/>
  <c r="Q299" i="2"/>
  <c r="V477" i="2"/>
  <c r="O535" i="2"/>
  <c r="W149" i="2"/>
  <c r="Q71" i="2"/>
  <c r="M69" i="2"/>
  <c r="Q413" i="2"/>
  <c r="D43" i="17"/>
  <c r="E43" i="17" s="1"/>
  <c r="X819" i="2"/>
  <c r="Y819" i="2" s="1"/>
  <c r="Z819" i="2" s="1"/>
  <c r="X109" i="2"/>
  <c r="Y109" i="2" s="1"/>
  <c r="Z109" i="2" s="1"/>
  <c r="X419" i="2"/>
  <c r="Y419" i="2" s="1"/>
  <c r="Z419" i="2" s="1"/>
  <c r="I554" i="2"/>
  <c r="Q377" i="2"/>
  <c r="V92" i="2"/>
  <c r="U397" i="2"/>
  <c r="U354" i="2"/>
  <c r="U337" i="2"/>
  <c r="P242" i="2"/>
  <c r="P12" i="2"/>
  <c r="P299" i="2"/>
  <c r="P590" i="2"/>
  <c r="N298" i="2"/>
  <c r="O563" i="2"/>
  <c r="P451" i="2"/>
  <c r="P340" i="2"/>
  <c r="V625" i="2"/>
  <c r="P569" i="2"/>
  <c r="O511" i="2"/>
  <c r="U320" i="2"/>
  <c r="K126" i="2"/>
  <c r="F14" i="17" s="1"/>
  <c r="U249" i="2"/>
  <c r="O549" i="2"/>
  <c r="L34" i="2"/>
  <c r="U457" i="2"/>
  <c r="W451" i="2"/>
  <c r="J14" i="32"/>
  <c r="H29" i="17"/>
  <c r="X665" i="2"/>
  <c r="Y665" i="2" s="1"/>
  <c r="Z665" i="2" s="1"/>
  <c r="H14" i="17"/>
  <c r="X296" i="2"/>
  <c r="Y296" i="2" s="1"/>
  <c r="Z296" i="2" s="1"/>
  <c r="U206" i="2"/>
  <c r="X409" i="2"/>
  <c r="Y409" i="2" s="1"/>
  <c r="Z409" i="2" s="1"/>
  <c r="X488" i="2"/>
  <c r="Y488" i="2" s="1"/>
  <c r="Z488" i="2" s="1"/>
  <c r="X533" i="2"/>
  <c r="Y533" i="2" s="1"/>
  <c r="Z533" i="2" s="1"/>
  <c r="X547" i="2"/>
  <c r="Y547" i="2" s="1"/>
  <c r="Z547" i="2" s="1"/>
  <c r="R434" i="2"/>
  <c r="T20" i="2"/>
  <c r="Q249" i="2"/>
  <c r="T320" i="2"/>
  <c r="S263" i="2"/>
  <c r="M211" i="2"/>
  <c r="M363" i="2"/>
  <c r="V325" i="2"/>
  <c r="Q34" i="2"/>
  <c r="U439" i="2"/>
  <c r="P563" i="2"/>
  <c r="T508" i="2"/>
  <c r="U394" i="2"/>
  <c r="W454" i="2"/>
  <c r="P526" i="2"/>
  <c r="W569" i="2"/>
  <c r="W397" i="2"/>
  <c r="P280" i="2"/>
  <c r="Q508" i="2"/>
  <c r="H14" i="19"/>
  <c r="R20" i="2"/>
  <c r="R658" i="2" s="1"/>
  <c r="W597" i="2"/>
  <c r="V97" i="2"/>
  <c r="R420" i="2"/>
  <c r="T549" i="2"/>
  <c r="T511" i="2"/>
  <c r="S298" i="2"/>
  <c r="S240" i="2"/>
  <c r="K277" i="2"/>
  <c r="H30" i="26"/>
  <c r="S363" i="2"/>
  <c r="S588" i="2"/>
  <c r="Q572" i="2"/>
  <c r="U277" i="2"/>
  <c r="L563" i="2"/>
  <c r="K563" i="2"/>
  <c r="W340" i="2"/>
  <c r="P397" i="2"/>
  <c r="T92" i="2"/>
  <c r="S590" i="2"/>
  <c r="S185" i="2"/>
  <c r="T229" i="2"/>
  <c r="P354" i="2"/>
  <c r="P468" i="2"/>
  <c r="O469" i="2"/>
  <c r="J92" i="2"/>
  <c r="I34" i="2"/>
  <c r="K394" i="2"/>
  <c r="S394" i="2"/>
  <c r="V411" i="2"/>
  <c r="V356" i="2"/>
  <c r="P70" i="2"/>
  <c r="H14" i="27"/>
  <c r="S569" i="2"/>
  <c r="P411" i="2"/>
  <c r="P566" i="2"/>
  <c r="P394" i="2"/>
  <c r="H29" i="25"/>
  <c r="H29" i="32"/>
  <c r="S283" i="2"/>
  <c r="G508" i="2"/>
  <c r="G451" i="2"/>
  <c r="G394" i="2"/>
  <c r="G477" i="2"/>
  <c r="G397" i="2"/>
  <c r="G566" i="2"/>
  <c r="G631" i="2"/>
  <c r="G223" i="2"/>
  <c r="G325" i="2"/>
  <c r="P634" i="2"/>
  <c r="R589" i="2"/>
  <c r="P448" i="2"/>
  <c r="L535" i="2"/>
  <c r="T397" i="2"/>
  <c r="T628" i="2"/>
  <c r="H28" i="26"/>
  <c r="V34" i="2"/>
  <c r="I70" i="2"/>
  <c r="R297" i="2"/>
  <c r="P128" i="2"/>
  <c r="G634" i="2"/>
  <c r="X921" i="2"/>
  <c r="Y921" i="2" s="1"/>
  <c r="Z921" i="2" s="1"/>
  <c r="I468" i="2"/>
  <c r="P528" i="2"/>
  <c r="P413" i="2"/>
  <c r="P588" i="2"/>
  <c r="P13" i="2"/>
  <c r="W298" i="2"/>
  <c r="K297" i="2"/>
  <c r="X942" i="2"/>
  <c r="Y942" i="2" s="1"/>
  <c r="Z942" i="2" s="1"/>
  <c r="G280" i="2"/>
  <c r="L597" i="2"/>
  <c r="U549" i="2"/>
  <c r="S457" i="2"/>
  <c r="S229" i="2"/>
  <c r="Q457" i="2"/>
  <c r="P527" i="2"/>
  <c r="X246" i="2"/>
  <c r="Y246" i="2" s="1"/>
  <c r="Z246" i="2" s="1"/>
  <c r="G70" i="2"/>
  <c r="H14" i="20"/>
  <c r="R340" i="2"/>
  <c r="N412" i="2"/>
  <c r="N411" i="2"/>
  <c r="M240" i="2"/>
  <c r="M526" i="2"/>
  <c r="N469" i="2"/>
  <c r="X585" i="2"/>
  <c r="Y585" i="2" s="1"/>
  <c r="Z585" i="2" s="1"/>
  <c r="X431" i="2"/>
  <c r="Y431" i="2" s="1"/>
  <c r="Z431" i="2" s="1"/>
  <c r="H28" i="14"/>
  <c r="H30" i="21"/>
  <c r="H29" i="20"/>
  <c r="P268" i="2"/>
  <c r="M549" i="2"/>
  <c r="L340" i="2"/>
  <c r="R454" i="2"/>
  <c r="L280" i="2"/>
  <c r="N468" i="2"/>
  <c r="M588" i="2"/>
  <c r="M469" i="2"/>
  <c r="M127" i="2"/>
  <c r="N355" i="2"/>
  <c r="L412" i="2"/>
  <c r="L527" i="2"/>
  <c r="N149" i="2"/>
  <c r="H29" i="14"/>
  <c r="H30" i="17"/>
  <c r="U434" i="2"/>
  <c r="K382" i="2"/>
  <c r="K511" i="2"/>
  <c r="N286" i="2"/>
  <c r="N634" i="2"/>
  <c r="L397" i="2"/>
  <c r="L569" i="2"/>
  <c r="L337" i="2"/>
  <c r="M71" i="2"/>
  <c r="N13" i="2"/>
  <c r="I631" i="2"/>
  <c r="W412" i="2"/>
  <c r="G356" i="2"/>
  <c r="G69" i="2"/>
  <c r="H28" i="21"/>
  <c r="X29" i="2"/>
  <c r="Y29" i="2" s="1"/>
  <c r="Z29" i="2" s="1"/>
  <c r="K320" i="2"/>
  <c r="X248" i="2"/>
  <c r="Y248" i="2" s="1"/>
  <c r="Z248" i="2" s="1"/>
  <c r="W491" i="2"/>
  <c r="K34" i="2"/>
  <c r="K377" i="2"/>
  <c r="R223" i="2"/>
  <c r="V355" i="2"/>
  <c r="R337" i="2"/>
  <c r="V12" i="2"/>
  <c r="N514" i="2"/>
  <c r="Q588" i="2"/>
  <c r="Q527" i="2"/>
  <c r="J563" i="2"/>
  <c r="G527" i="2"/>
  <c r="G183" i="2"/>
  <c r="F28" i="14" s="1"/>
  <c r="X494" i="2"/>
  <c r="Y494" i="2" s="1"/>
  <c r="Z494" i="2" s="1"/>
  <c r="O320" i="2"/>
  <c r="Q434" i="2"/>
  <c r="R206" i="2"/>
  <c r="V377" i="2"/>
  <c r="V127" i="2"/>
  <c r="G439" i="2"/>
  <c r="K78" i="2"/>
  <c r="K628" i="2"/>
  <c r="I451" i="2"/>
  <c r="M566" i="2"/>
  <c r="G128" i="2"/>
  <c r="G554" i="2"/>
  <c r="M320" i="2"/>
  <c r="T11" i="2"/>
  <c r="V297" i="2"/>
  <c r="U528" i="2"/>
  <c r="N229" i="2"/>
  <c r="V590" i="2"/>
  <c r="N297" i="2"/>
  <c r="O337" i="2"/>
  <c r="Q185" i="2"/>
  <c r="P611" i="2"/>
  <c r="T240" i="2"/>
  <c r="V299" i="2"/>
  <c r="G505" i="2"/>
  <c r="G20" i="2"/>
  <c r="X824" i="2"/>
  <c r="Y824" i="2" s="1"/>
  <c r="Z824" i="2" s="1"/>
  <c r="M206" i="2"/>
  <c r="X75" i="2"/>
  <c r="Y75" i="2" s="1"/>
  <c r="Z75" i="2" s="1"/>
  <c r="X885" i="2"/>
  <c r="Y885" i="2" s="1"/>
  <c r="Z885" i="2" s="1"/>
  <c r="V354" i="2"/>
  <c r="X594" i="2"/>
  <c r="Y594" i="2" s="1"/>
  <c r="Z594" i="2" s="1"/>
  <c r="G211" i="2"/>
  <c r="G154" i="2"/>
  <c r="G382" i="2"/>
  <c r="G192" i="2"/>
  <c r="G28" i="14" s="1"/>
  <c r="W943" i="2"/>
  <c r="W944" i="2" s="1"/>
  <c r="U298" i="2"/>
  <c r="U70" i="2"/>
  <c r="S69" i="2"/>
  <c r="U505" i="2"/>
  <c r="J14" i="14"/>
  <c r="I886" i="2"/>
  <c r="I887" i="2" s="1"/>
  <c r="I180" i="2" s="1"/>
  <c r="E28" i="27" s="1"/>
  <c r="H30" i="25"/>
  <c r="G241" i="2"/>
  <c r="G13" i="2"/>
  <c r="G355" i="2"/>
  <c r="W408" i="2"/>
  <c r="I491" i="2"/>
  <c r="O631" i="2"/>
  <c r="X190" i="2"/>
  <c r="Y190" i="2" s="1"/>
  <c r="Z190" i="2" s="1"/>
  <c r="G34" i="2"/>
  <c r="J320" i="2"/>
  <c r="G78" i="2"/>
  <c r="X95" i="2"/>
  <c r="Y95" i="2" s="1"/>
  <c r="Z95" i="2" s="1"/>
  <c r="X317" i="2"/>
  <c r="Y317" i="2" s="1"/>
  <c r="Z317" i="2" s="1"/>
  <c r="H29" i="19"/>
  <c r="L325" i="2"/>
  <c r="I28" i="20"/>
  <c r="H14" i="21"/>
  <c r="H29" i="21"/>
  <c r="G206" i="2"/>
  <c r="X465" i="2"/>
  <c r="Y465" i="2" s="1"/>
  <c r="Z465" i="2" s="1"/>
  <c r="X438" i="2"/>
  <c r="Y438" i="2" s="1"/>
  <c r="Z438" i="2" s="1"/>
  <c r="G377" i="2"/>
  <c r="G411" i="2"/>
  <c r="Q206" i="2"/>
  <c r="I28" i="27"/>
  <c r="X18" i="2"/>
  <c r="Y18" i="2" s="1"/>
  <c r="Z18" i="2" s="1"/>
  <c r="X351" i="2"/>
  <c r="Y351" i="2" s="1"/>
  <c r="Z351" i="2" s="1"/>
  <c r="X31" i="2"/>
  <c r="Y31" i="2" s="1"/>
  <c r="Z31" i="2" s="1"/>
  <c r="X816" i="2"/>
  <c r="Y816" i="2" s="1"/>
  <c r="Z816" i="2" s="1"/>
  <c r="G12" i="2"/>
  <c r="K325" i="2"/>
  <c r="G922" i="2"/>
  <c r="Q242" i="2"/>
  <c r="L320" i="2"/>
  <c r="W937" i="2"/>
  <c r="W331" i="2" s="1"/>
  <c r="W940" i="2"/>
  <c r="J149" i="2"/>
  <c r="H14" i="32"/>
  <c r="X189" i="2"/>
  <c r="Y189" i="2" s="1"/>
  <c r="Z189" i="2" s="1"/>
  <c r="X360" i="2"/>
  <c r="Y360" i="2" s="1"/>
  <c r="Z360" i="2" s="1"/>
  <c r="G363" i="2"/>
  <c r="K44" i="26"/>
  <c r="L44" i="26" s="1"/>
  <c r="K44" i="20"/>
  <c r="L44" i="20" s="1"/>
  <c r="X523" i="2"/>
  <c r="Y523" i="2" s="1"/>
  <c r="Z523" i="2" s="1"/>
  <c r="K44" i="17"/>
  <c r="L44" i="17" s="1"/>
  <c r="X475" i="2"/>
  <c r="Y475" i="2" s="1"/>
  <c r="Z475" i="2" s="1"/>
  <c r="E28" i="14"/>
  <c r="X258" i="2"/>
  <c r="Y258" i="2" s="1"/>
  <c r="Z258" i="2" s="1"/>
  <c r="G263" i="2"/>
  <c r="X865" i="2"/>
  <c r="Y865" i="2" s="1"/>
  <c r="Z865" i="2" s="1"/>
  <c r="G866" i="2"/>
  <c r="K44" i="19"/>
  <c r="L44" i="19" s="1"/>
  <c r="H28" i="27"/>
  <c r="G916" i="2"/>
  <c r="X915" i="2"/>
  <c r="Y915" i="2" s="1"/>
  <c r="Z915" i="2" s="1"/>
  <c r="K44" i="25"/>
  <c r="L44" i="25" s="1"/>
  <c r="G217" i="2"/>
  <c r="H28" i="17"/>
  <c r="D44" i="14"/>
  <c r="F44" i="14" s="1"/>
  <c r="K44" i="21"/>
  <c r="L44" i="21" s="1"/>
  <c r="X654" i="2"/>
  <c r="Y654" i="2" s="1"/>
  <c r="Z654" i="2" s="1"/>
  <c r="G412" i="2"/>
  <c r="G185" i="2"/>
  <c r="X315" i="2"/>
  <c r="Y315" i="2" s="1"/>
  <c r="Z315" i="2" s="1"/>
  <c r="G496" i="2"/>
  <c r="G420" i="2"/>
  <c r="X417" i="2"/>
  <c r="Y417" i="2" s="1"/>
  <c r="Z417" i="2" s="1"/>
  <c r="D43" i="14"/>
  <c r="X266" i="2"/>
  <c r="Y266" i="2" s="1"/>
  <c r="Z266" i="2" s="1"/>
  <c r="G268" i="2"/>
  <c r="G944" i="2"/>
  <c r="X145" i="2"/>
  <c r="Y145" i="2" s="1"/>
  <c r="Z145" i="2" s="1"/>
  <c r="H14" i="14"/>
  <c r="X17" i="2"/>
  <c r="Y17" i="2" s="1"/>
  <c r="Z17" i="2" s="1"/>
  <c r="P434" i="2"/>
  <c r="G92" i="2"/>
  <c r="X437" i="2"/>
  <c r="Y437" i="2" s="1"/>
  <c r="Z437" i="2" s="1"/>
  <c r="G514" i="2"/>
  <c r="G343" i="2"/>
  <c r="G572" i="2"/>
  <c r="X203" i="2"/>
  <c r="Y203" i="2" s="1"/>
  <c r="Z203" i="2" s="1"/>
  <c r="X132" i="2"/>
  <c r="Y132" i="2" s="1"/>
  <c r="Z132" i="2" s="1"/>
  <c r="X822" i="2"/>
  <c r="Y822" i="2" s="1"/>
  <c r="Z822" i="2" s="1"/>
  <c r="X864" i="2"/>
  <c r="Y864" i="2" s="1"/>
  <c r="Z864" i="2" s="1"/>
  <c r="G249" i="2"/>
  <c r="X928" i="2"/>
  <c r="Y928" i="2" s="1"/>
  <c r="Z928" i="2" s="1"/>
  <c r="N325" i="2"/>
  <c r="G306" i="2"/>
  <c r="X372" i="2"/>
  <c r="Y372" i="2" s="1"/>
  <c r="Z372" i="2" s="1"/>
  <c r="G240" i="2"/>
  <c r="G589" i="2"/>
  <c r="G11" i="2"/>
  <c r="G126" i="2"/>
  <c r="G71" i="2"/>
  <c r="G590" i="2"/>
  <c r="G588" i="2"/>
  <c r="G184" i="2"/>
  <c r="G298" i="2"/>
  <c r="G354" i="2"/>
  <c r="G413" i="2"/>
  <c r="G470" i="2"/>
  <c r="G528" i="2"/>
  <c r="G468" i="2"/>
  <c r="G127" i="2"/>
  <c r="N439" i="2"/>
  <c r="G597" i="2"/>
  <c r="L149" i="2"/>
  <c r="G526" i="2"/>
  <c r="X892" i="2"/>
  <c r="Y892" i="2" s="1"/>
  <c r="Z892" i="2" s="1"/>
  <c r="G893" i="2"/>
  <c r="X87" i="2"/>
  <c r="Y87" i="2" s="1"/>
  <c r="Z87" i="2" s="1"/>
  <c r="X532" i="2"/>
  <c r="Y532" i="2" s="1"/>
  <c r="Z532" i="2" s="1"/>
  <c r="W916" i="2"/>
  <c r="W103" i="2" s="1"/>
  <c r="W919" i="2"/>
  <c r="G448" i="2"/>
  <c r="G625" i="2"/>
  <c r="G229" i="2"/>
  <c r="X198" i="2"/>
  <c r="Y198" i="2" s="1"/>
  <c r="Z198" i="2" s="1"/>
  <c r="X312" i="2"/>
  <c r="Y312" i="2" s="1"/>
  <c r="Z312" i="2" s="1"/>
  <c r="G457" i="2"/>
  <c r="X146" i="2"/>
  <c r="Y146" i="2" s="1"/>
  <c r="Z146" i="2" s="1"/>
  <c r="X552" i="2"/>
  <c r="Y552" i="2" s="1"/>
  <c r="Z552" i="2" s="1"/>
  <c r="G299" i="2"/>
  <c r="X914" i="2"/>
  <c r="Y914" i="2" s="1"/>
  <c r="Z914" i="2" s="1"/>
  <c r="G242" i="2"/>
  <c r="G97" i="2"/>
  <c r="J439" i="2"/>
  <c r="H30" i="32"/>
  <c r="X380" i="2"/>
  <c r="Y380" i="2" s="1"/>
  <c r="Z380" i="2" s="1"/>
  <c r="G149" i="2"/>
  <c r="X144" i="2"/>
  <c r="Y144" i="2" s="1"/>
  <c r="Z144" i="2" s="1"/>
  <c r="X899" i="2"/>
  <c r="Y899" i="2" s="1"/>
  <c r="Z899" i="2" s="1"/>
  <c r="G616" i="2"/>
  <c r="W930" i="2"/>
  <c r="W217" i="2" s="1"/>
  <c r="W933" i="2"/>
  <c r="G909" i="2"/>
  <c r="X908" i="2"/>
  <c r="Y908" i="2" s="1"/>
  <c r="Z908" i="2" s="1"/>
  <c r="L434" i="2"/>
  <c r="G220" i="2"/>
  <c r="X929" i="2"/>
  <c r="Y929" i="2" s="1"/>
  <c r="Z929" i="2" s="1"/>
  <c r="X201" i="2"/>
  <c r="Y201" i="2" s="1"/>
  <c r="Z201" i="2" s="1"/>
  <c r="X651" i="2"/>
  <c r="Y651" i="2" s="1"/>
  <c r="Z651" i="2" s="1"/>
  <c r="X652" i="2"/>
  <c r="Y652" i="2" s="1"/>
  <c r="Z652" i="2" s="1"/>
  <c r="X166" i="2"/>
  <c r="Y166" i="2" s="1"/>
  <c r="Z166" i="2" s="1"/>
  <c r="G277" i="2"/>
  <c r="G611" i="2"/>
  <c r="G286" i="2"/>
  <c r="G469" i="2"/>
  <c r="G320" i="2"/>
  <c r="G334" i="2"/>
  <c r="G511" i="2"/>
  <c r="G569" i="2"/>
  <c r="G340" i="2"/>
  <c r="G226" i="2"/>
  <c r="G454" i="2"/>
  <c r="G337" i="2"/>
  <c r="G283" i="2"/>
  <c r="X209" i="2"/>
  <c r="Y209" i="2" s="1"/>
  <c r="Z209" i="2" s="1"/>
  <c r="X659" i="2"/>
  <c r="Y659" i="2" s="1"/>
  <c r="Z659" i="2" s="1"/>
  <c r="G628" i="2"/>
  <c r="G391" i="2"/>
  <c r="G900" i="2"/>
  <c r="G39" i="2"/>
  <c r="U149" i="2"/>
  <c r="X878" i="2"/>
  <c r="Y878" i="2" s="1"/>
  <c r="Z878" i="2" s="1"/>
  <c r="X872" i="2"/>
  <c r="Y872" i="2" s="1"/>
  <c r="Z872" i="2" s="1"/>
  <c r="X486" i="2"/>
  <c r="Y486" i="2" s="1"/>
  <c r="Z486" i="2" s="1"/>
  <c r="K206" i="2"/>
  <c r="K44" i="32"/>
  <c r="L44" i="32" s="1"/>
  <c r="P149" i="2"/>
  <c r="X152" i="2"/>
  <c r="Y152" i="2" s="1"/>
  <c r="Z152" i="2" s="1"/>
  <c r="X237" i="2"/>
  <c r="Y237" i="2" s="1"/>
  <c r="Z237" i="2" s="1"/>
  <c r="X935" i="2"/>
  <c r="Y935" i="2" s="1"/>
  <c r="Z935" i="2" s="1"/>
  <c r="X323" i="2"/>
  <c r="Y323" i="2" s="1"/>
  <c r="Z323" i="2" s="1"/>
  <c r="M149" i="2"/>
  <c r="G135" i="2"/>
  <c r="G879" i="2"/>
  <c r="H30" i="20"/>
  <c r="G549" i="2"/>
  <c r="X544" i="2"/>
  <c r="Y544" i="2" s="1"/>
  <c r="Z544" i="2" s="1"/>
  <c r="X614" i="2"/>
  <c r="Y614" i="2" s="1"/>
  <c r="Z614" i="2" s="1"/>
  <c r="G535" i="2"/>
  <c r="X474" i="2"/>
  <c r="Y474" i="2" s="1"/>
  <c r="Z474" i="2" s="1"/>
  <c r="X936" i="2"/>
  <c r="Y936" i="2" s="1"/>
  <c r="Z936" i="2" s="1"/>
  <c r="X37" i="2"/>
  <c r="Y37" i="2" s="1"/>
  <c r="Z37" i="2" s="1"/>
  <c r="X871" i="2"/>
  <c r="Y871" i="2" s="1"/>
  <c r="Z871" i="2" s="1"/>
  <c r="X907" i="2"/>
  <c r="Y907" i="2" s="1"/>
  <c r="Z907" i="2" s="1"/>
  <c r="I29" i="14"/>
  <c r="G491" i="2"/>
  <c r="W909" i="2"/>
  <c r="W45" i="2" s="1"/>
  <c r="W912" i="2"/>
  <c r="H30" i="27"/>
  <c r="K44" i="27"/>
  <c r="L44" i="27" s="1"/>
  <c r="P320" i="2"/>
  <c r="J434" i="2"/>
  <c r="H30" i="14"/>
  <c r="I14" i="32"/>
  <c r="L206" i="2"/>
  <c r="K434" i="2"/>
  <c r="X606" i="2"/>
  <c r="Y606" i="2" s="1"/>
  <c r="Z606" i="2" s="1"/>
  <c r="W923" i="2"/>
  <c r="W160" i="2" s="1"/>
  <c r="W926" i="2"/>
  <c r="G434" i="2"/>
  <c r="X429" i="2"/>
  <c r="Y429" i="2" s="1"/>
  <c r="Z429" i="2" s="1"/>
  <c r="X303" i="2"/>
  <c r="Y303" i="2" s="1"/>
  <c r="Z303" i="2" s="1"/>
  <c r="X426" i="2"/>
  <c r="Y426" i="2" s="1"/>
  <c r="Z426" i="2" s="1"/>
  <c r="I434" i="2"/>
  <c r="I30" i="27"/>
  <c r="I14" i="27"/>
  <c r="I29" i="27"/>
  <c r="H30" i="19"/>
  <c r="K149" i="2"/>
  <c r="N434" i="2"/>
  <c r="O149" i="2"/>
  <c r="H29" i="27"/>
  <c r="O434" i="2"/>
  <c r="Q149" i="2"/>
  <c r="I149" i="2"/>
  <c r="N280" i="2"/>
  <c r="N451" i="2"/>
  <c r="N508" i="2"/>
  <c r="N569" i="2"/>
  <c r="N397" i="2"/>
  <c r="N283" i="2"/>
  <c r="N566" i="2"/>
  <c r="N628" i="2"/>
  <c r="N454" i="2"/>
  <c r="N511" i="2"/>
  <c r="N337" i="2"/>
  <c r="M457" i="2"/>
  <c r="M400" i="2"/>
  <c r="M229" i="2"/>
  <c r="M572" i="2"/>
  <c r="M514" i="2"/>
  <c r="M286" i="2"/>
  <c r="M277" i="2"/>
  <c r="M625" i="2"/>
  <c r="M505" i="2"/>
  <c r="M391" i="2"/>
  <c r="M334" i="2"/>
  <c r="M220" i="2"/>
  <c r="M448" i="2"/>
  <c r="J566" i="2"/>
  <c r="J454" i="2"/>
  <c r="J569" i="2"/>
  <c r="T297" i="2"/>
  <c r="J514" i="2"/>
  <c r="M343" i="2"/>
  <c r="J397" i="2"/>
  <c r="I400" i="2"/>
  <c r="I229" i="2"/>
  <c r="I514" i="2"/>
  <c r="I457" i="2"/>
  <c r="I286" i="2"/>
  <c r="I572" i="2"/>
  <c r="I343" i="2"/>
  <c r="P457" i="2"/>
  <c r="P343" i="2"/>
  <c r="P286" i="2"/>
  <c r="P400" i="2"/>
  <c r="P229" i="2"/>
  <c r="T183" i="2"/>
  <c r="P572" i="2"/>
  <c r="N277" i="2"/>
  <c r="N505" i="2"/>
  <c r="N220" i="2"/>
  <c r="N448" i="2"/>
  <c r="N334" i="2"/>
  <c r="N391" i="2"/>
  <c r="N625" i="2"/>
  <c r="N563" i="2"/>
  <c r="Q334" i="2"/>
  <c r="Q277" i="2"/>
  <c r="Q625" i="2"/>
  <c r="Q220" i="2"/>
  <c r="Q448" i="2"/>
  <c r="Q505" i="2"/>
  <c r="Q391" i="2"/>
  <c r="T412" i="2"/>
  <c r="J343" i="2"/>
  <c r="J229" i="2"/>
  <c r="J572" i="2"/>
  <c r="J634" i="2"/>
  <c r="N340" i="2"/>
  <c r="K590" i="2"/>
  <c r="K241" i="2"/>
  <c r="K185" i="2"/>
  <c r="K413" i="2"/>
  <c r="K11" i="2"/>
  <c r="K469" i="2"/>
  <c r="K242" i="2"/>
  <c r="K71" i="2"/>
  <c r="K69" i="2"/>
  <c r="K354" i="2"/>
  <c r="K184" i="2"/>
  <c r="K527" i="2"/>
  <c r="K412" i="2"/>
  <c r="K240" i="2"/>
  <c r="K526" i="2"/>
  <c r="K355" i="2"/>
  <c r="K470" i="2"/>
  <c r="K128" i="2"/>
  <c r="K298" i="2"/>
  <c r="K127" i="2"/>
  <c r="K411" i="2"/>
  <c r="K589" i="2"/>
  <c r="K356" i="2"/>
  <c r="K588" i="2"/>
  <c r="R286" i="2"/>
  <c r="R634" i="2"/>
  <c r="R229" i="2"/>
  <c r="R514" i="2"/>
  <c r="R572" i="2"/>
  <c r="R343" i="2"/>
  <c r="R457" i="2"/>
  <c r="R400" i="2"/>
  <c r="I470" i="2"/>
  <c r="I240" i="2"/>
  <c r="I413" i="2"/>
  <c r="I298" i="2"/>
  <c r="I589" i="2"/>
  <c r="I412" i="2"/>
  <c r="I469" i="2"/>
  <c r="I527" i="2"/>
  <c r="I241" i="2"/>
  <c r="I588" i="2"/>
  <c r="I127" i="2"/>
  <c r="I13" i="2"/>
  <c r="I297" i="2"/>
  <c r="I299" i="2"/>
  <c r="I128" i="2"/>
  <c r="I69" i="2"/>
  <c r="I185" i="2"/>
  <c r="I356" i="2"/>
  <c r="I242" i="2"/>
  <c r="I528" i="2"/>
  <c r="I11" i="2"/>
  <c r="I12" i="2"/>
  <c r="I355" i="2"/>
  <c r="I354" i="2"/>
  <c r="I526" i="2"/>
  <c r="I411" i="2"/>
  <c r="I71" i="2"/>
  <c r="S343" i="2"/>
  <c r="S286" i="2"/>
  <c r="S634" i="2"/>
  <c r="S400" i="2"/>
  <c r="S514" i="2"/>
  <c r="T413" i="2"/>
  <c r="N394" i="2"/>
  <c r="K299" i="2"/>
  <c r="K528" i="2"/>
  <c r="J286" i="2"/>
  <c r="K468" i="2"/>
  <c r="T298" i="2"/>
  <c r="T470" i="2"/>
  <c r="T13" i="2"/>
  <c r="T588" i="2"/>
  <c r="T128" i="2"/>
  <c r="T528" i="2"/>
  <c r="T185" i="2"/>
  <c r="T184" i="2"/>
  <c r="T126" i="2"/>
  <c r="T70" i="2"/>
  <c r="T354" i="2"/>
  <c r="T468" i="2"/>
  <c r="T356" i="2"/>
  <c r="T589" i="2"/>
  <c r="T127" i="2"/>
  <c r="T355" i="2"/>
  <c r="T71" i="2"/>
  <c r="T590" i="2"/>
  <c r="T299" i="2"/>
  <c r="T241" i="2"/>
  <c r="T469" i="2"/>
  <c r="T69" i="2"/>
  <c r="T242" i="2"/>
  <c r="T527" i="2"/>
  <c r="T411" i="2"/>
  <c r="J280" i="2"/>
  <c r="J337" i="2"/>
  <c r="J508" i="2"/>
  <c r="J628" i="2"/>
  <c r="J394" i="2"/>
  <c r="J451" i="2"/>
  <c r="J631" i="2"/>
  <c r="J283" i="2"/>
  <c r="J340" i="2"/>
  <c r="K70" i="2"/>
  <c r="N631" i="2"/>
  <c r="J457" i="2"/>
  <c r="I184" i="2"/>
  <c r="K12" i="2"/>
  <c r="R280" i="2"/>
  <c r="R511" i="2"/>
  <c r="R283" i="2"/>
  <c r="R566" i="2"/>
  <c r="R397" i="2"/>
  <c r="V280" i="2"/>
  <c r="V223" i="2"/>
  <c r="V451" i="2"/>
  <c r="V397" i="2"/>
  <c r="V631" i="2"/>
  <c r="V283" i="2"/>
  <c r="K283" i="2"/>
  <c r="K337" i="2"/>
  <c r="K454" i="2"/>
  <c r="V11" i="2"/>
  <c r="S511" i="2"/>
  <c r="S280" i="2"/>
  <c r="S223" i="2"/>
  <c r="S126" i="2"/>
  <c r="S183" i="2"/>
  <c r="S127" i="2"/>
  <c r="S11" i="2"/>
  <c r="S527" i="2"/>
  <c r="S355" i="2"/>
  <c r="S469" i="2"/>
  <c r="V468" i="2"/>
  <c r="U468" i="2"/>
  <c r="W277" i="2"/>
  <c r="W220" i="2"/>
  <c r="W391" i="2"/>
  <c r="W448" i="2"/>
  <c r="W625" i="2"/>
  <c r="V569" i="2"/>
  <c r="L566" i="2"/>
  <c r="L628" i="2"/>
  <c r="L283" i="2"/>
  <c r="L454" i="2"/>
  <c r="V508" i="2"/>
  <c r="T343" i="2"/>
  <c r="S566" i="2"/>
  <c r="Q286" i="2"/>
  <c r="S454" i="2"/>
  <c r="I448" i="2"/>
  <c r="I505" i="2"/>
  <c r="I220" i="2"/>
  <c r="I625" i="2"/>
  <c r="I334" i="2"/>
  <c r="I391" i="2"/>
  <c r="I277" i="2"/>
  <c r="I563" i="2"/>
  <c r="T569" i="2"/>
  <c r="K569" i="2"/>
  <c r="Q343" i="2"/>
  <c r="U400" i="2"/>
  <c r="S413" i="2"/>
  <c r="L334" i="2"/>
  <c r="L625" i="2"/>
  <c r="L220" i="2"/>
  <c r="L448" i="2"/>
  <c r="U526" i="2"/>
  <c r="K631" i="2"/>
  <c r="M589" i="2"/>
  <c r="R451" i="2"/>
  <c r="N185" i="2"/>
  <c r="N470" i="2"/>
  <c r="N12" i="2"/>
  <c r="N590" i="2"/>
  <c r="N356" i="2"/>
  <c r="N413" i="2"/>
  <c r="N527" i="2"/>
  <c r="N240" i="2"/>
  <c r="K397" i="2"/>
  <c r="M356" i="2"/>
  <c r="M11" i="2"/>
  <c r="U283" i="2"/>
  <c r="U451" i="2"/>
  <c r="U628" i="2"/>
  <c r="U631" i="2"/>
  <c r="U280" i="2"/>
  <c r="U569" i="2"/>
  <c r="U69" i="2"/>
  <c r="L511" i="2"/>
  <c r="S468" i="2"/>
  <c r="R628" i="2"/>
  <c r="R526" i="2"/>
  <c r="R469" i="2"/>
  <c r="R71" i="2"/>
  <c r="R528" i="2"/>
  <c r="M354" i="2"/>
  <c r="U527" i="2"/>
  <c r="S356" i="2"/>
  <c r="J240" i="2"/>
  <c r="J588" i="2"/>
  <c r="J184" i="2"/>
  <c r="J355" i="2"/>
  <c r="J127" i="2"/>
  <c r="J242" i="2"/>
  <c r="J297" i="2"/>
  <c r="J469" i="2"/>
  <c r="J128" i="2"/>
  <c r="J354" i="2"/>
  <c r="J298" i="2"/>
  <c r="J12" i="2"/>
  <c r="N69" i="2"/>
  <c r="Q468" i="2"/>
  <c r="Q70" i="2"/>
  <c r="N343" i="2"/>
  <c r="T400" i="2"/>
  <c r="T286" i="2"/>
  <c r="V412" i="2"/>
  <c r="V184" i="2"/>
  <c r="V413" i="2"/>
  <c r="W563" i="2"/>
  <c r="R569" i="2"/>
  <c r="U334" i="2"/>
  <c r="U625" i="2"/>
  <c r="U448" i="2"/>
  <c r="S508" i="2"/>
  <c r="R508" i="2"/>
  <c r="M241" i="2"/>
  <c r="V242" i="2"/>
  <c r="V511" i="2"/>
  <c r="S354" i="2"/>
  <c r="Q229" i="2"/>
  <c r="W400" i="2"/>
  <c r="W343" i="2"/>
  <c r="W634" i="2"/>
  <c r="W229" i="2"/>
  <c r="W514" i="2"/>
  <c r="L514" i="2"/>
  <c r="N11" i="2"/>
  <c r="V566" i="2"/>
  <c r="L286" i="2"/>
  <c r="N528" i="2"/>
  <c r="T451" i="2"/>
  <c r="U508" i="2"/>
  <c r="N70" i="2"/>
  <c r="U71" i="2"/>
  <c r="S470" i="2"/>
  <c r="N128" i="2"/>
  <c r="U391" i="2"/>
  <c r="P220" i="2"/>
  <c r="P505" i="2"/>
  <c r="P334" i="2"/>
  <c r="U297" i="2"/>
  <c r="S451" i="2"/>
  <c r="S397" i="2"/>
  <c r="L631" i="2"/>
  <c r="S70" i="2"/>
  <c r="L400" i="2"/>
  <c r="N71" i="2"/>
  <c r="R241" i="2"/>
  <c r="V628" i="2"/>
  <c r="U454" i="2"/>
  <c r="R412" i="2"/>
  <c r="M128" i="2"/>
  <c r="V528" i="2"/>
  <c r="V13" i="2"/>
  <c r="V527" i="2"/>
  <c r="V241" i="2"/>
  <c r="V126" i="2"/>
  <c r="V240" i="2"/>
  <c r="V185" i="2"/>
  <c r="V128" i="2"/>
  <c r="V70" i="2"/>
  <c r="V526" i="2"/>
  <c r="V589" i="2"/>
  <c r="N400" i="2"/>
  <c r="V394" i="2"/>
  <c r="T220" i="2"/>
  <c r="V298" i="2"/>
  <c r="L572" i="2"/>
  <c r="U355" i="2"/>
  <c r="S337" i="2"/>
  <c r="U411" i="2"/>
  <c r="L451" i="2"/>
  <c r="S241" i="2"/>
  <c r="Q128" i="2"/>
  <c r="Q528" i="2"/>
  <c r="Q589" i="2"/>
  <c r="Q69" i="2"/>
  <c r="Q12" i="2"/>
  <c r="M527" i="2"/>
  <c r="Q411" i="2"/>
  <c r="R631" i="2"/>
  <c r="M13" i="2"/>
  <c r="Q514" i="2"/>
  <c r="S411" i="2"/>
  <c r="Q127" i="2"/>
  <c r="K566" i="2"/>
  <c r="K340" i="2"/>
  <c r="V337" i="2"/>
  <c r="K508" i="2"/>
  <c r="U356" i="2"/>
  <c r="R354" i="2"/>
  <c r="R70" i="2"/>
  <c r="T572" i="2"/>
  <c r="K505" i="2"/>
  <c r="K625" i="2"/>
  <c r="K334" i="2"/>
  <c r="K220" i="2"/>
  <c r="S526" i="2"/>
  <c r="S628" i="2"/>
  <c r="S340" i="2"/>
  <c r="U229" i="2"/>
  <c r="V340" i="2"/>
  <c r="N526" i="2"/>
  <c r="Q526" i="2"/>
  <c r="L457" i="2"/>
  <c r="N241" i="2"/>
  <c r="Q354" i="2"/>
  <c r="U12" i="2"/>
  <c r="U588" i="2"/>
  <c r="U128" i="2"/>
  <c r="U470" i="2"/>
  <c r="U13" i="2"/>
  <c r="U240" i="2"/>
  <c r="U469" i="2"/>
  <c r="U590" i="2"/>
  <c r="U127" i="2"/>
  <c r="U11" i="2"/>
  <c r="S242" i="2"/>
  <c r="T277" i="2"/>
  <c r="T334" i="2"/>
  <c r="T391" i="2"/>
  <c r="T505" i="2"/>
  <c r="T563" i="2"/>
  <c r="T448" i="2"/>
  <c r="V469" i="2"/>
  <c r="S297" i="2"/>
  <c r="V183" i="2"/>
  <c r="S13" i="2"/>
  <c r="T223" i="2"/>
  <c r="T454" i="2"/>
  <c r="T566" i="2"/>
  <c r="U343" i="2"/>
  <c r="T280" i="2"/>
  <c r="M297" i="2"/>
  <c r="M298" i="2"/>
  <c r="M528" i="2"/>
  <c r="M470" i="2"/>
  <c r="M242" i="2"/>
  <c r="M185" i="2"/>
  <c r="M184" i="2"/>
  <c r="S299" i="2"/>
  <c r="K280" i="2"/>
  <c r="V454" i="2"/>
  <c r="M468" i="2"/>
  <c r="W334" i="2"/>
  <c r="V71" i="2"/>
  <c r="S12" i="2"/>
  <c r="J625" i="2"/>
  <c r="J448" i="2"/>
  <c r="J277" i="2"/>
  <c r="J220" i="2"/>
  <c r="J334" i="2"/>
  <c r="U220" i="2"/>
  <c r="L634" i="2"/>
  <c r="S412" i="2"/>
  <c r="U299" i="2"/>
  <c r="U634" i="2"/>
  <c r="S528" i="2"/>
  <c r="V588" i="2"/>
  <c r="T634" i="2"/>
  <c r="N572" i="2"/>
  <c r="U185" i="2"/>
  <c r="U412" i="2"/>
  <c r="V470" i="2"/>
  <c r="U184" i="2"/>
  <c r="J391" i="2"/>
  <c r="W457" i="2"/>
  <c r="I397" i="2"/>
  <c r="P412" i="2"/>
  <c r="P469" i="2"/>
  <c r="O127" i="2"/>
  <c r="O454" i="2"/>
  <c r="P11" i="2"/>
  <c r="O277" i="2"/>
  <c r="O334" i="2"/>
  <c r="O220" i="2"/>
  <c r="O625" i="2"/>
  <c r="O283" i="2"/>
  <c r="O13" i="2"/>
  <c r="O412" i="2"/>
  <c r="W226" i="2"/>
  <c r="O297" i="2"/>
  <c r="P241" i="2"/>
  <c r="V514" i="2"/>
  <c r="I394" i="2"/>
  <c r="I454" i="2"/>
  <c r="O526" i="2"/>
  <c r="O628" i="2"/>
  <c r="V343" i="2"/>
  <c r="I283" i="2"/>
  <c r="W283" i="2"/>
  <c r="P127" i="2"/>
  <c r="V277" i="2"/>
  <c r="V220" i="2"/>
  <c r="V334" i="2"/>
  <c r="W628" i="2"/>
  <c r="O397" i="2"/>
  <c r="P631" i="2"/>
  <c r="I569" i="2"/>
  <c r="W280" i="2"/>
  <c r="W240" i="2"/>
  <c r="W183" i="2"/>
  <c r="P355" i="2"/>
  <c r="V391" i="2"/>
  <c r="P185" i="2"/>
  <c r="P356" i="2"/>
  <c r="P511" i="2"/>
  <c r="W297" i="2"/>
  <c r="V448" i="2"/>
  <c r="P628" i="2"/>
  <c r="C31" i="33" l="1"/>
  <c r="H764" i="2"/>
  <c r="H781" i="2"/>
  <c r="H742" i="2"/>
  <c r="H736" i="2"/>
  <c r="H743" i="2"/>
  <c r="H680" i="2"/>
  <c r="H684" i="2" s="1"/>
  <c r="H686" i="2" s="1"/>
  <c r="H744" i="2"/>
  <c r="W180" i="2"/>
  <c r="W123" i="2"/>
  <c r="W294" i="2"/>
  <c r="W300" i="2" s="1"/>
  <c r="W345" i="2" s="1"/>
  <c r="X873" i="2"/>
  <c r="Y873" i="2" s="1"/>
  <c r="Z873" i="2" s="1"/>
  <c r="L186" i="2"/>
  <c r="S160" i="2"/>
  <c r="S658" i="2"/>
  <c r="N658" i="2"/>
  <c r="D45" i="21" s="1"/>
  <c r="G45" i="21" s="1"/>
  <c r="K45" i="21" s="1"/>
  <c r="L45" i="21" s="1"/>
  <c r="L45" i="2"/>
  <c r="P180" i="2"/>
  <c r="E28" i="26" s="1"/>
  <c r="K217" i="2"/>
  <c r="I28" i="17" s="1"/>
  <c r="U180" i="2"/>
  <c r="U186" i="2" s="1"/>
  <c r="R408" i="2"/>
  <c r="R414" i="2" s="1"/>
  <c r="S180" i="2"/>
  <c r="S186" i="2" s="1"/>
  <c r="L66" i="2"/>
  <c r="L72" i="2" s="1"/>
  <c r="L117" i="2" s="1"/>
  <c r="M8" i="2"/>
  <c r="M962" i="2" s="1"/>
  <c r="M740" i="2" s="1"/>
  <c r="U8" i="2"/>
  <c r="U14" i="2" s="1"/>
  <c r="K226" i="2"/>
  <c r="J28" i="17" s="1"/>
  <c r="N226" i="2"/>
  <c r="J28" i="21" s="1"/>
  <c r="R226" i="2"/>
  <c r="R123" i="2"/>
  <c r="R129" i="2" s="1"/>
  <c r="R174" i="2" s="1"/>
  <c r="R960" i="2" s="1"/>
  <c r="R785" i="2" s="1"/>
  <c r="R800" i="2" s="1"/>
  <c r="O123" i="2"/>
  <c r="E14" i="25" s="1"/>
  <c r="R445" i="2"/>
  <c r="K294" i="2"/>
  <c r="K300" i="2" s="1"/>
  <c r="E29" i="17" s="1"/>
  <c r="O408" i="2"/>
  <c r="O414" i="2" s="1"/>
  <c r="O445" i="2"/>
  <c r="I30" i="25" s="1"/>
  <c r="R217" i="2"/>
  <c r="O217" i="2"/>
  <c r="I28" i="25" s="1"/>
  <c r="S408" i="2"/>
  <c r="S414" i="2" s="1"/>
  <c r="Q294" i="2"/>
  <c r="Q300" i="2" s="1"/>
  <c r="Q345" i="2" s="1"/>
  <c r="T658" i="2"/>
  <c r="P658" i="2"/>
  <c r="D45" i="26" s="1"/>
  <c r="G45" i="26" s="1"/>
  <c r="K45" i="26" s="1"/>
  <c r="L45" i="26" s="1"/>
  <c r="Q658" i="2"/>
  <c r="O8" i="2"/>
  <c r="O962" i="2" s="1"/>
  <c r="O740" i="2" s="1"/>
  <c r="R8" i="2"/>
  <c r="R962" i="2" s="1"/>
  <c r="J8" i="2"/>
  <c r="J962" i="2" s="1"/>
  <c r="J740" i="2" s="1"/>
  <c r="K45" i="2"/>
  <c r="N45" i="2"/>
  <c r="T45" i="2"/>
  <c r="R45" i="2"/>
  <c r="V103" i="2"/>
  <c r="Q408" i="2"/>
  <c r="Q414" i="2" s="1"/>
  <c r="Q459" i="2" s="1"/>
  <c r="Q677" i="2" s="1"/>
  <c r="Q733" i="2" s="1"/>
  <c r="N294" i="2"/>
  <c r="N300" i="2" s="1"/>
  <c r="E29" i="21" s="1"/>
  <c r="S123" i="2"/>
  <c r="S129" i="2" s="1"/>
  <c r="Q160" i="2"/>
  <c r="V180" i="2"/>
  <c r="V186" i="2" s="1"/>
  <c r="O294" i="2"/>
  <c r="O300" i="2" s="1"/>
  <c r="E29" i="25" s="1"/>
  <c r="S66" i="2"/>
  <c r="S72" i="2" s="1"/>
  <c r="S117" i="2" s="1"/>
  <c r="Q66" i="2"/>
  <c r="V160" i="2"/>
  <c r="S445" i="2"/>
  <c r="V66" i="2"/>
  <c r="V72" i="2" s="1"/>
  <c r="U658" i="2"/>
  <c r="V658" i="2"/>
  <c r="V669" i="2" s="1"/>
  <c r="V704" i="2" s="1"/>
  <c r="K658" i="2"/>
  <c r="D45" i="17" s="1"/>
  <c r="G45" i="17" s="1"/>
  <c r="K45" i="17" s="1"/>
  <c r="L45" i="17" s="1"/>
  <c r="M658" i="2"/>
  <c r="D45" i="20" s="1"/>
  <c r="G45" i="20" s="1"/>
  <c r="K45" i="20" s="1"/>
  <c r="L45" i="20" s="1"/>
  <c r="L8" i="2"/>
  <c r="L962" i="2" s="1"/>
  <c r="L740" i="2" s="1"/>
  <c r="T8" i="2"/>
  <c r="T962" i="2" s="1"/>
  <c r="P226" i="2"/>
  <c r="V226" i="2"/>
  <c r="Q226" i="2"/>
  <c r="M226" i="2"/>
  <c r="J226" i="2"/>
  <c r="Q180" i="2"/>
  <c r="Q186" i="2" s="1"/>
  <c r="U294" i="2"/>
  <c r="U300" i="2" s="1"/>
  <c r="M103" i="2"/>
  <c r="S217" i="2"/>
  <c r="U408" i="2"/>
  <c r="U414" i="2" s="1"/>
  <c r="K331" i="2"/>
  <c r="I29" i="17" s="1"/>
  <c r="R103" i="2"/>
  <c r="O66" i="2"/>
  <c r="O72" i="2" s="1"/>
  <c r="O117" i="2" s="1"/>
  <c r="P103" i="2"/>
  <c r="S294" i="2"/>
  <c r="S300" i="2" s="1"/>
  <c r="O160" i="2"/>
  <c r="I14" i="25" s="1"/>
  <c r="H35" i="25" s="1"/>
  <c r="Q8" i="2"/>
  <c r="Q962" i="2" s="1"/>
  <c r="Q740" i="2" s="1"/>
  <c r="V8" i="2"/>
  <c r="V14" i="2" s="1"/>
  <c r="Q45" i="2"/>
  <c r="M45" i="2"/>
  <c r="J45" i="2"/>
  <c r="J887" i="2"/>
  <c r="X887" i="2" s="1"/>
  <c r="Y887" i="2" s="1"/>
  <c r="Z887" i="2" s="1"/>
  <c r="M123" i="2"/>
  <c r="E14" i="20" s="1"/>
  <c r="V331" i="2"/>
  <c r="N331" i="2"/>
  <c r="I29" i="21" s="1"/>
  <c r="Q217" i="2"/>
  <c r="L217" i="2"/>
  <c r="I28" i="19" s="1"/>
  <c r="M180" i="2"/>
  <c r="E28" i="20" s="1"/>
  <c r="M160" i="2"/>
  <c r="I14" i="20" s="1"/>
  <c r="H35" i="20" s="1"/>
  <c r="U217" i="2"/>
  <c r="T226" i="2"/>
  <c r="N217" i="2"/>
  <c r="I28" i="21" s="1"/>
  <c r="P123" i="2"/>
  <c r="E14" i="26" s="1"/>
  <c r="K14" i="26" s="1"/>
  <c r="U445" i="2"/>
  <c r="V294" i="2"/>
  <c r="V300" i="2" s="1"/>
  <c r="L226" i="2"/>
  <c r="X952" i="2"/>
  <c r="Y952" i="2" s="1"/>
  <c r="Z952" i="2" s="1"/>
  <c r="W445" i="2"/>
  <c r="W948" i="2"/>
  <c r="O357" i="2"/>
  <c r="O402" i="2" s="1"/>
  <c r="O676" i="2" s="1"/>
  <c r="S357" i="2"/>
  <c r="S402" i="2" s="1"/>
  <c r="O591" i="2"/>
  <c r="O636" i="2" s="1"/>
  <c r="O768" i="2" s="1"/>
  <c r="W357" i="2"/>
  <c r="W402" i="2" s="1"/>
  <c r="W676" i="2" s="1"/>
  <c r="L591" i="2"/>
  <c r="L636" i="2" s="1"/>
  <c r="L768" i="2" s="1"/>
  <c r="W529" i="2"/>
  <c r="W574" i="2" s="1"/>
  <c r="W679" i="2" s="1"/>
  <c r="W735" i="2" s="1"/>
  <c r="O186" i="2"/>
  <c r="Q129" i="2"/>
  <c r="J28" i="27"/>
  <c r="K28" i="27" s="1"/>
  <c r="G30" i="19"/>
  <c r="P243" i="2"/>
  <c r="P288" i="2" s="1"/>
  <c r="G30" i="25"/>
  <c r="L529" i="2"/>
  <c r="F30" i="19" s="1"/>
  <c r="G30" i="26"/>
  <c r="X39" i="2"/>
  <c r="Y39" i="2" s="1"/>
  <c r="Z39" i="2" s="1"/>
  <c r="J28" i="25"/>
  <c r="X211" i="2"/>
  <c r="Y211" i="2" s="1"/>
  <c r="Z211" i="2" s="1"/>
  <c r="P300" i="2"/>
  <c r="E29" i="26" s="1"/>
  <c r="K29" i="26" s="1"/>
  <c r="L357" i="2"/>
  <c r="L402" i="2" s="1"/>
  <c r="L732" i="2" s="1"/>
  <c r="G30" i="17"/>
  <c r="G30" i="21"/>
  <c r="P72" i="2"/>
  <c r="R186" i="2"/>
  <c r="O529" i="2"/>
  <c r="F30" i="25" s="1"/>
  <c r="R471" i="2"/>
  <c r="R516" i="2" s="1"/>
  <c r="R734" i="2" s="1"/>
  <c r="W243" i="2"/>
  <c r="W288" i="2" s="1"/>
  <c r="X496" i="2"/>
  <c r="Y496" i="2" s="1"/>
  <c r="Z496" i="2" s="1"/>
  <c r="G30" i="32"/>
  <c r="N129" i="2"/>
  <c r="N174" i="2" s="1"/>
  <c r="N688" i="2" s="1"/>
  <c r="F13" i="33" s="1"/>
  <c r="J414" i="2"/>
  <c r="J459" i="2" s="1"/>
  <c r="J677" i="2" s="1"/>
  <c r="J733" i="2" s="1"/>
  <c r="J471" i="2"/>
  <c r="J516" i="2" s="1"/>
  <c r="X616" i="2"/>
  <c r="Y616" i="2" s="1"/>
  <c r="Z616" i="2" s="1"/>
  <c r="M414" i="2"/>
  <c r="M459" i="2" s="1"/>
  <c r="M677" i="2" s="1"/>
  <c r="M733" i="2" s="1"/>
  <c r="X97" i="2"/>
  <c r="Y97" i="2" s="1"/>
  <c r="Z97" i="2" s="1"/>
  <c r="P591" i="2"/>
  <c r="P636" i="2" s="1"/>
  <c r="P708" i="2" s="1"/>
  <c r="J529" i="2"/>
  <c r="F30" i="32" s="1"/>
  <c r="X154" i="2"/>
  <c r="Y154" i="2" s="1"/>
  <c r="Z154" i="2" s="1"/>
  <c r="X667" i="2"/>
  <c r="Y667" i="2" s="1"/>
  <c r="Z667" i="2" s="1"/>
  <c r="W471" i="2"/>
  <c r="W516" i="2" s="1"/>
  <c r="W734" i="2" s="1"/>
  <c r="G30" i="20"/>
  <c r="R357" i="2"/>
  <c r="R402" i="2" s="1"/>
  <c r="R676" i="2" s="1"/>
  <c r="H35" i="26"/>
  <c r="N357" i="2"/>
  <c r="N402" i="2" s="1"/>
  <c r="N732" i="2" s="1"/>
  <c r="W591" i="2"/>
  <c r="W636" i="2" s="1"/>
  <c r="W708" i="2" s="1"/>
  <c r="X382" i="2"/>
  <c r="Y382" i="2" s="1"/>
  <c r="Z382" i="2" s="1"/>
  <c r="L414" i="2"/>
  <c r="L459" i="2" s="1"/>
  <c r="L677" i="2" s="1"/>
  <c r="L733" i="2" s="1"/>
  <c r="L471" i="2"/>
  <c r="L516" i="2" s="1"/>
  <c r="L734" i="2" s="1"/>
  <c r="W14" i="2"/>
  <c r="L300" i="2"/>
  <c r="E29" i="19" s="1"/>
  <c r="K29" i="19" s="1"/>
  <c r="L129" i="2"/>
  <c r="L174" i="2" s="1"/>
  <c r="I35" i="26"/>
  <c r="X554" i="2"/>
  <c r="Y554" i="2" s="1"/>
  <c r="Z554" i="2" s="1"/>
  <c r="L243" i="2"/>
  <c r="L288" i="2" s="1"/>
  <c r="P471" i="2"/>
  <c r="P516" i="2" s="1"/>
  <c r="Q471" i="2"/>
  <c r="Q516" i="2" s="1"/>
  <c r="J591" i="2"/>
  <c r="J636" i="2" s="1"/>
  <c r="Q243" i="2"/>
  <c r="Q288" i="2" s="1"/>
  <c r="M72" i="2"/>
  <c r="H35" i="19"/>
  <c r="O471" i="2"/>
  <c r="O516" i="2" s="1"/>
  <c r="O734" i="2" s="1"/>
  <c r="U243" i="2"/>
  <c r="U288" i="2" s="1"/>
  <c r="N591" i="2"/>
  <c r="N636" i="2" s="1"/>
  <c r="N768" i="2" s="1"/>
  <c r="K14" i="27"/>
  <c r="X535" i="2"/>
  <c r="Y535" i="2" s="1"/>
  <c r="Z535" i="2" s="1"/>
  <c r="W717" i="2"/>
  <c r="W725" i="2" s="1"/>
  <c r="C46" i="33" s="1"/>
  <c r="R591" i="2"/>
  <c r="R636" i="2" s="1"/>
  <c r="R768" i="2" s="1"/>
  <c r="X611" i="2"/>
  <c r="Y611" i="2" s="1"/>
  <c r="Z611" i="2" s="1"/>
  <c r="I35" i="19"/>
  <c r="S591" i="2"/>
  <c r="S636" i="2" s="1"/>
  <c r="S768" i="2" s="1"/>
  <c r="X477" i="2"/>
  <c r="Y477" i="2" s="1"/>
  <c r="Z477" i="2" s="1"/>
  <c r="X249" i="2"/>
  <c r="Y249" i="2" s="1"/>
  <c r="Z249" i="2" s="1"/>
  <c r="G30" i="27"/>
  <c r="W129" i="2"/>
  <c r="W174" i="2" s="1"/>
  <c r="W688" i="2" s="1"/>
  <c r="W753" i="2" s="1"/>
  <c r="Q357" i="2"/>
  <c r="Q402" i="2" s="1"/>
  <c r="Q732" i="2" s="1"/>
  <c r="N414" i="2"/>
  <c r="N459" i="2" s="1"/>
  <c r="N677" i="2" s="1"/>
  <c r="N733" i="2" s="1"/>
  <c r="N471" i="2"/>
  <c r="N516" i="2" s="1"/>
  <c r="M591" i="2"/>
  <c r="M636" i="2" s="1"/>
  <c r="M708" i="2" s="1"/>
  <c r="W72" i="2"/>
  <c r="W117" i="2" s="1"/>
  <c r="P414" i="2"/>
  <c r="P459" i="2" s="1"/>
  <c r="P677" i="2" s="1"/>
  <c r="P733" i="2" s="1"/>
  <c r="R243" i="2"/>
  <c r="R288" i="2" s="1"/>
  <c r="N186" i="2"/>
  <c r="X363" i="2"/>
  <c r="Y363" i="2" s="1"/>
  <c r="Z363" i="2" s="1"/>
  <c r="X377" i="2"/>
  <c r="Y377" i="2" s="1"/>
  <c r="Z377" i="2" s="1"/>
  <c r="W414" i="2"/>
  <c r="K14" i="17"/>
  <c r="I35" i="17"/>
  <c r="X943" i="2"/>
  <c r="Y943" i="2" s="1"/>
  <c r="Z943" i="2" s="1"/>
  <c r="X549" i="2"/>
  <c r="Y549" i="2" s="1"/>
  <c r="Z549" i="2" s="1"/>
  <c r="H35" i="17"/>
  <c r="X92" i="2"/>
  <c r="Y92" i="2" s="1"/>
  <c r="Z92" i="2" s="1"/>
  <c r="X268" i="2"/>
  <c r="Y268" i="2" s="1"/>
  <c r="Z268" i="2" s="1"/>
  <c r="X263" i="2"/>
  <c r="Y263" i="2" s="1"/>
  <c r="Z263" i="2" s="1"/>
  <c r="R300" i="2"/>
  <c r="R345" i="2" s="1"/>
  <c r="R731" i="2" s="1"/>
  <c r="M357" i="2"/>
  <c r="M402" i="2" s="1"/>
  <c r="H35" i="21"/>
  <c r="P14" i="2"/>
  <c r="P59" i="2" s="1"/>
  <c r="Q591" i="2"/>
  <c r="Q636" i="2" s="1"/>
  <c r="Q708" i="2" s="1"/>
  <c r="Q770" i="2" s="1"/>
  <c r="I186" i="2"/>
  <c r="X886" i="2"/>
  <c r="Y886" i="2" s="1"/>
  <c r="Z886" i="2" s="1"/>
  <c r="X597" i="2"/>
  <c r="Y597" i="2" s="1"/>
  <c r="Z597" i="2" s="1"/>
  <c r="X34" i="2"/>
  <c r="Y34" i="2" s="1"/>
  <c r="Z34" i="2" s="1"/>
  <c r="X20" i="2"/>
  <c r="Y20" i="2" s="1"/>
  <c r="Z20" i="2" s="1"/>
  <c r="X937" i="2"/>
  <c r="Y937" i="2" s="1"/>
  <c r="Z937" i="2" s="1"/>
  <c r="V357" i="2"/>
  <c r="V402" i="2" s="1"/>
  <c r="V732" i="2" s="1"/>
  <c r="X491" i="2"/>
  <c r="Y491" i="2" s="1"/>
  <c r="Z491" i="2" s="1"/>
  <c r="G658" i="2"/>
  <c r="D45" i="14" s="1"/>
  <c r="G45" i="14" s="1"/>
  <c r="J72" i="2"/>
  <c r="J117" i="2" s="1"/>
  <c r="O243" i="2"/>
  <c r="O288" i="2" s="1"/>
  <c r="X78" i="2"/>
  <c r="Y78" i="2" s="1"/>
  <c r="Z78" i="2" s="1"/>
  <c r="G243" i="2"/>
  <c r="G288" i="2" s="1"/>
  <c r="R72" i="2"/>
  <c r="X394" i="2"/>
  <c r="Y394" i="2" s="1"/>
  <c r="Z394" i="2" s="1"/>
  <c r="V591" i="2"/>
  <c r="V636" i="2" s="1"/>
  <c r="V768" i="2" s="1"/>
  <c r="P529" i="2"/>
  <c r="F30" i="26" s="1"/>
  <c r="I35" i="21"/>
  <c r="X192" i="2"/>
  <c r="Y192" i="2" s="1"/>
  <c r="Z192" i="2" s="1"/>
  <c r="K129" i="2"/>
  <c r="K174" i="2" s="1"/>
  <c r="K960" i="2" s="1"/>
  <c r="K785" i="2" s="1"/>
  <c r="K800" i="2" s="1"/>
  <c r="T414" i="2"/>
  <c r="T459" i="2" s="1"/>
  <c r="T677" i="2" s="1"/>
  <c r="T733" i="2" s="1"/>
  <c r="I471" i="2"/>
  <c r="I516" i="2" s="1"/>
  <c r="I678" i="2" s="1"/>
  <c r="X439" i="2"/>
  <c r="Y439" i="2" s="1"/>
  <c r="Z439" i="2" s="1"/>
  <c r="K471" i="2"/>
  <c r="K516" i="2" s="1"/>
  <c r="N529" i="2"/>
  <c r="F30" i="21" s="1"/>
  <c r="U591" i="2"/>
  <c r="U636" i="2" s="1"/>
  <c r="U708" i="2" s="1"/>
  <c r="N14" i="2"/>
  <c r="K591" i="2"/>
  <c r="K636" i="2" s="1"/>
  <c r="U129" i="2"/>
  <c r="U174" i="2" s="1"/>
  <c r="U688" i="2" s="1"/>
  <c r="F20" i="33" s="1"/>
  <c r="T129" i="2"/>
  <c r="T174" i="2" s="1"/>
  <c r="T688" i="2" s="1"/>
  <c r="F19" i="33" s="1"/>
  <c r="V129" i="2"/>
  <c r="R529" i="2"/>
  <c r="R574" i="2" s="1"/>
  <c r="R679" i="2" s="1"/>
  <c r="R735" i="2" s="1"/>
  <c r="T243" i="2"/>
  <c r="T288" i="2" s="1"/>
  <c r="I591" i="2"/>
  <c r="I636" i="2" s="1"/>
  <c r="Q529" i="2"/>
  <c r="Q574" i="2" s="1"/>
  <c r="Q679" i="2" s="1"/>
  <c r="Q735" i="2" s="1"/>
  <c r="J357" i="2"/>
  <c r="T529" i="2"/>
  <c r="T574" i="2" s="1"/>
  <c r="T679" i="2" s="1"/>
  <c r="T735" i="2" s="1"/>
  <c r="M300" i="2"/>
  <c r="E29" i="20" s="1"/>
  <c r="K29" i="20" s="1"/>
  <c r="J129" i="2"/>
  <c r="J174" i="2" s="1"/>
  <c r="D14" i="32" s="1"/>
  <c r="J243" i="2"/>
  <c r="J288" i="2" s="1"/>
  <c r="X280" i="2"/>
  <c r="Y280" i="2" s="1"/>
  <c r="Z280" i="2" s="1"/>
  <c r="T357" i="2"/>
  <c r="T402" i="2" s="1"/>
  <c r="T676" i="2" s="1"/>
  <c r="I14" i="2"/>
  <c r="I59" i="2" s="1"/>
  <c r="X297" i="2"/>
  <c r="Y297" i="2" s="1"/>
  <c r="Z297" i="2" s="1"/>
  <c r="K414" i="2"/>
  <c r="K459" i="2" s="1"/>
  <c r="K677" i="2" s="1"/>
  <c r="K733" i="2" s="1"/>
  <c r="K14" i="2"/>
  <c r="X206" i="2"/>
  <c r="Y206" i="2" s="1"/>
  <c r="Z206" i="2" s="1"/>
  <c r="G529" i="2"/>
  <c r="G574" i="2" s="1"/>
  <c r="G923" i="2"/>
  <c r="G160" i="2" s="1"/>
  <c r="I14" i="14" s="1"/>
  <c r="H35" i="14" s="1"/>
  <c r="X922" i="2"/>
  <c r="Y922" i="2" s="1"/>
  <c r="Z922" i="2" s="1"/>
  <c r="X397" i="2"/>
  <c r="Y397" i="2" s="1"/>
  <c r="Z397" i="2" s="1"/>
  <c r="S471" i="2"/>
  <c r="S516" i="2" s="1"/>
  <c r="S734" i="2" s="1"/>
  <c r="N243" i="2"/>
  <c r="N288" i="2" s="1"/>
  <c r="U529" i="2"/>
  <c r="U574" i="2" s="1"/>
  <c r="U679" i="2" s="1"/>
  <c r="U735" i="2" s="1"/>
  <c r="X505" i="2"/>
  <c r="Y505" i="2" s="1"/>
  <c r="Z505" i="2" s="1"/>
  <c r="X183" i="2"/>
  <c r="Y183" i="2" s="1"/>
  <c r="Z183" i="2" s="1"/>
  <c r="T72" i="2"/>
  <c r="T117" i="2" s="1"/>
  <c r="I72" i="2"/>
  <c r="I117" i="2" s="1"/>
  <c r="G471" i="2"/>
  <c r="G516" i="2" s="1"/>
  <c r="J300" i="2"/>
  <c r="E29" i="32" s="1"/>
  <c r="K29" i="32" s="1"/>
  <c r="U471" i="2"/>
  <c r="U516" i="2" s="1"/>
  <c r="U678" i="2" s="1"/>
  <c r="X631" i="2"/>
  <c r="Y631" i="2" s="1"/>
  <c r="Z631" i="2" s="1"/>
  <c r="X508" i="2"/>
  <c r="Y508" i="2" s="1"/>
  <c r="Z508" i="2" s="1"/>
  <c r="X355" i="2"/>
  <c r="Y355" i="2" s="1"/>
  <c r="Z355" i="2" s="1"/>
  <c r="X128" i="2"/>
  <c r="Y128" i="2" s="1"/>
  <c r="Z128" i="2" s="1"/>
  <c r="K529" i="2"/>
  <c r="K574" i="2" s="1"/>
  <c r="K679" i="2" s="1"/>
  <c r="K735" i="2" s="1"/>
  <c r="X566" i="2"/>
  <c r="Y566" i="2" s="1"/>
  <c r="Z566" i="2" s="1"/>
  <c r="U72" i="2"/>
  <c r="U117" i="2" s="1"/>
  <c r="X563" i="2"/>
  <c r="Y563" i="2" s="1"/>
  <c r="Z563" i="2" s="1"/>
  <c r="S14" i="2"/>
  <c r="S754" i="2" s="1"/>
  <c r="X223" i="2"/>
  <c r="Y223" i="2" s="1"/>
  <c r="Z223" i="2" s="1"/>
  <c r="X70" i="2"/>
  <c r="Y70" i="2" s="1"/>
  <c r="Z70" i="2" s="1"/>
  <c r="X451" i="2"/>
  <c r="Y451" i="2" s="1"/>
  <c r="Z451" i="2" s="1"/>
  <c r="T471" i="2"/>
  <c r="T516" i="2" s="1"/>
  <c r="T591" i="2"/>
  <c r="T636" i="2" s="1"/>
  <c r="T768" i="2" s="1"/>
  <c r="X12" i="2"/>
  <c r="Y12" i="2" s="1"/>
  <c r="Z12" i="2" s="1"/>
  <c r="I243" i="2"/>
  <c r="I288" i="2" s="1"/>
  <c r="K243" i="2"/>
  <c r="K288" i="2" s="1"/>
  <c r="K357" i="2"/>
  <c r="K402" i="2" s="1"/>
  <c r="K676" i="2" s="1"/>
  <c r="T186" i="2"/>
  <c r="X400" i="2"/>
  <c r="Y400" i="2" s="1"/>
  <c r="Z400" i="2" s="1"/>
  <c r="T300" i="2"/>
  <c r="T345" i="2" s="1"/>
  <c r="T675" i="2" s="1"/>
  <c r="X434" i="2"/>
  <c r="Y434" i="2" s="1"/>
  <c r="Z434" i="2" s="1"/>
  <c r="S529" i="2"/>
  <c r="M529" i="2"/>
  <c r="I357" i="2"/>
  <c r="I402" i="2" s="1"/>
  <c r="X13" i="2"/>
  <c r="Y13" i="2" s="1"/>
  <c r="Z13" i="2" s="1"/>
  <c r="X527" i="2"/>
  <c r="Y527" i="2" s="1"/>
  <c r="Z527" i="2" s="1"/>
  <c r="K738" i="2"/>
  <c r="D31" i="17" s="1"/>
  <c r="E31" i="17" s="1"/>
  <c r="K31" i="17" s="1"/>
  <c r="L31" i="17" s="1"/>
  <c r="S738" i="2"/>
  <c r="I35" i="32"/>
  <c r="K43" i="25"/>
  <c r="L43" i="25" s="1"/>
  <c r="X286" i="2"/>
  <c r="Y286" i="2" s="1"/>
  <c r="Z286" i="2" s="1"/>
  <c r="X470" i="2"/>
  <c r="Y470" i="2" s="1"/>
  <c r="Z470" i="2" s="1"/>
  <c r="X184" i="2"/>
  <c r="Y184" i="2" s="1"/>
  <c r="Z184" i="2" s="1"/>
  <c r="G186" i="2"/>
  <c r="F14" i="14"/>
  <c r="X126" i="2"/>
  <c r="Y126" i="2" s="1"/>
  <c r="Z126" i="2" s="1"/>
  <c r="X343" i="2"/>
  <c r="Y343" i="2" s="1"/>
  <c r="Z343" i="2" s="1"/>
  <c r="X944" i="2"/>
  <c r="Y944" i="2" s="1"/>
  <c r="Z944" i="2" s="1"/>
  <c r="G445" i="2"/>
  <c r="E43" i="14"/>
  <c r="G30" i="14"/>
  <c r="X420" i="2"/>
  <c r="Y420" i="2" s="1"/>
  <c r="Z420" i="2" s="1"/>
  <c r="X185" i="2"/>
  <c r="Y185" i="2" s="1"/>
  <c r="Z185" i="2" s="1"/>
  <c r="K43" i="27"/>
  <c r="L43" i="27" s="1"/>
  <c r="I28" i="14"/>
  <c r="M471" i="2"/>
  <c r="V529" i="2"/>
  <c r="V574" i="2" s="1"/>
  <c r="V679" i="2" s="1"/>
  <c r="V735" i="2" s="1"/>
  <c r="V243" i="2"/>
  <c r="V288" i="2" s="1"/>
  <c r="V414" i="2"/>
  <c r="V459" i="2" s="1"/>
  <c r="V677" i="2" s="1"/>
  <c r="V733" i="2" s="1"/>
  <c r="I129" i="2"/>
  <c r="I174" i="2" s="1"/>
  <c r="X634" i="2"/>
  <c r="Y634" i="2" s="1"/>
  <c r="Z634" i="2" s="1"/>
  <c r="K43" i="20"/>
  <c r="L43" i="20" s="1"/>
  <c r="X879" i="2"/>
  <c r="Y879" i="2" s="1"/>
  <c r="Z879" i="2" s="1"/>
  <c r="G880" i="2"/>
  <c r="K43" i="19"/>
  <c r="L43" i="19" s="1"/>
  <c r="X900" i="2"/>
  <c r="Y900" i="2" s="1"/>
  <c r="Z900" i="2" s="1"/>
  <c r="G901" i="2"/>
  <c r="X391" i="2"/>
  <c r="Y391" i="2" s="1"/>
  <c r="Z391" i="2" s="1"/>
  <c r="X283" i="2"/>
  <c r="Y283" i="2" s="1"/>
  <c r="Z283" i="2" s="1"/>
  <c r="X340" i="2"/>
  <c r="Y340" i="2" s="1"/>
  <c r="Z340" i="2" s="1"/>
  <c r="X334" i="2"/>
  <c r="Y334" i="2" s="1"/>
  <c r="Z334" i="2" s="1"/>
  <c r="X149" i="2"/>
  <c r="Y149" i="2" s="1"/>
  <c r="Z149" i="2" s="1"/>
  <c r="X242" i="2"/>
  <c r="Y242" i="2" s="1"/>
  <c r="Z242" i="2" s="1"/>
  <c r="X457" i="2"/>
  <c r="Y457" i="2" s="1"/>
  <c r="Z457" i="2" s="1"/>
  <c r="X229" i="2"/>
  <c r="Y229" i="2" s="1"/>
  <c r="Z229" i="2" s="1"/>
  <c r="X127" i="2"/>
  <c r="Y127" i="2" s="1"/>
  <c r="Z127" i="2" s="1"/>
  <c r="X413" i="2"/>
  <c r="Y413" i="2" s="1"/>
  <c r="Z413" i="2" s="1"/>
  <c r="X588" i="2"/>
  <c r="Y588" i="2" s="1"/>
  <c r="Z588" i="2" s="1"/>
  <c r="X11" i="2"/>
  <c r="Y11" i="2" s="1"/>
  <c r="Z11" i="2" s="1"/>
  <c r="X514" i="2"/>
  <c r="Y514" i="2" s="1"/>
  <c r="Z514" i="2" s="1"/>
  <c r="X412" i="2"/>
  <c r="Y412" i="2" s="1"/>
  <c r="Z412" i="2" s="1"/>
  <c r="I738" i="2"/>
  <c r="D31" i="27" s="1"/>
  <c r="E31" i="27" s="1"/>
  <c r="K31" i="27" s="1"/>
  <c r="L31" i="27" s="1"/>
  <c r="X866" i="2"/>
  <c r="Y866" i="2" s="1"/>
  <c r="Z866" i="2" s="1"/>
  <c r="G8" i="2"/>
  <c r="K14" i="21"/>
  <c r="X69" i="2"/>
  <c r="Y69" i="2" s="1"/>
  <c r="Z69" i="2" s="1"/>
  <c r="H35" i="32"/>
  <c r="S243" i="2"/>
  <c r="S288" i="2" s="1"/>
  <c r="U357" i="2"/>
  <c r="U402" i="2" s="1"/>
  <c r="V471" i="2"/>
  <c r="V516" i="2" s="1"/>
  <c r="X411" i="2"/>
  <c r="Y411" i="2" s="1"/>
  <c r="Z411" i="2" s="1"/>
  <c r="I414" i="2"/>
  <c r="X356" i="2"/>
  <c r="Y356" i="2" s="1"/>
  <c r="Z356" i="2" s="1"/>
  <c r="I35" i="27"/>
  <c r="N738" i="2"/>
  <c r="D31" i="21" s="1"/>
  <c r="E31" i="21" s="1"/>
  <c r="K31" i="21" s="1"/>
  <c r="L31" i="21" s="1"/>
  <c r="X628" i="2"/>
  <c r="Y628" i="2" s="1"/>
  <c r="Z628" i="2" s="1"/>
  <c r="X337" i="2"/>
  <c r="Y337" i="2" s="1"/>
  <c r="Z337" i="2" s="1"/>
  <c r="X569" i="2"/>
  <c r="Y569" i="2" s="1"/>
  <c r="Z569" i="2" s="1"/>
  <c r="X320" i="2"/>
  <c r="Y320" i="2" s="1"/>
  <c r="Z320" i="2" s="1"/>
  <c r="X277" i="2"/>
  <c r="Y277" i="2" s="1"/>
  <c r="Z277" i="2" s="1"/>
  <c r="X909" i="2"/>
  <c r="Y909" i="2" s="1"/>
  <c r="Z909" i="2" s="1"/>
  <c r="G45" i="2"/>
  <c r="X299" i="2"/>
  <c r="Y299" i="2" s="1"/>
  <c r="Z299" i="2" s="1"/>
  <c r="X625" i="2"/>
  <c r="Y625" i="2" s="1"/>
  <c r="Z625" i="2" s="1"/>
  <c r="X325" i="2"/>
  <c r="Y325" i="2" s="1"/>
  <c r="Z325" i="2" s="1"/>
  <c r="X526" i="2"/>
  <c r="Y526" i="2" s="1"/>
  <c r="Z526" i="2" s="1"/>
  <c r="X468" i="2"/>
  <c r="Y468" i="2" s="1"/>
  <c r="Z468" i="2" s="1"/>
  <c r="X354" i="2"/>
  <c r="Y354" i="2" s="1"/>
  <c r="Z354" i="2" s="1"/>
  <c r="X590" i="2"/>
  <c r="Y590" i="2" s="1"/>
  <c r="Z590" i="2" s="1"/>
  <c r="X589" i="2"/>
  <c r="Y589" i="2" s="1"/>
  <c r="Z589" i="2" s="1"/>
  <c r="W186" i="2"/>
  <c r="X916" i="2"/>
  <c r="Y916" i="2" s="1"/>
  <c r="Z916" i="2" s="1"/>
  <c r="G103" i="2"/>
  <c r="G591" i="2"/>
  <c r="K14" i="32"/>
  <c r="J28" i="14"/>
  <c r="P357" i="2"/>
  <c r="P402" i="2" s="1"/>
  <c r="M243" i="2"/>
  <c r="M288" i="2" s="1"/>
  <c r="N72" i="2"/>
  <c r="N117" i="2" s="1"/>
  <c r="I529" i="2"/>
  <c r="X241" i="2"/>
  <c r="Y241" i="2" s="1"/>
  <c r="Z241" i="2" s="1"/>
  <c r="K72" i="2"/>
  <c r="K117" i="2" s="1"/>
  <c r="P738" i="2"/>
  <c r="D31" i="26" s="1"/>
  <c r="E31" i="26" s="1"/>
  <c r="K31" i="26" s="1"/>
  <c r="L31" i="26" s="1"/>
  <c r="H35" i="27"/>
  <c r="G14" i="14"/>
  <c r="X135" i="2"/>
  <c r="Y135" i="2" s="1"/>
  <c r="Z135" i="2" s="1"/>
  <c r="X454" i="2"/>
  <c r="Y454" i="2" s="1"/>
  <c r="Z454" i="2" s="1"/>
  <c r="X511" i="2"/>
  <c r="Y511" i="2" s="1"/>
  <c r="Z511" i="2" s="1"/>
  <c r="X469" i="2"/>
  <c r="Y469" i="2" s="1"/>
  <c r="Z469" i="2" s="1"/>
  <c r="X220" i="2"/>
  <c r="Y220" i="2" s="1"/>
  <c r="Z220" i="2" s="1"/>
  <c r="K43" i="17"/>
  <c r="L43" i="17" s="1"/>
  <c r="X448" i="2"/>
  <c r="Y448" i="2" s="1"/>
  <c r="Z448" i="2" s="1"/>
  <c r="X893" i="2"/>
  <c r="Y893" i="2" s="1"/>
  <c r="Z893" i="2" s="1"/>
  <c r="G894" i="2"/>
  <c r="X528" i="2"/>
  <c r="Y528" i="2" s="1"/>
  <c r="Z528" i="2" s="1"/>
  <c r="X298" i="2"/>
  <c r="Y298" i="2" s="1"/>
  <c r="Z298" i="2" s="1"/>
  <c r="X71" i="2"/>
  <c r="Y71" i="2" s="1"/>
  <c r="Z71" i="2" s="1"/>
  <c r="G72" i="2"/>
  <c r="X240" i="2"/>
  <c r="Y240" i="2" s="1"/>
  <c r="Z240" i="2" s="1"/>
  <c r="G29" i="14"/>
  <c r="X306" i="2"/>
  <c r="Y306" i="2" s="1"/>
  <c r="Z306" i="2" s="1"/>
  <c r="K14" i="19"/>
  <c r="X572" i="2"/>
  <c r="Y572" i="2" s="1"/>
  <c r="Z572" i="2" s="1"/>
  <c r="K44" i="14"/>
  <c r="L44" i="14" s="1"/>
  <c r="X930" i="2"/>
  <c r="Y930" i="2" s="1"/>
  <c r="Z930" i="2" s="1"/>
  <c r="I300" i="2"/>
  <c r="K43" i="26"/>
  <c r="L43" i="26" s="1"/>
  <c r="K43" i="32"/>
  <c r="L43" i="32" s="1"/>
  <c r="G357" i="2"/>
  <c r="R738" i="2" l="1"/>
  <c r="R740" i="2"/>
  <c r="T738" i="2"/>
  <c r="T740" i="2"/>
  <c r="H749" i="2"/>
  <c r="R14" i="2"/>
  <c r="R59" i="2" s="1"/>
  <c r="H745" i="2"/>
  <c r="H766" i="2" s="1"/>
  <c r="H772" i="2" s="1"/>
  <c r="M14" i="2"/>
  <c r="M754" i="2" s="1"/>
  <c r="K28" i="25"/>
  <c r="J738" i="2"/>
  <c r="D31" i="32" s="1"/>
  <c r="E31" i="32" s="1"/>
  <c r="K31" i="32" s="1"/>
  <c r="L31" i="32" s="1"/>
  <c r="L738" i="2"/>
  <c r="D31" i="19" s="1"/>
  <c r="E31" i="19" s="1"/>
  <c r="K31" i="19" s="1"/>
  <c r="L31" i="19" s="1"/>
  <c r="Q738" i="2"/>
  <c r="K28" i="21"/>
  <c r="P186" i="2"/>
  <c r="P231" i="2" s="1"/>
  <c r="P966" i="2" s="1"/>
  <c r="P756" i="2" s="1"/>
  <c r="O738" i="2"/>
  <c r="D31" i="25" s="1"/>
  <c r="E31" i="25" s="1"/>
  <c r="K31" i="25" s="1"/>
  <c r="L31" i="25" s="1"/>
  <c r="S174" i="2"/>
  <c r="S960" i="2" s="1"/>
  <c r="S785" i="2" s="1"/>
  <c r="S800" i="2" s="1"/>
  <c r="V117" i="2"/>
  <c r="V717" i="2"/>
  <c r="V725" i="2" s="1"/>
  <c r="C45" i="33" s="1"/>
  <c r="V174" i="2"/>
  <c r="V688" i="2" s="1"/>
  <c r="F21" i="33" s="1"/>
  <c r="P129" i="2"/>
  <c r="P174" i="2" s="1"/>
  <c r="P960" i="2" s="1"/>
  <c r="P785" i="2" s="1"/>
  <c r="P800" i="2" s="1"/>
  <c r="J14" i="2"/>
  <c r="J59" i="2" s="1"/>
  <c r="M738" i="2"/>
  <c r="D31" i="20" s="1"/>
  <c r="E31" i="20" s="1"/>
  <c r="K31" i="20" s="1"/>
  <c r="L31" i="20" s="1"/>
  <c r="U459" i="2"/>
  <c r="U677" i="2" s="1"/>
  <c r="U733" i="2" s="1"/>
  <c r="P117" i="2"/>
  <c r="Q174" i="2"/>
  <c r="Q960" i="2" s="1"/>
  <c r="Q785" i="2" s="1"/>
  <c r="Q800" i="2" s="1"/>
  <c r="C21" i="33"/>
  <c r="O459" i="2"/>
  <c r="O677" i="2" s="1"/>
  <c r="O733" i="2" s="1"/>
  <c r="D30" i="25" s="1"/>
  <c r="O129" i="2"/>
  <c r="O174" i="2" s="1"/>
  <c r="J28" i="20"/>
  <c r="K28" i="20" s="1"/>
  <c r="R117" i="2"/>
  <c r="V345" i="2"/>
  <c r="V675" i="2" s="1"/>
  <c r="K14" i="25"/>
  <c r="I35" i="25"/>
  <c r="K35" i="25" s="1"/>
  <c r="L35" i="25" s="1"/>
  <c r="K29" i="21"/>
  <c r="I35" i="20"/>
  <c r="K35" i="20" s="1"/>
  <c r="L35" i="20" s="1"/>
  <c r="J28" i="32"/>
  <c r="Q14" i="2"/>
  <c r="Q59" i="2" s="1"/>
  <c r="J28" i="26"/>
  <c r="K28" i="26" s="1"/>
  <c r="X331" i="2"/>
  <c r="Y331" i="2" s="1"/>
  <c r="Z331" i="2" s="1"/>
  <c r="K14" i="20"/>
  <c r="X66" i="2"/>
  <c r="Y66" i="2" s="1"/>
  <c r="Z66" i="2" s="1"/>
  <c r="R459" i="2"/>
  <c r="R677" i="2" s="1"/>
  <c r="R733" i="2" s="1"/>
  <c r="U754" i="2"/>
  <c r="X217" i="2"/>
  <c r="Y217" i="2" s="1"/>
  <c r="Z217" i="2" s="1"/>
  <c r="T14" i="2"/>
  <c r="T754" i="2" s="1"/>
  <c r="L231" i="2"/>
  <c r="L966" i="2" s="1"/>
  <c r="X103" i="2"/>
  <c r="Y103" i="2" s="1"/>
  <c r="Z103" i="2" s="1"/>
  <c r="X45" i="2"/>
  <c r="Y45" i="2" s="1"/>
  <c r="Z45" i="2" s="1"/>
  <c r="Q72" i="2"/>
  <c r="Q117" i="2" s="1"/>
  <c r="M186" i="2"/>
  <c r="M117" i="2"/>
  <c r="O14" i="2"/>
  <c r="P754" i="2" s="1"/>
  <c r="L14" i="2"/>
  <c r="L59" i="2" s="1"/>
  <c r="K59" i="2"/>
  <c r="M129" i="2"/>
  <c r="M174" i="2" s="1"/>
  <c r="M688" i="2" s="1"/>
  <c r="F12" i="33" s="1"/>
  <c r="U738" i="2"/>
  <c r="N754" i="2"/>
  <c r="W755" i="2"/>
  <c r="W754" i="2"/>
  <c r="J180" i="2"/>
  <c r="K180" i="2"/>
  <c r="X226" i="2"/>
  <c r="Y226" i="2" s="1"/>
  <c r="Z226" i="2" s="1"/>
  <c r="J28" i="19"/>
  <c r="K28" i="19" s="1"/>
  <c r="R798" i="2"/>
  <c r="R797" i="2"/>
  <c r="K797" i="2"/>
  <c r="K798" i="2"/>
  <c r="W231" i="2"/>
  <c r="W674" i="2" s="1"/>
  <c r="V231" i="2"/>
  <c r="V674" i="2" s="1"/>
  <c r="S231" i="2"/>
  <c r="S966" i="2" s="1"/>
  <c r="U231" i="2"/>
  <c r="U730" i="2" s="1"/>
  <c r="R231" i="2"/>
  <c r="R730" i="2" s="1"/>
  <c r="Q231" i="2"/>
  <c r="Q674" i="2" s="1"/>
  <c r="N231" i="2"/>
  <c r="N730" i="2" s="1"/>
  <c r="O231" i="2"/>
  <c r="O966" i="2" s="1"/>
  <c r="T231" i="2"/>
  <c r="T674" i="2" s="1"/>
  <c r="I231" i="2"/>
  <c r="I674" i="2" s="1"/>
  <c r="W459" i="2"/>
  <c r="W677" i="2" s="1"/>
  <c r="W733" i="2" s="1"/>
  <c r="W59" i="2"/>
  <c r="W781" i="2"/>
  <c r="W789" i="2" s="1"/>
  <c r="C72" i="33" s="1"/>
  <c r="R657" i="2"/>
  <c r="R669" i="2" s="1"/>
  <c r="R754" i="2"/>
  <c r="O345" i="2"/>
  <c r="K35" i="26"/>
  <c r="L35" i="26" s="1"/>
  <c r="O574" i="2"/>
  <c r="O679" i="2" s="1"/>
  <c r="O735" i="2" s="1"/>
  <c r="L574" i="2"/>
  <c r="L679" i="2" s="1"/>
  <c r="L735" i="2" s="1"/>
  <c r="P345" i="2"/>
  <c r="E30" i="32"/>
  <c r="K30" i="32" s="1"/>
  <c r="I35" i="14"/>
  <c r="K35" i="14" s="1"/>
  <c r="L35" i="14" s="1"/>
  <c r="N574" i="2"/>
  <c r="N679" i="2" s="1"/>
  <c r="N735" i="2" s="1"/>
  <c r="N960" i="2"/>
  <c r="N785" i="2" s="1"/>
  <c r="J574" i="2"/>
  <c r="J679" i="2" s="1"/>
  <c r="J735" i="2" s="1"/>
  <c r="M768" i="2"/>
  <c r="X658" i="2"/>
  <c r="Y658" i="2" s="1"/>
  <c r="Z658" i="2" s="1"/>
  <c r="K35" i="19"/>
  <c r="L35" i="19" s="1"/>
  <c r="L676" i="2"/>
  <c r="K35" i="17"/>
  <c r="L35" i="17" s="1"/>
  <c r="L345" i="2"/>
  <c r="E30" i="19"/>
  <c r="K30" i="19" s="1"/>
  <c r="K35" i="21"/>
  <c r="L35" i="21" s="1"/>
  <c r="Q676" i="2"/>
  <c r="J402" i="2"/>
  <c r="J732" i="2" s="1"/>
  <c r="W764" i="2"/>
  <c r="E30" i="25"/>
  <c r="K30" i="25" s="1"/>
  <c r="O732" i="2"/>
  <c r="R688" i="2"/>
  <c r="U59" i="2"/>
  <c r="Q768" i="2"/>
  <c r="T960" i="2"/>
  <c r="L960" i="2"/>
  <c r="L785" i="2" s="1"/>
  <c r="D14" i="19"/>
  <c r="L14" i="19" s="1"/>
  <c r="L688" i="2"/>
  <c r="F30" i="14"/>
  <c r="E30" i="21"/>
  <c r="K30" i="21" s="1"/>
  <c r="N678" i="2"/>
  <c r="N734" i="2"/>
  <c r="D30" i="21" s="1"/>
  <c r="W731" i="2"/>
  <c r="S708" i="2"/>
  <c r="W678" i="2"/>
  <c r="N345" i="2"/>
  <c r="M345" i="2"/>
  <c r="K732" i="2"/>
  <c r="O678" i="2"/>
  <c r="I734" i="2"/>
  <c r="N676" i="2"/>
  <c r="R732" i="2"/>
  <c r="I754" i="2"/>
  <c r="W768" i="2"/>
  <c r="V708" i="2"/>
  <c r="V770" i="2" s="1"/>
  <c r="D14" i="21"/>
  <c r="I15" i="21" s="1"/>
  <c r="I16" i="21" s="1"/>
  <c r="N708" i="2"/>
  <c r="N770" i="2" s="1"/>
  <c r="K345" i="2"/>
  <c r="K731" i="2" s="1"/>
  <c r="D29" i="17" s="1"/>
  <c r="P574" i="2"/>
  <c r="P679" i="2" s="1"/>
  <c r="P735" i="2" s="1"/>
  <c r="T732" i="2"/>
  <c r="P768" i="2"/>
  <c r="K754" i="2"/>
  <c r="R708" i="2"/>
  <c r="R770" i="2" s="1"/>
  <c r="M676" i="2"/>
  <c r="M732" i="2"/>
  <c r="L678" i="2"/>
  <c r="W675" i="2"/>
  <c r="S59" i="2"/>
  <c r="K688" i="2"/>
  <c r="F30" i="17"/>
  <c r="D14" i="17"/>
  <c r="L14" i="17" s="1"/>
  <c r="T731" i="2"/>
  <c r="V676" i="2"/>
  <c r="D30" i="19"/>
  <c r="K678" i="2"/>
  <c r="K734" i="2"/>
  <c r="D30" i="17" s="1"/>
  <c r="X923" i="2"/>
  <c r="Y923" i="2" s="1"/>
  <c r="Z923" i="2" s="1"/>
  <c r="R755" i="2"/>
  <c r="U734" i="2"/>
  <c r="K28" i="14"/>
  <c r="W732" i="2"/>
  <c r="H15" i="32"/>
  <c r="H16" i="32" s="1"/>
  <c r="I15" i="32"/>
  <c r="I16" i="32" s="1"/>
  <c r="R675" i="2"/>
  <c r="N59" i="2"/>
  <c r="L708" i="2"/>
  <c r="L770" i="2" s="1"/>
  <c r="J688" i="2"/>
  <c r="R678" i="2"/>
  <c r="J960" i="2"/>
  <c r="J785" i="2" s="1"/>
  <c r="U768" i="2"/>
  <c r="S678" i="2"/>
  <c r="E30" i="17"/>
  <c r="K768" i="2"/>
  <c r="K708" i="2"/>
  <c r="Q675" i="2"/>
  <c r="J345" i="2"/>
  <c r="Q731" i="2"/>
  <c r="O708" i="2"/>
  <c r="D22" i="25" s="1"/>
  <c r="T708" i="2"/>
  <c r="T770" i="2" s="1"/>
  <c r="X243" i="2"/>
  <c r="Y243" i="2" s="1"/>
  <c r="Z243" i="2" s="1"/>
  <c r="E30" i="26"/>
  <c r="K30" i="26" s="1"/>
  <c r="X160" i="2"/>
  <c r="Y160" i="2" s="1"/>
  <c r="Z160" i="2" s="1"/>
  <c r="S574" i="2"/>
  <c r="S679" i="2" s="1"/>
  <c r="S735" i="2" s="1"/>
  <c r="S459" i="2"/>
  <c r="S677" i="2" s="1"/>
  <c r="S733" i="2" s="1"/>
  <c r="X288" i="2"/>
  <c r="Y288" i="2" s="1"/>
  <c r="Z288" i="2" s="1"/>
  <c r="S345" i="2"/>
  <c r="T755" i="2" s="1"/>
  <c r="G117" i="2"/>
  <c r="K35" i="27"/>
  <c r="L35" i="27" s="1"/>
  <c r="X894" i="2"/>
  <c r="Y894" i="2" s="1"/>
  <c r="Z894" i="2" s="1"/>
  <c r="G294" i="2"/>
  <c r="I345" i="2"/>
  <c r="E29" i="27"/>
  <c r="L14" i="32"/>
  <c r="V734" i="2"/>
  <c r="V678" i="2"/>
  <c r="J768" i="2"/>
  <c r="J708" i="2"/>
  <c r="K29" i="25"/>
  <c r="I960" i="2"/>
  <c r="I785" i="2" s="1"/>
  <c r="D14" i="27"/>
  <c r="I688" i="2"/>
  <c r="F8" i="33" s="1"/>
  <c r="M516" i="2"/>
  <c r="X516" i="2" s="1"/>
  <c r="Y516" i="2" s="1"/>
  <c r="Z516" i="2" s="1"/>
  <c r="E30" i="20"/>
  <c r="K45" i="14"/>
  <c r="L45" i="14" s="1"/>
  <c r="S732" i="2"/>
  <c r="S676" i="2"/>
  <c r="G679" i="2"/>
  <c r="D16" i="32"/>
  <c r="E15" i="32"/>
  <c r="F15" i="32"/>
  <c r="F16" i="32" s="1"/>
  <c r="J15" i="32"/>
  <c r="J16" i="32" s="1"/>
  <c r="G15" i="32"/>
  <c r="G16" i="32" s="1"/>
  <c r="G636" i="2"/>
  <c r="X591" i="2"/>
  <c r="Y591" i="2" s="1"/>
  <c r="Z591" i="2" s="1"/>
  <c r="X357" i="2"/>
  <c r="Y357" i="2" s="1"/>
  <c r="Z357" i="2" s="1"/>
  <c r="G402" i="2"/>
  <c r="I574" i="2"/>
  <c r="I679" i="2" s="1"/>
  <c r="I735" i="2" s="1"/>
  <c r="F30" i="27"/>
  <c r="P732" i="2"/>
  <c r="P676" i="2"/>
  <c r="I768" i="2"/>
  <c r="I708" i="2"/>
  <c r="T734" i="2"/>
  <c r="T678" i="2"/>
  <c r="D22" i="20"/>
  <c r="K35" i="32"/>
  <c r="L35" i="32" s="1"/>
  <c r="X8" i="2"/>
  <c r="Y8" i="2" s="1"/>
  <c r="Z8" i="2" s="1"/>
  <c r="G962" i="2"/>
  <c r="G740" i="2" s="1"/>
  <c r="G14" i="2"/>
  <c r="K43" i="14"/>
  <c r="L43" i="14" s="1"/>
  <c r="F30" i="20"/>
  <c r="M574" i="2"/>
  <c r="M679" i="2" s="1"/>
  <c r="M735" i="2" s="1"/>
  <c r="X529" i="2"/>
  <c r="Y529" i="2" s="1"/>
  <c r="Z529" i="2" s="1"/>
  <c r="K29" i="17"/>
  <c r="T753" i="2"/>
  <c r="J734" i="2"/>
  <c r="D30" i="32" s="1"/>
  <c r="J678" i="2"/>
  <c r="G734" i="2"/>
  <c r="G678" i="2"/>
  <c r="Q734" i="2"/>
  <c r="Q678" i="2"/>
  <c r="G408" i="2"/>
  <c r="X901" i="2"/>
  <c r="Y901" i="2" s="1"/>
  <c r="Z901" i="2" s="1"/>
  <c r="X880" i="2"/>
  <c r="Y880" i="2" s="1"/>
  <c r="Z880" i="2" s="1"/>
  <c r="G123" i="2"/>
  <c r="I732" i="2"/>
  <c r="I676" i="2"/>
  <c r="U753" i="2"/>
  <c r="D22" i="26"/>
  <c r="X471" i="2"/>
  <c r="Y471" i="2" s="1"/>
  <c r="Z471" i="2" s="1"/>
  <c r="I459" i="2"/>
  <c r="I677" i="2" s="1"/>
  <c r="I733" i="2" s="1"/>
  <c r="E30" i="27"/>
  <c r="V754" i="2"/>
  <c r="V59" i="2"/>
  <c r="U345" i="2"/>
  <c r="U676" i="2"/>
  <c r="U732" i="2"/>
  <c r="P734" i="2"/>
  <c r="D30" i="26" s="1"/>
  <c r="P678" i="2"/>
  <c r="X445" i="2"/>
  <c r="Y445" i="2" s="1"/>
  <c r="Z445" i="2" s="1"/>
  <c r="I30" i="14"/>
  <c r="G231" i="2"/>
  <c r="N753" i="2"/>
  <c r="X740" i="2" l="1"/>
  <c r="Y740" i="2" s="1"/>
  <c r="Z740" i="2" s="1"/>
  <c r="O754" i="2"/>
  <c r="S730" i="2"/>
  <c r="M59" i="2"/>
  <c r="H794" i="2"/>
  <c r="D31" i="33"/>
  <c r="E31" i="33" s="1"/>
  <c r="G31" i="33" s="1"/>
  <c r="H751" i="2"/>
  <c r="H759" i="2" s="1"/>
  <c r="L674" i="2"/>
  <c r="Q688" i="2"/>
  <c r="Q753" i="2" s="1"/>
  <c r="V781" i="2"/>
  <c r="V789" i="2" s="1"/>
  <c r="C71" i="33" s="1"/>
  <c r="V764" i="2"/>
  <c r="L730" i="2"/>
  <c r="D28" i="19" s="1"/>
  <c r="Q657" i="2"/>
  <c r="Q669" i="2" s="1"/>
  <c r="C16" i="33" s="1"/>
  <c r="V753" i="2"/>
  <c r="V730" i="2"/>
  <c r="S657" i="2"/>
  <c r="S669" i="2" s="1"/>
  <c r="C18" i="33" s="1"/>
  <c r="S688" i="2"/>
  <c r="F18" i="33" s="1"/>
  <c r="W730" i="2"/>
  <c r="P688" i="2"/>
  <c r="F15" i="33" s="1"/>
  <c r="S798" i="2"/>
  <c r="S797" i="2"/>
  <c r="S674" i="2"/>
  <c r="D14" i="26"/>
  <c r="L14" i="26" s="1"/>
  <c r="Q754" i="2"/>
  <c r="P798" i="2"/>
  <c r="P797" i="2"/>
  <c r="P674" i="2"/>
  <c r="Q798" i="2"/>
  <c r="P730" i="2"/>
  <c r="D28" i="26" s="1"/>
  <c r="O730" i="2"/>
  <c r="D28" i="25" s="1"/>
  <c r="T59" i="2"/>
  <c r="V731" i="2"/>
  <c r="O674" i="2"/>
  <c r="O59" i="2"/>
  <c r="V755" i="2"/>
  <c r="J754" i="2"/>
  <c r="V966" i="2"/>
  <c r="V756" i="2" s="1"/>
  <c r="Q797" i="2"/>
  <c r="O688" i="2"/>
  <c r="D14" i="25"/>
  <c r="F15" i="25" s="1"/>
  <c r="F16" i="25" s="1"/>
  <c r="L754" i="2"/>
  <c r="I730" i="2"/>
  <c r="D28" i="27" s="1"/>
  <c r="T706" i="2"/>
  <c r="M231" i="2"/>
  <c r="I966" i="2"/>
  <c r="I756" i="2" s="1"/>
  <c r="N674" i="2"/>
  <c r="N966" i="2"/>
  <c r="N756" i="2" s="1"/>
  <c r="X72" i="2"/>
  <c r="Y72" i="2" s="1"/>
  <c r="Z72" i="2" s="1"/>
  <c r="M960" i="2"/>
  <c r="M785" i="2" s="1"/>
  <c r="M798" i="2" s="1"/>
  <c r="M753" i="2"/>
  <c r="X117" i="2"/>
  <c r="Y117" i="2" s="1"/>
  <c r="Z117" i="2" s="1"/>
  <c r="J755" i="2"/>
  <c r="T966" i="2"/>
  <c r="T756" i="2" s="1"/>
  <c r="T757" i="2" s="1"/>
  <c r="M755" i="2"/>
  <c r="P755" i="2"/>
  <c r="M770" i="2"/>
  <c r="U966" i="2"/>
  <c r="T730" i="2"/>
  <c r="U674" i="2"/>
  <c r="O960" i="2"/>
  <c r="O785" i="2" s="1"/>
  <c r="O800" i="2" s="1"/>
  <c r="D14" i="20"/>
  <c r="L14" i="20" s="1"/>
  <c r="K657" i="2"/>
  <c r="K669" i="2" s="1"/>
  <c r="C10" i="33" s="1"/>
  <c r="O756" i="2"/>
  <c r="U770" i="2"/>
  <c r="E28" i="32"/>
  <c r="K28" i="32" s="1"/>
  <c r="J186" i="2"/>
  <c r="X180" i="2"/>
  <c r="Y180" i="2" s="1"/>
  <c r="Z180" i="2" s="1"/>
  <c r="W770" i="2"/>
  <c r="P770" i="2"/>
  <c r="K770" i="2"/>
  <c r="W756" i="2"/>
  <c r="W757" i="2" s="1"/>
  <c r="F46" i="33" s="1"/>
  <c r="O755" i="2"/>
  <c r="Q730" i="2"/>
  <c r="S770" i="2"/>
  <c r="T785" i="2"/>
  <c r="T800" i="2" s="1"/>
  <c r="U657" i="2"/>
  <c r="U669" i="2" s="1"/>
  <c r="L755" i="2"/>
  <c r="Q755" i="2"/>
  <c r="E28" i="17"/>
  <c r="K28" i="17" s="1"/>
  <c r="K186" i="2"/>
  <c r="D36" i="17"/>
  <c r="D39" i="17" s="1"/>
  <c r="J797" i="2"/>
  <c r="J798" i="2"/>
  <c r="J800" i="2"/>
  <c r="L797" i="2"/>
  <c r="L798" i="2"/>
  <c r="L800" i="2"/>
  <c r="I798" i="2"/>
  <c r="I797" i="2"/>
  <c r="I800" i="2"/>
  <c r="N797" i="2"/>
  <c r="N798" i="2"/>
  <c r="N800" i="2"/>
  <c r="Q966" i="2"/>
  <c r="Q756" i="2" s="1"/>
  <c r="R966" i="2"/>
  <c r="R756" i="2" s="1"/>
  <c r="L675" i="2"/>
  <c r="R674" i="2"/>
  <c r="R706" i="2" s="1"/>
  <c r="F10" i="33"/>
  <c r="F11" i="33"/>
  <c r="F17" i="33"/>
  <c r="F9" i="33"/>
  <c r="R704" i="2"/>
  <c r="C17" i="33"/>
  <c r="P731" i="2"/>
  <c r="D29" i="26" s="1"/>
  <c r="L29" i="26" s="1"/>
  <c r="O675" i="2"/>
  <c r="R717" i="2"/>
  <c r="R725" i="2" s="1"/>
  <c r="I657" i="2"/>
  <c r="C49" i="25" s="1"/>
  <c r="J657" i="2"/>
  <c r="D46" i="32" s="1"/>
  <c r="J46" i="32" s="1"/>
  <c r="J47" i="32" s="1"/>
  <c r="T657" i="2"/>
  <c r="N657" i="2"/>
  <c r="D46" i="21" s="1"/>
  <c r="I46" i="21" s="1"/>
  <c r="I47" i="21" s="1"/>
  <c r="L657" i="2"/>
  <c r="D46" i="19" s="1"/>
  <c r="D47" i="19" s="1"/>
  <c r="O731" i="2"/>
  <c r="D29" i="25" s="1"/>
  <c r="L29" i="25" s="1"/>
  <c r="P675" i="2"/>
  <c r="D16" i="19"/>
  <c r="F15" i="19"/>
  <c r="F16" i="19" s="1"/>
  <c r="M675" i="2"/>
  <c r="F15" i="21"/>
  <c r="F16" i="21" s="1"/>
  <c r="L30" i="19"/>
  <c r="G15" i="17"/>
  <c r="G16" i="17" s="1"/>
  <c r="H15" i="19"/>
  <c r="H16" i="19" s="1"/>
  <c r="G15" i="19"/>
  <c r="G16" i="19" s="1"/>
  <c r="I15" i="19"/>
  <c r="I16" i="19" s="1"/>
  <c r="J676" i="2"/>
  <c r="L731" i="2"/>
  <c r="D29" i="19" s="1"/>
  <c r="L29" i="19" s="1"/>
  <c r="M731" i="2"/>
  <c r="D29" i="20" s="1"/>
  <c r="L29" i="20" s="1"/>
  <c r="O770" i="2"/>
  <c r="J15" i="19"/>
  <c r="J16" i="19" s="1"/>
  <c r="R753" i="2"/>
  <c r="L753" i="2"/>
  <c r="D22" i="19"/>
  <c r="E22" i="19" s="1"/>
  <c r="D30" i="27"/>
  <c r="E15" i="19"/>
  <c r="E16" i="19" s="1"/>
  <c r="K675" i="2"/>
  <c r="K755" i="2"/>
  <c r="H15" i="21"/>
  <c r="H16" i="21" s="1"/>
  <c r="L14" i="21"/>
  <c r="J731" i="2"/>
  <c r="D29" i="32" s="1"/>
  <c r="L29" i="32" s="1"/>
  <c r="D22" i="21"/>
  <c r="E22" i="21" s="1"/>
  <c r="N755" i="2"/>
  <c r="N731" i="2"/>
  <c r="D29" i="21" s="1"/>
  <c r="L29" i="21" s="1"/>
  <c r="N675" i="2"/>
  <c r="K30" i="17"/>
  <c r="L30" i="17" s="1"/>
  <c r="L30" i="25"/>
  <c r="F15" i="17"/>
  <c r="F16" i="17" s="1"/>
  <c r="I15" i="17"/>
  <c r="I16" i="17" s="1"/>
  <c r="Q706" i="2"/>
  <c r="J15" i="21"/>
  <c r="J16" i="21" s="1"/>
  <c r="D16" i="21"/>
  <c r="E15" i="17"/>
  <c r="E16" i="17" s="1"/>
  <c r="D16" i="17"/>
  <c r="G15" i="21"/>
  <c r="G16" i="21" s="1"/>
  <c r="H15" i="17"/>
  <c r="H16" i="17" s="1"/>
  <c r="J15" i="17"/>
  <c r="J16" i="17" s="1"/>
  <c r="E15" i="21"/>
  <c r="E16" i="21" s="1"/>
  <c r="K753" i="2"/>
  <c r="J753" i="2"/>
  <c r="V706" i="2"/>
  <c r="V710" i="2" s="1"/>
  <c r="J675" i="2"/>
  <c r="D22" i="17"/>
  <c r="K30" i="27"/>
  <c r="S675" i="2"/>
  <c r="S755" i="2"/>
  <c r="S731" i="2"/>
  <c r="G129" i="2"/>
  <c r="X123" i="2"/>
  <c r="Y123" i="2" s="1"/>
  <c r="Z123" i="2" s="1"/>
  <c r="E14" i="14"/>
  <c r="W706" i="2"/>
  <c r="W710" i="2" s="1"/>
  <c r="L30" i="32"/>
  <c r="X679" i="2"/>
  <c r="Y679" i="2" s="1"/>
  <c r="Z679" i="2" s="1"/>
  <c r="G735" i="2"/>
  <c r="X735" i="2" s="1"/>
  <c r="Y735" i="2" s="1"/>
  <c r="Z735" i="2" s="1"/>
  <c r="I753" i="2"/>
  <c r="K29" i="27"/>
  <c r="G730" i="2"/>
  <c r="G966" i="2"/>
  <c r="G674" i="2"/>
  <c r="X636" i="2"/>
  <c r="Y636" i="2" s="1"/>
  <c r="Z636" i="2" s="1"/>
  <c r="G768" i="2"/>
  <c r="G708" i="2"/>
  <c r="K15" i="32"/>
  <c r="E16" i="32"/>
  <c r="D16" i="27"/>
  <c r="E15" i="27"/>
  <c r="H15" i="27"/>
  <c r="H16" i="27" s="1"/>
  <c r="G15" i="27"/>
  <c r="G16" i="27" s="1"/>
  <c r="F15" i="27"/>
  <c r="F16" i="27" s="1"/>
  <c r="J15" i="27"/>
  <c r="J16" i="27" s="1"/>
  <c r="L14" i="27"/>
  <c r="I15" i="27"/>
  <c r="I16" i="27" s="1"/>
  <c r="I755" i="2"/>
  <c r="I675" i="2"/>
  <c r="I706" i="2" s="1"/>
  <c r="I731" i="2"/>
  <c r="D29" i="27" s="1"/>
  <c r="U755" i="2"/>
  <c r="U731" i="2"/>
  <c r="U675" i="2"/>
  <c r="X14" i="2"/>
  <c r="Y14" i="2" s="1"/>
  <c r="Z14" i="2" s="1"/>
  <c r="G754" i="2"/>
  <c r="G59" i="2"/>
  <c r="I770" i="2"/>
  <c r="D22" i="27"/>
  <c r="F22" i="27" s="1"/>
  <c r="K30" i="20"/>
  <c r="L30" i="26"/>
  <c r="X294" i="2"/>
  <c r="Y294" i="2" s="1"/>
  <c r="Z294" i="2" s="1"/>
  <c r="G300" i="2"/>
  <c r="X408" i="2"/>
  <c r="Y408" i="2" s="1"/>
  <c r="Z408" i="2" s="1"/>
  <c r="G414" i="2"/>
  <c r="L30" i="21"/>
  <c r="L29" i="17"/>
  <c r="X962" i="2"/>
  <c r="Y962" i="2" s="1"/>
  <c r="Z962" i="2" s="1"/>
  <c r="G738" i="2"/>
  <c r="X402" i="2"/>
  <c r="Y402" i="2" s="1"/>
  <c r="Z402" i="2" s="1"/>
  <c r="G732" i="2"/>
  <c r="G676" i="2"/>
  <c r="D28" i="21"/>
  <c r="X574" i="2"/>
  <c r="Y574" i="2" s="1"/>
  <c r="Z574" i="2" s="1"/>
  <c r="M678" i="2"/>
  <c r="X678" i="2" s="1"/>
  <c r="Y678" i="2" s="1"/>
  <c r="Z678" i="2" s="1"/>
  <c r="M734" i="2"/>
  <c r="D30" i="20" s="1"/>
  <c r="J770" i="2"/>
  <c r="D22" i="32"/>
  <c r="L706" i="2" l="1"/>
  <c r="S717" i="2"/>
  <c r="S725" i="2" s="1"/>
  <c r="S764" i="2" s="1"/>
  <c r="F16" i="33"/>
  <c r="X754" i="2"/>
  <c r="Y754" i="2" s="1"/>
  <c r="Z754" i="2" s="1"/>
  <c r="Q717" i="2"/>
  <c r="Q725" i="2" s="1"/>
  <c r="C40" i="33" s="1"/>
  <c r="Q704" i="2"/>
  <c r="J22" i="25"/>
  <c r="H22" i="26"/>
  <c r="I22" i="26"/>
  <c r="I22" i="25"/>
  <c r="E22" i="25"/>
  <c r="G22" i="25"/>
  <c r="S704" i="2"/>
  <c r="L14" i="25"/>
  <c r="S706" i="2"/>
  <c r="H45" i="33"/>
  <c r="I15" i="25"/>
  <c r="I16" i="25" s="1"/>
  <c r="I15" i="26"/>
  <c r="I16" i="26" s="1"/>
  <c r="F15" i="26"/>
  <c r="F16" i="26" s="1"/>
  <c r="S753" i="2"/>
  <c r="G15" i="25"/>
  <c r="G16" i="25" s="1"/>
  <c r="O657" i="2"/>
  <c r="D46" i="25" s="1"/>
  <c r="J46" i="25" s="1"/>
  <c r="J47" i="25" s="1"/>
  <c r="P753" i="2"/>
  <c r="P757" i="2" s="1"/>
  <c r="H22" i="20"/>
  <c r="P706" i="2"/>
  <c r="G22" i="26"/>
  <c r="X59" i="2"/>
  <c r="Y59" i="2" s="1"/>
  <c r="Z59" i="2" s="1"/>
  <c r="J15" i="26"/>
  <c r="J16" i="26" s="1"/>
  <c r="F22" i="26"/>
  <c r="G15" i="26"/>
  <c r="G16" i="26" s="1"/>
  <c r="D16" i="26"/>
  <c r="E22" i="26"/>
  <c r="J22" i="26"/>
  <c r="E15" i="26"/>
  <c r="E16" i="26" s="1"/>
  <c r="H15" i="26"/>
  <c r="H16" i="26" s="1"/>
  <c r="V757" i="2"/>
  <c r="F45" i="33" s="1"/>
  <c r="D36" i="26"/>
  <c r="D39" i="26" s="1"/>
  <c r="O706" i="2"/>
  <c r="I15" i="20"/>
  <c r="I16" i="20" s="1"/>
  <c r="M800" i="2"/>
  <c r="H22" i="25"/>
  <c r="D16" i="25"/>
  <c r="J15" i="25"/>
  <c r="J16" i="25" s="1"/>
  <c r="J22" i="20"/>
  <c r="M657" i="2"/>
  <c r="M669" i="2" s="1"/>
  <c r="C12" i="33" s="1"/>
  <c r="F22" i="25"/>
  <c r="E15" i="25"/>
  <c r="E16" i="25" s="1"/>
  <c r="H15" i="25"/>
  <c r="H16" i="25" s="1"/>
  <c r="O798" i="2"/>
  <c r="K717" i="2"/>
  <c r="K725" i="2" s="1"/>
  <c r="C34" i="33" s="1"/>
  <c r="T797" i="2"/>
  <c r="K704" i="2"/>
  <c r="F36" i="17"/>
  <c r="F39" i="17" s="1"/>
  <c r="J36" i="17"/>
  <c r="J39" i="17" s="1"/>
  <c r="N706" i="2"/>
  <c r="F14" i="33"/>
  <c r="O753" i="2"/>
  <c r="O757" i="2" s="1"/>
  <c r="M797" i="2"/>
  <c r="D36" i="20" s="1"/>
  <c r="E36" i="20" s="1"/>
  <c r="E39" i="20" s="1"/>
  <c r="G22" i="20"/>
  <c r="I22" i="20"/>
  <c r="E15" i="20"/>
  <c r="E16" i="20" s="1"/>
  <c r="G15" i="20"/>
  <c r="G16" i="20" s="1"/>
  <c r="J15" i="20"/>
  <c r="J16" i="20" s="1"/>
  <c r="E22" i="20"/>
  <c r="D16" i="20"/>
  <c r="H15" i="20"/>
  <c r="H16" i="20" s="1"/>
  <c r="F22" i="20"/>
  <c r="F15" i="20"/>
  <c r="F16" i="20" s="1"/>
  <c r="M730" i="2"/>
  <c r="D28" i="20" s="1"/>
  <c r="L28" i="20" s="1"/>
  <c r="M966" i="2"/>
  <c r="M756" i="2" s="1"/>
  <c r="M757" i="2" s="1"/>
  <c r="F36" i="33" s="1"/>
  <c r="M674" i="2"/>
  <c r="M706" i="2" s="1"/>
  <c r="T798" i="2"/>
  <c r="D46" i="17"/>
  <c r="D47" i="17" s="1"/>
  <c r="N757" i="2"/>
  <c r="F37" i="33" s="1"/>
  <c r="O797" i="2"/>
  <c r="G36" i="17"/>
  <c r="G39" i="17" s="1"/>
  <c r="W806" i="2"/>
  <c r="F72" i="33" s="1"/>
  <c r="P657" i="2"/>
  <c r="I36" i="17"/>
  <c r="I39" i="17" s="1"/>
  <c r="E36" i="17"/>
  <c r="E39" i="17" s="1"/>
  <c r="U756" i="2"/>
  <c r="U757" i="2" s="1"/>
  <c r="S756" i="2"/>
  <c r="K231" i="2"/>
  <c r="X186" i="2"/>
  <c r="Y186" i="2" s="1"/>
  <c r="Z186" i="2" s="1"/>
  <c r="J231" i="2"/>
  <c r="U717" i="2"/>
  <c r="U725" i="2" s="1"/>
  <c r="U704" i="2"/>
  <c r="C20" i="33"/>
  <c r="H36" i="17"/>
  <c r="H39" i="17" s="1"/>
  <c r="D36" i="27"/>
  <c r="I36" i="27" s="1"/>
  <c r="I39" i="27" s="1"/>
  <c r="D36" i="32"/>
  <c r="H36" i="32" s="1"/>
  <c r="H39" i="32" s="1"/>
  <c r="D36" i="21"/>
  <c r="D36" i="19"/>
  <c r="Q757" i="2"/>
  <c r="Q806" i="2" s="1"/>
  <c r="R757" i="2"/>
  <c r="R806" i="2" s="1"/>
  <c r="R710" i="2"/>
  <c r="R764" i="2"/>
  <c r="C41" i="33"/>
  <c r="C42" i="33"/>
  <c r="F43" i="33"/>
  <c r="E46" i="21"/>
  <c r="E47" i="21" s="1"/>
  <c r="G46" i="21"/>
  <c r="G47" i="21" s="1"/>
  <c r="I46" i="19"/>
  <c r="I47" i="19" s="1"/>
  <c r="F46" i="19"/>
  <c r="F47" i="19" s="1"/>
  <c r="J46" i="19"/>
  <c r="J47" i="19" s="1"/>
  <c r="R781" i="2"/>
  <c r="R789" i="2" s="1"/>
  <c r="H46" i="19"/>
  <c r="H47" i="19" s="1"/>
  <c r="E46" i="19"/>
  <c r="E47" i="19" s="1"/>
  <c r="G46" i="19"/>
  <c r="G47" i="19" s="1"/>
  <c r="L669" i="2"/>
  <c r="L717" i="2" s="1"/>
  <c r="L725" i="2" s="1"/>
  <c r="L30" i="27"/>
  <c r="D47" i="32"/>
  <c r="F46" i="32"/>
  <c r="F47" i="32" s="1"/>
  <c r="H46" i="32"/>
  <c r="H47" i="32" s="1"/>
  <c r="E46" i="32"/>
  <c r="E47" i="32" s="1"/>
  <c r="I46" i="32"/>
  <c r="I47" i="32" s="1"/>
  <c r="C49" i="19"/>
  <c r="C49" i="20"/>
  <c r="I669" i="2"/>
  <c r="G46" i="32"/>
  <c r="G47" i="32" s="1"/>
  <c r="J669" i="2"/>
  <c r="C49" i="27"/>
  <c r="C49" i="26"/>
  <c r="C49" i="32"/>
  <c r="C49" i="17"/>
  <c r="D46" i="27"/>
  <c r="D47" i="27" s="1"/>
  <c r="C49" i="21"/>
  <c r="H46" i="21"/>
  <c r="H47" i="21" s="1"/>
  <c r="D47" i="21"/>
  <c r="J46" i="21"/>
  <c r="J47" i="21" s="1"/>
  <c r="F46" i="21"/>
  <c r="F47" i="21" s="1"/>
  <c r="N669" i="2"/>
  <c r="T669" i="2"/>
  <c r="C19" i="33" s="1"/>
  <c r="X676" i="2"/>
  <c r="Y676" i="2" s="1"/>
  <c r="Z676" i="2" s="1"/>
  <c r="F22" i="19"/>
  <c r="T806" i="2"/>
  <c r="H22" i="19"/>
  <c r="I22" i="21"/>
  <c r="F22" i="21"/>
  <c r="K15" i="19"/>
  <c r="L15" i="19" s="1"/>
  <c r="G22" i="19"/>
  <c r="J22" i="19"/>
  <c r="I22" i="19"/>
  <c r="H22" i="21"/>
  <c r="V742" i="2"/>
  <c r="G22" i="21"/>
  <c r="Q710" i="2"/>
  <c r="J22" i="21"/>
  <c r="K15" i="21"/>
  <c r="K15" i="17"/>
  <c r="K16" i="17" s="1"/>
  <c r="L16" i="17" s="1"/>
  <c r="J22" i="17"/>
  <c r="H22" i="17"/>
  <c r="G22" i="17"/>
  <c r="F22" i="17"/>
  <c r="I22" i="17"/>
  <c r="E22" i="17"/>
  <c r="Z783" i="2"/>
  <c r="L28" i="25"/>
  <c r="X732" i="2"/>
  <c r="Y732" i="2" s="1"/>
  <c r="Z732" i="2" s="1"/>
  <c r="I757" i="2"/>
  <c r="F32" i="33" s="1"/>
  <c r="L28" i="26"/>
  <c r="I22" i="32"/>
  <c r="H22" i="32"/>
  <c r="G22" i="32"/>
  <c r="J22" i="32"/>
  <c r="E22" i="32"/>
  <c r="F22" i="32"/>
  <c r="D31" i="14"/>
  <c r="E31" i="14" s="1"/>
  <c r="K31" i="14" s="1"/>
  <c r="L31" i="14" s="1"/>
  <c r="X738" i="2"/>
  <c r="Y738" i="2" s="1"/>
  <c r="Z738" i="2" s="1"/>
  <c r="L28" i="19"/>
  <c r="L28" i="21"/>
  <c r="E30" i="14"/>
  <c r="K30" i="14" s="1"/>
  <c r="X414" i="2"/>
  <c r="Y414" i="2" s="1"/>
  <c r="Z414" i="2" s="1"/>
  <c r="G459" i="2"/>
  <c r="L30" i="20"/>
  <c r="H22" i="27"/>
  <c r="E22" i="27"/>
  <c r="W736" i="2"/>
  <c r="W743" i="2"/>
  <c r="W680" i="2"/>
  <c r="W684" i="2" s="1"/>
  <c r="W744" i="2"/>
  <c r="W742" i="2"/>
  <c r="X129" i="2"/>
  <c r="Y129" i="2" s="1"/>
  <c r="Z129" i="2" s="1"/>
  <c r="G174" i="2"/>
  <c r="L28" i="27"/>
  <c r="U706" i="2"/>
  <c r="I22" i="27"/>
  <c r="J22" i="27"/>
  <c r="G22" i="27"/>
  <c r="L15" i="32"/>
  <c r="K16" i="32"/>
  <c r="L16" i="32" s="1"/>
  <c r="X708" i="2"/>
  <c r="Y708" i="2" s="1"/>
  <c r="Z708" i="2" s="1"/>
  <c r="G770" i="2"/>
  <c r="X770" i="2" s="1"/>
  <c r="Y770" i="2" s="1"/>
  <c r="Z770" i="2" s="1"/>
  <c r="G756" i="2"/>
  <c r="L29" i="27"/>
  <c r="E29" i="14"/>
  <c r="G345" i="2"/>
  <c r="X300" i="2"/>
  <c r="Y300" i="2" s="1"/>
  <c r="Z300" i="2" s="1"/>
  <c r="K15" i="27"/>
  <c r="E16" i="27"/>
  <c r="X768" i="2"/>
  <c r="Y768" i="2" s="1"/>
  <c r="Z768" i="2" s="1"/>
  <c r="D22" i="14"/>
  <c r="D28" i="14"/>
  <c r="X734" i="2"/>
  <c r="Y734" i="2" s="1"/>
  <c r="Z734" i="2" s="1"/>
  <c r="K14" i="14"/>
  <c r="S781" i="2" l="1"/>
  <c r="S789" i="2" s="1"/>
  <c r="C68" i="33" s="1"/>
  <c r="Q764" i="2"/>
  <c r="Q781" i="2"/>
  <c r="Q789" i="2" s="1"/>
  <c r="C66" i="33" s="1"/>
  <c r="S710" i="2"/>
  <c r="S736" i="2" s="1"/>
  <c r="I46" i="25"/>
  <c r="I47" i="25" s="1"/>
  <c r="D47" i="25"/>
  <c r="V806" i="2"/>
  <c r="F71" i="33" s="1"/>
  <c r="S757" i="2"/>
  <c r="F42" i="33" s="1"/>
  <c r="F36" i="26"/>
  <c r="F39" i="26" s="1"/>
  <c r="M704" i="2"/>
  <c r="M710" i="2" s="1"/>
  <c r="M742" i="2" s="1"/>
  <c r="F39" i="33"/>
  <c r="P806" i="2"/>
  <c r="F65" i="33" s="1"/>
  <c r="K781" i="2"/>
  <c r="K789" i="2" s="1"/>
  <c r="C60" i="33" s="1"/>
  <c r="E46" i="25"/>
  <c r="E47" i="25" s="1"/>
  <c r="G46" i="25"/>
  <c r="G47" i="25" s="1"/>
  <c r="F46" i="25"/>
  <c r="F47" i="25" s="1"/>
  <c r="O669" i="2"/>
  <c r="C14" i="33" s="1"/>
  <c r="H46" i="25"/>
  <c r="H47" i="25" s="1"/>
  <c r="M717" i="2"/>
  <c r="M725" i="2" s="1"/>
  <c r="M764" i="2" s="1"/>
  <c r="D46" i="20"/>
  <c r="D47" i="20" s="1"/>
  <c r="K22" i="25"/>
  <c r="L22" i="25" s="1"/>
  <c r="K764" i="2"/>
  <c r="E36" i="26"/>
  <c r="E39" i="26" s="1"/>
  <c r="D36" i="25"/>
  <c r="E36" i="25" s="1"/>
  <c r="E39" i="25" s="1"/>
  <c r="K22" i="26"/>
  <c r="L22" i="26" s="1"/>
  <c r="K15" i="26"/>
  <c r="K16" i="26" s="1"/>
  <c r="L16" i="26" s="1"/>
  <c r="I36" i="26"/>
  <c r="I39" i="26" s="1"/>
  <c r="G36" i="26"/>
  <c r="G39" i="26" s="1"/>
  <c r="H36" i="26"/>
  <c r="H39" i="26" s="1"/>
  <c r="J36" i="26"/>
  <c r="J39" i="26" s="1"/>
  <c r="K15" i="25"/>
  <c r="L15" i="25" s="1"/>
  <c r="K22" i="20"/>
  <c r="L22" i="20" s="1"/>
  <c r="K15" i="20"/>
  <c r="L15" i="20" s="1"/>
  <c r="F38" i="33"/>
  <c r="O806" i="2"/>
  <c r="F64" i="33" s="1"/>
  <c r="H46" i="17"/>
  <c r="H47" i="17" s="1"/>
  <c r="I46" i="17"/>
  <c r="I47" i="17" s="1"/>
  <c r="F46" i="17"/>
  <c r="F47" i="17" s="1"/>
  <c r="U710" i="2"/>
  <c r="V743" i="2" s="1"/>
  <c r="M806" i="2"/>
  <c r="F62" i="33" s="1"/>
  <c r="G46" i="17"/>
  <c r="G47" i="17" s="1"/>
  <c r="K39" i="17"/>
  <c r="L39" i="17" s="1"/>
  <c r="J46" i="17"/>
  <c r="J47" i="17" s="1"/>
  <c r="E46" i="17"/>
  <c r="E47" i="17" s="1"/>
  <c r="F44" i="33"/>
  <c r="U806" i="2"/>
  <c r="F70" i="33" s="1"/>
  <c r="P669" i="2"/>
  <c r="D46" i="26"/>
  <c r="N806" i="2"/>
  <c r="F63" i="33" s="1"/>
  <c r="V736" i="2"/>
  <c r="V744" i="2"/>
  <c r="V680" i="2"/>
  <c r="V684" i="2" s="1"/>
  <c r="D21" i="33" s="1"/>
  <c r="E21" i="33" s="1"/>
  <c r="G21" i="33" s="1"/>
  <c r="R736" i="2"/>
  <c r="J674" i="2"/>
  <c r="J730" i="2"/>
  <c r="J966" i="2"/>
  <c r="X231" i="2"/>
  <c r="Y231" i="2" s="1"/>
  <c r="Z231" i="2" s="1"/>
  <c r="K966" i="2"/>
  <c r="K674" i="2"/>
  <c r="K706" i="2" s="1"/>
  <c r="K710" i="2" s="1"/>
  <c r="K730" i="2"/>
  <c r="D28" i="17" s="1"/>
  <c r="L28" i="17" s="1"/>
  <c r="L764" i="2"/>
  <c r="C35" i="33"/>
  <c r="U781" i="2"/>
  <c r="U789" i="2" s="1"/>
  <c r="C70" i="33" s="1"/>
  <c r="U764" i="2"/>
  <c r="C44" i="33"/>
  <c r="F40" i="33"/>
  <c r="K36" i="17"/>
  <c r="L36" i="17" s="1"/>
  <c r="F41" i="33"/>
  <c r="E36" i="32"/>
  <c r="E39" i="32" s="1"/>
  <c r="H36" i="27"/>
  <c r="H39" i="27" s="1"/>
  <c r="G36" i="32"/>
  <c r="G39" i="32" s="1"/>
  <c r="D39" i="20"/>
  <c r="J36" i="20"/>
  <c r="J39" i="20" s="1"/>
  <c r="G36" i="20"/>
  <c r="G39" i="20" s="1"/>
  <c r="F36" i="20"/>
  <c r="H36" i="20"/>
  <c r="H39" i="20" s="1"/>
  <c r="I36" i="20"/>
  <c r="I39" i="20" s="1"/>
  <c r="F36" i="32"/>
  <c r="F39" i="32" s="1"/>
  <c r="F36" i="27"/>
  <c r="F39" i="27" s="1"/>
  <c r="I36" i="32"/>
  <c r="I39" i="32" s="1"/>
  <c r="D39" i="32"/>
  <c r="E36" i="27"/>
  <c r="E39" i="27" s="1"/>
  <c r="G36" i="27"/>
  <c r="D39" i="27"/>
  <c r="J36" i="27"/>
  <c r="J39" i="27" s="1"/>
  <c r="J36" i="32"/>
  <c r="J39" i="32" s="1"/>
  <c r="D39" i="19"/>
  <c r="H36" i="19"/>
  <c r="H39" i="19" s="1"/>
  <c r="E36" i="19"/>
  <c r="I36" i="19"/>
  <c r="I39" i="19" s="1"/>
  <c r="G36" i="19"/>
  <c r="G39" i="19" s="1"/>
  <c r="J36" i="19"/>
  <c r="J39" i="19" s="1"/>
  <c r="F36" i="19"/>
  <c r="F39" i="19" s="1"/>
  <c r="D39" i="21"/>
  <c r="J36" i="21"/>
  <c r="J39" i="21" s="1"/>
  <c r="H36" i="21"/>
  <c r="H39" i="21" s="1"/>
  <c r="G36" i="21"/>
  <c r="G39" i="21" s="1"/>
  <c r="I36" i="21"/>
  <c r="I39" i="21" s="1"/>
  <c r="F36" i="21"/>
  <c r="F39" i="21" s="1"/>
  <c r="E36" i="21"/>
  <c r="R742" i="2"/>
  <c r="R744" i="2"/>
  <c r="R680" i="2"/>
  <c r="R684" i="2" s="1"/>
  <c r="D17" i="33" s="1"/>
  <c r="E17" i="33" s="1"/>
  <c r="G17" i="33" s="1"/>
  <c r="R743" i="2"/>
  <c r="F69" i="33"/>
  <c r="C13" i="33"/>
  <c r="F67" i="33"/>
  <c r="J704" i="2"/>
  <c r="C9" i="33"/>
  <c r="C8" i="33"/>
  <c r="F66" i="33"/>
  <c r="L704" i="2"/>
  <c r="L710" i="2" s="1"/>
  <c r="L743" i="2" s="1"/>
  <c r="C11" i="33"/>
  <c r="C67" i="33"/>
  <c r="I704" i="2"/>
  <c r="I710" i="2" s="1"/>
  <c r="I743" i="2" s="1"/>
  <c r="I46" i="27"/>
  <c r="I47" i="27" s="1"/>
  <c r="G46" i="27"/>
  <c r="G47" i="27" s="1"/>
  <c r="H46" i="27"/>
  <c r="H47" i="27" s="1"/>
  <c r="J46" i="27"/>
  <c r="J47" i="27" s="1"/>
  <c r="E46" i="27"/>
  <c r="F46" i="27"/>
  <c r="F47" i="27" s="1"/>
  <c r="K47" i="19"/>
  <c r="L47" i="19" s="1"/>
  <c r="J717" i="2"/>
  <c r="J725" i="2" s="1"/>
  <c r="K46" i="19"/>
  <c r="L46" i="19" s="1"/>
  <c r="I717" i="2"/>
  <c r="I725" i="2" s="1"/>
  <c r="N717" i="2"/>
  <c r="N725" i="2" s="1"/>
  <c r="K47" i="32"/>
  <c r="L47" i="32" s="1"/>
  <c r="K46" i="32"/>
  <c r="L46" i="32" s="1"/>
  <c r="K46" i="21"/>
  <c r="L46" i="21" s="1"/>
  <c r="N704" i="2"/>
  <c r="N710" i="2" s="1"/>
  <c r="L781" i="2"/>
  <c r="L789" i="2" s="1"/>
  <c r="K47" i="21"/>
  <c r="L47" i="21" s="1"/>
  <c r="T704" i="2"/>
  <c r="T710" i="2" s="1"/>
  <c r="T717" i="2"/>
  <c r="T725" i="2" s="1"/>
  <c r="C43" i="33" s="1"/>
  <c r="L15" i="17"/>
  <c r="S742" i="2"/>
  <c r="K16" i="19"/>
  <c r="L16" i="19" s="1"/>
  <c r="K22" i="19"/>
  <c r="L22" i="19" s="1"/>
  <c r="K22" i="21"/>
  <c r="L22" i="21" s="1"/>
  <c r="L15" i="21"/>
  <c r="K16" i="21"/>
  <c r="L16" i="21" s="1"/>
  <c r="K22" i="17"/>
  <c r="L22" i="17" s="1"/>
  <c r="L15" i="27"/>
  <c r="K16" i="27"/>
  <c r="L16" i="27" s="1"/>
  <c r="G731" i="2"/>
  <c r="X345" i="2"/>
  <c r="Y345" i="2" s="1"/>
  <c r="Z345" i="2" s="1"/>
  <c r="G755" i="2"/>
  <c r="X755" i="2" s="1"/>
  <c r="Y755" i="2" s="1"/>
  <c r="Z755" i="2" s="1"/>
  <c r="G675" i="2"/>
  <c r="D14" i="14"/>
  <c r="L14" i="14" s="1"/>
  <c r="G688" i="2"/>
  <c r="F7" i="33" s="1"/>
  <c r="F22" i="33" s="1"/>
  <c r="G960" i="2"/>
  <c r="G785" i="2" s="1"/>
  <c r="X174" i="2"/>
  <c r="Y174" i="2" s="1"/>
  <c r="Z174" i="2" s="1"/>
  <c r="W794" i="2"/>
  <c r="W686" i="2"/>
  <c r="I806" i="2"/>
  <c r="L28" i="14"/>
  <c r="K29" i="14"/>
  <c r="W745" i="2"/>
  <c r="W749" i="2"/>
  <c r="D46" i="33" s="1"/>
  <c r="X459" i="2"/>
  <c r="Y459" i="2" s="1"/>
  <c r="Z459" i="2" s="1"/>
  <c r="G677" i="2"/>
  <c r="K22" i="27"/>
  <c r="L22" i="27" s="1"/>
  <c r="K22" i="32"/>
  <c r="L22" i="32" s="1"/>
  <c r="S743" i="2" l="1"/>
  <c r="S680" i="2"/>
  <c r="S684" i="2" s="1"/>
  <c r="D18" i="33" s="1"/>
  <c r="E18" i="33" s="1"/>
  <c r="G18" i="33" s="1"/>
  <c r="S806" i="2"/>
  <c r="S744" i="2"/>
  <c r="I36" i="25"/>
  <c r="I39" i="25" s="1"/>
  <c r="I46" i="20"/>
  <c r="I47" i="20" s="1"/>
  <c r="G36" i="25"/>
  <c r="G39" i="25" s="1"/>
  <c r="U743" i="2"/>
  <c r="C36" i="33"/>
  <c r="O717" i="2"/>
  <c r="O725" i="2" s="1"/>
  <c r="O781" i="2" s="1"/>
  <c r="O789" i="2" s="1"/>
  <c r="C64" i="33" s="1"/>
  <c r="M781" i="2"/>
  <c r="M789" i="2" s="1"/>
  <c r="C62" i="33" s="1"/>
  <c r="V745" i="2"/>
  <c r="V766" i="2" s="1"/>
  <c r="V772" i="2" s="1"/>
  <c r="J46" i="20"/>
  <c r="J47" i="20" s="1"/>
  <c r="F46" i="20"/>
  <c r="F47" i="20" s="1"/>
  <c r="F36" i="25"/>
  <c r="F39" i="25" s="1"/>
  <c r="K47" i="25"/>
  <c r="L47" i="25" s="1"/>
  <c r="O704" i="2"/>
  <c r="O710" i="2" s="1"/>
  <c r="O736" i="2" s="1"/>
  <c r="K46" i="25"/>
  <c r="L46" i="25" s="1"/>
  <c r="L15" i="26"/>
  <c r="H46" i="20"/>
  <c r="H47" i="20" s="1"/>
  <c r="G46" i="20"/>
  <c r="G47" i="20" s="1"/>
  <c r="J36" i="25"/>
  <c r="J39" i="25" s="1"/>
  <c r="E46" i="20"/>
  <c r="E47" i="20" s="1"/>
  <c r="H36" i="25"/>
  <c r="H39" i="25" s="1"/>
  <c r="D39" i="25"/>
  <c r="K39" i="26"/>
  <c r="L39" i="26" s="1"/>
  <c r="U744" i="2"/>
  <c r="U742" i="2"/>
  <c r="K16" i="25"/>
  <c r="L16" i="25" s="1"/>
  <c r="K16" i="20"/>
  <c r="L16" i="20" s="1"/>
  <c r="K36" i="26"/>
  <c r="L36" i="26" s="1"/>
  <c r="U736" i="2"/>
  <c r="U680" i="2"/>
  <c r="U684" i="2" s="1"/>
  <c r="D20" i="33" s="1"/>
  <c r="E20" i="33" s="1"/>
  <c r="G20" i="33" s="1"/>
  <c r="V686" i="2"/>
  <c r="K46" i="17"/>
  <c r="L46" i="17" s="1"/>
  <c r="K47" i="17"/>
  <c r="L47" i="17" s="1"/>
  <c r="V749" i="2"/>
  <c r="D45" i="33" s="1"/>
  <c r="E45" i="33" s="1"/>
  <c r="G45" i="33" s="1"/>
  <c r="C15" i="33"/>
  <c r="P704" i="2"/>
  <c r="P710" i="2" s="1"/>
  <c r="P717" i="2"/>
  <c r="P725" i="2" s="1"/>
  <c r="O744" i="2"/>
  <c r="D47" i="26"/>
  <c r="I46" i="26"/>
  <c r="I47" i="26" s="1"/>
  <c r="E46" i="26"/>
  <c r="F46" i="26"/>
  <c r="F47" i="26" s="1"/>
  <c r="H46" i="26"/>
  <c r="H47" i="26" s="1"/>
  <c r="G46" i="26"/>
  <c r="G47" i="26" s="1"/>
  <c r="J46" i="26"/>
  <c r="J47" i="26" s="1"/>
  <c r="N743" i="2"/>
  <c r="D28" i="32"/>
  <c r="L28" i="32" s="1"/>
  <c r="X730" i="2"/>
  <c r="Y730" i="2" s="1"/>
  <c r="Z730" i="2" s="1"/>
  <c r="K756" i="2"/>
  <c r="K757" i="2" s="1"/>
  <c r="L756" i="2"/>
  <c r="L757" i="2" s="1"/>
  <c r="X674" i="2"/>
  <c r="Y674" i="2" s="1"/>
  <c r="Z674" i="2" s="1"/>
  <c r="J706" i="2"/>
  <c r="J710" i="2" s="1"/>
  <c r="J744" i="2" s="1"/>
  <c r="M736" i="2"/>
  <c r="J756" i="2"/>
  <c r="X966" i="2"/>
  <c r="Y966" i="2" s="1"/>
  <c r="Z966" i="2" s="1"/>
  <c r="F39" i="20"/>
  <c r="K39" i="20" s="1"/>
  <c r="L39" i="20" s="1"/>
  <c r="K36" i="20"/>
  <c r="L36" i="20" s="1"/>
  <c r="K39" i="32"/>
  <c r="L39" i="32" s="1"/>
  <c r="K36" i="32"/>
  <c r="L36" i="32" s="1"/>
  <c r="G39" i="27"/>
  <c r="K39" i="27" s="1"/>
  <c r="L39" i="27" s="1"/>
  <c r="K36" i="27"/>
  <c r="L36" i="27" s="1"/>
  <c r="X785" i="2"/>
  <c r="Y785" i="2" s="1"/>
  <c r="Z785" i="2" s="1"/>
  <c r="E39" i="21"/>
  <c r="K39" i="21" s="1"/>
  <c r="L39" i="21" s="1"/>
  <c r="K36" i="21"/>
  <c r="L36" i="21" s="1"/>
  <c r="E39" i="19"/>
  <c r="K39" i="19" s="1"/>
  <c r="L39" i="19" s="1"/>
  <c r="K36" i="19"/>
  <c r="L36" i="19" s="1"/>
  <c r="S686" i="2"/>
  <c r="M680" i="2"/>
  <c r="M684" i="2" s="1"/>
  <c r="D12" i="33" s="1"/>
  <c r="E12" i="33" s="1"/>
  <c r="G12" i="33" s="1"/>
  <c r="R749" i="2"/>
  <c r="R751" i="2" s="1"/>
  <c r="R759" i="2" s="1"/>
  <c r="L742" i="2"/>
  <c r="L736" i="2"/>
  <c r="L744" i="2"/>
  <c r="M743" i="2"/>
  <c r="L680" i="2"/>
  <c r="D26" i="19" s="1"/>
  <c r="M744" i="2"/>
  <c r="R686" i="2"/>
  <c r="R745" i="2"/>
  <c r="R766" i="2" s="1"/>
  <c r="R772" i="2" s="1"/>
  <c r="I742" i="2"/>
  <c r="I736" i="2"/>
  <c r="W751" i="2"/>
  <c r="W759" i="2" s="1"/>
  <c r="F68" i="33"/>
  <c r="C61" i="33"/>
  <c r="J764" i="2"/>
  <c r="C33" i="33"/>
  <c r="N781" i="2"/>
  <c r="N789" i="2" s="1"/>
  <c r="C37" i="33"/>
  <c r="F58" i="33"/>
  <c r="E46" i="33"/>
  <c r="G46" i="33" s="1"/>
  <c r="I764" i="2"/>
  <c r="C32" i="33"/>
  <c r="J781" i="2"/>
  <c r="J789" i="2" s="1"/>
  <c r="I744" i="2"/>
  <c r="I680" i="2"/>
  <c r="D26" i="27" s="1"/>
  <c r="I781" i="2"/>
  <c r="I789" i="2" s="1"/>
  <c r="K46" i="27"/>
  <c r="L46" i="27" s="1"/>
  <c r="E47" i="27"/>
  <c r="K47" i="27" s="1"/>
  <c r="L47" i="27" s="1"/>
  <c r="N742" i="2"/>
  <c r="N764" i="2"/>
  <c r="N744" i="2"/>
  <c r="N736" i="2"/>
  <c r="N680" i="2"/>
  <c r="D26" i="21" s="1"/>
  <c r="T764" i="2"/>
  <c r="T781" i="2"/>
  <c r="T789" i="2" s="1"/>
  <c r="T743" i="2"/>
  <c r="T744" i="2"/>
  <c r="T742" i="2"/>
  <c r="T736" i="2"/>
  <c r="T680" i="2"/>
  <c r="T684" i="2" s="1"/>
  <c r="D19" i="33" s="1"/>
  <c r="E19" i="33" s="1"/>
  <c r="G19" i="33" s="1"/>
  <c r="S749" i="2"/>
  <c r="X675" i="2"/>
  <c r="Y675" i="2" s="1"/>
  <c r="Z675" i="2" s="1"/>
  <c r="G706" i="2"/>
  <c r="X677" i="2"/>
  <c r="Y677" i="2" s="1"/>
  <c r="Z677" i="2" s="1"/>
  <c r="G733" i="2"/>
  <c r="W802" i="2"/>
  <c r="W766" i="2"/>
  <c r="W772" i="2" s="1"/>
  <c r="X960" i="2"/>
  <c r="Y960" i="2" s="1"/>
  <c r="Z960" i="2" s="1"/>
  <c r="G657" i="2"/>
  <c r="G753" i="2"/>
  <c r="X688" i="2"/>
  <c r="Y688" i="2" s="1"/>
  <c r="Z688" i="2" s="1"/>
  <c r="D16" i="14"/>
  <c r="J15" i="14"/>
  <c r="J16" i="14" s="1"/>
  <c r="J22" i="14"/>
  <c r="H15" i="14"/>
  <c r="H16" i="14" s="1"/>
  <c r="H22" i="14"/>
  <c r="I22" i="14"/>
  <c r="I15" i="14"/>
  <c r="I16" i="14" s="1"/>
  <c r="G15" i="14"/>
  <c r="G16" i="14" s="1"/>
  <c r="F15" i="14"/>
  <c r="F16" i="14" s="1"/>
  <c r="G22" i="14"/>
  <c r="F22" i="14"/>
  <c r="E15" i="14"/>
  <c r="E22" i="14"/>
  <c r="D29" i="14"/>
  <c r="L29" i="14" s="1"/>
  <c r="X731" i="2"/>
  <c r="Y731" i="2" s="1"/>
  <c r="Z731" i="2" s="1"/>
  <c r="S745" i="2" l="1"/>
  <c r="S766" i="2" s="1"/>
  <c r="S772" i="2" s="1"/>
  <c r="O743" i="2"/>
  <c r="C38" i="33"/>
  <c r="O764" i="2"/>
  <c r="U745" i="2"/>
  <c r="U766" i="2" s="1"/>
  <c r="U772" i="2" s="1"/>
  <c r="O680" i="2"/>
  <c r="D26" i="25" s="1"/>
  <c r="O742" i="2"/>
  <c r="K46" i="20"/>
  <c r="L46" i="20" s="1"/>
  <c r="K47" i="20"/>
  <c r="L47" i="20" s="1"/>
  <c r="K36" i="25"/>
  <c r="L36" i="25" s="1"/>
  <c r="K39" i="25"/>
  <c r="L39" i="25" s="1"/>
  <c r="U749" i="2"/>
  <c r="D44" i="33" s="1"/>
  <c r="E44" i="33" s="1"/>
  <c r="G44" i="33" s="1"/>
  <c r="U686" i="2"/>
  <c r="V751" i="2"/>
  <c r="V759" i="2" s="1"/>
  <c r="V794" i="2"/>
  <c r="V802" i="2" s="1"/>
  <c r="D71" i="33" s="1"/>
  <c r="E71" i="33" s="1"/>
  <c r="G71" i="33" s="1"/>
  <c r="X706" i="2"/>
  <c r="Y706" i="2" s="1"/>
  <c r="Z706" i="2" s="1"/>
  <c r="J680" i="2"/>
  <c r="D26" i="32" s="1"/>
  <c r="J742" i="2"/>
  <c r="J736" i="2"/>
  <c r="P744" i="2"/>
  <c r="P736" i="2"/>
  <c r="P742" i="2"/>
  <c r="P680" i="2"/>
  <c r="P743" i="2"/>
  <c r="E47" i="26"/>
  <c r="K47" i="26" s="1"/>
  <c r="L47" i="26" s="1"/>
  <c r="K46" i="26"/>
  <c r="L46" i="26" s="1"/>
  <c r="C39" i="33"/>
  <c r="P764" i="2"/>
  <c r="P781" i="2"/>
  <c r="P789" i="2" s="1"/>
  <c r="C65" i="33" s="1"/>
  <c r="Q743" i="2"/>
  <c r="Q744" i="2"/>
  <c r="Q742" i="2"/>
  <c r="Q680" i="2"/>
  <c r="Q684" i="2" s="1"/>
  <c r="Q736" i="2"/>
  <c r="F34" i="33"/>
  <c r="K806" i="2"/>
  <c r="F60" i="33" s="1"/>
  <c r="J757" i="2"/>
  <c r="X756" i="2"/>
  <c r="Y756" i="2" s="1"/>
  <c r="Z756" i="2" s="1"/>
  <c r="W804" i="2"/>
  <c r="W808" i="2" s="1"/>
  <c r="D72" i="33"/>
  <c r="E72" i="33" s="1"/>
  <c r="G72" i="33" s="1"/>
  <c r="I46" i="33" s="1"/>
  <c r="J743" i="2"/>
  <c r="K680" i="2"/>
  <c r="K744" i="2"/>
  <c r="K743" i="2"/>
  <c r="K742" i="2"/>
  <c r="F35" i="33"/>
  <c r="L806" i="2"/>
  <c r="F61" i="33" s="1"/>
  <c r="K736" i="2"/>
  <c r="D26" i="20"/>
  <c r="M745" i="2"/>
  <c r="M766" i="2" s="1"/>
  <c r="M772" i="2" s="1"/>
  <c r="L684" i="2"/>
  <c r="D11" i="33" s="1"/>
  <c r="E11" i="33" s="1"/>
  <c r="G11" i="33" s="1"/>
  <c r="L749" i="2"/>
  <c r="L745" i="2"/>
  <c r="L766" i="2" s="1"/>
  <c r="L772" i="2" s="1"/>
  <c r="D41" i="33"/>
  <c r="E41" i="33" s="1"/>
  <c r="G41" i="33" s="1"/>
  <c r="M749" i="2"/>
  <c r="D36" i="33" s="1"/>
  <c r="E36" i="33" s="1"/>
  <c r="G36" i="33" s="1"/>
  <c r="R794" i="2"/>
  <c r="R802" i="2" s="1"/>
  <c r="R804" i="2" s="1"/>
  <c r="R808" i="2" s="1"/>
  <c r="I749" i="2"/>
  <c r="D32" i="33" s="1"/>
  <c r="E32" i="33" s="1"/>
  <c r="G32" i="33" s="1"/>
  <c r="I684" i="2"/>
  <c r="D8" i="33" s="1"/>
  <c r="E8" i="33" s="1"/>
  <c r="G8" i="33" s="1"/>
  <c r="C58" i="33"/>
  <c r="C63" i="33"/>
  <c r="D42" i="33"/>
  <c r="E42" i="33" s="1"/>
  <c r="G42" i="33" s="1"/>
  <c r="C69" i="33"/>
  <c r="C59" i="33"/>
  <c r="I745" i="2"/>
  <c r="I766" i="2" s="1"/>
  <c r="I772" i="2" s="1"/>
  <c r="N684" i="2"/>
  <c r="N745" i="2"/>
  <c r="N766" i="2" s="1"/>
  <c r="N772" i="2" s="1"/>
  <c r="N749" i="2"/>
  <c r="S794" i="2"/>
  <c r="S802" i="2" s="1"/>
  <c r="T749" i="2"/>
  <c r="D43" i="33" s="1"/>
  <c r="E43" i="33" s="1"/>
  <c r="G43" i="33" s="1"/>
  <c r="T745" i="2"/>
  <c r="T766" i="2" s="1"/>
  <c r="T772" i="2" s="1"/>
  <c r="T686" i="2"/>
  <c r="S751" i="2"/>
  <c r="S759" i="2" s="1"/>
  <c r="K22" i="14"/>
  <c r="L22" i="14" s="1"/>
  <c r="X753" i="2"/>
  <c r="Y753" i="2" s="1"/>
  <c r="Z753" i="2" s="1"/>
  <c r="G757" i="2"/>
  <c r="F30" i="33" s="1"/>
  <c r="X657" i="2"/>
  <c r="Y657" i="2" s="1"/>
  <c r="Z657" i="2" s="1"/>
  <c r="G669" i="2"/>
  <c r="C7" i="33" s="1"/>
  <c r="C49" i="14"/>
  <c r="D46" i="14"/>
  <c r="M686" i="2"/>
  <c r="K15" i="14"/>
  <c r="E16" i="14"/>
  <c r="X733" i="2"/>
  <c r="Y733" i="2" s="1"/>
  <c r="Z733" i="2" s="1"/>
  <c r="D30" i="14"/>
  <c r="L30" i="14" s="1"/>
  <c r="U751" i="2" l="1"/>
  <c r="U759" i="2" s="1"/>
  <c r="O749" i="2"/>
  <c r="D38" i="33" s="1"/>
  <c r="E38" i="33" s="1"/>
  <c r="G38" i="33" s="1"/>
  <c r="O745" i="2"/>
  <c r="O766" i="2" s="1"/>
  <c r="O772" i="2" s="1"/>
  <c r="O684" i="2"/>
  <c r="D14" i="33" s="1"/>
  <c r="E14" i="33" s="1"/>
  <c r="G14" i="33" s="1"/>
  <c r="U794" i="2"/>
  <c r="U802" i="2" s="1"/>
  <c r="V804" i="2"/>
  <c r="V808" i="2" s="1"/>
  <c r="J684" i="2"/>
  <c r="J686" i="2" s="1"/>
  <c r="J745" i="2"/>
  <c r="J766" i="2" s="1"/>
  <c r="J772" i="2" s="1"/>
  <c r="J749" i="2"/>
  <c r="J751" i="2" s="1"/>
  <c r="J759" i="2" s="1"/>
  <c r="D26" i="26"/>
  <c r="P684" i="2"/>
  <c r="P745" i="2"/>
  <c r="P766" i="2" s="1"/>
  <c r="P772" i="2" s="1"/>
  <c r="P749" i="2"/>
  <c r="Q749" i="2"/>
  <c r="K745" i="2"/>
  <c r="K766" i="2" s="1"/>
  <c r="K772" i="2" s="1"/>
  <c r="D16" i="33"/>
  <c r="E16" i="33" s="1"/>
  <c r="G16" i="33" s="1"/>
  <c r="Q686" i="2"/>
  <c r="Q745" i="2"/>
  <c r="Q766" i="2" s="1"/>
  <c r="Q772" i="2" s="1"/>
  <c r="L794" i="2"/>
  <c r="L802" i="2" s="1"/>
  <c r="D61" i="33" s="1"/>
  <c r="E61" i="33" s="1"/>
  <c r="G61" i="33" s="1"/>
  <c r="D35" i="33"/>
  <c r="E35" i="33" s="1"/>
  <c r="G35" i="33" s="1"/>
  <c r="F33" i="33"/>
  <c r="F47" i="33" s="1"/>
  <c r="J806" i="2"/>
  <c r="F59" i="33" s="1"/>
  <c r="K749" i="2"/>
  <c r="K684" i="2"/>
  <c r="D26" i="17"/>
  <c r="I751" i="2"/>
  <c r="I759" i="2" s="1"/>
  <c r="L751" i="2"/>
  <c r="L759" i="2" s="1"/>
  <c r="L686" i="2"/>
  <c r="M794" i="2"/>
  <c r="M802" i="2" s="1"/>
  <c r="M751" i="2"/>
  <c r="M759" i="2" s="1"/>
  <c r="D67" i="33"/>
  <c r="E67" i="33" s="1"/>
  <c r="G67" i="33" s="1"/>
  <c r="I41" i="33" s="1"/>
  <c r="I794" i="2"/>
  <c r="I802" i="2" s="1"/>
  <c r="I686" i="2"/>
  <c r="D13" i="33"/>
  <c r="E13" i="33" s="1"/>
  <c r="G13" i="33" s="1"/>
  <c r="C22" i="33"/>
  <c r="D68" i="33"/>
  <c r="E68" i="33" s="1"/>
  <c r="G68" i="33" s="1"/>
  <c r="I42" i="33" s="1"/>
  <c r="D37" i="33"/>
  <c r="E37" i="33" s="1"/>
  <c r="G37" i="33" s="1"/>
  <c r="N686" i="2"/>
  <c r="N751" i="2"/>
  <c r="N759" i="2" s="1"/>
  <c r="N794" i="2"/>
  <c r="N802" i="2" s="1"/>
  <c r="T794" i="2"/>
  <c r="T802" i="2" s="1"/>
  <c r="D69" i="33" s="1"/>
  <c r="E69" i="33" s="1"/>
  <c r="G69" i="33" s="1"/>
  <c r="I43" i="33" s="1"/>
  <c r="T751" i="2"/>
  <c r="T759" i="2" s="1"/>
  <c r="S804" i="2"/>
  <c r="S808" i="2" s="1"/>
  <c r="D47" i="14"/>
  <c r="F46" i="14"/>
  <c r="F47" i="14" s="1"/>
  <c r="J46" i="14"/>
  <c r="J47" i="14" s="1"/>
  <c r="H46" i="14"/>
  <c r="H47" i="14" s="1"/>
  <c r="I46" i="14"/>
  <c r="I47" i="14" s="1"/>
  <c r="G46" i="14"/>
  <c r="G47" i="14" s="1"/>
  <c r="E46" i="14"/>
  <c r="L15" i="14"/>
  <c r="K16" i="14"/>
  <c r="L16" i="14" s="1"/>
  <c r="X757" i="2"/>
  <c r="Y757" i="2" s="1"/>
  <c r="Z757" i="2" s="1"/>
  <c r="G806" i="2"/>
  <c r="F56" i="33" s="1"/>
  <c r="X669" i="2"/>
  <c r="Y669" i="2" s="1"/>
  <c r="Z669" i="2" s="1"/>
  <c r="G704" i="2"/>
  <c r="G717" i="2"/>
  <c r="O751" i="2" l="1"/>
  <c r="O759" i="2" s="1"/>
  <c r="O686" i="2"/>
  <c r="O794" i="2"/>
  <c r="O802" i="2" s="1"/>
  <c r="O804" i="2" s="1"/>
  <c r="O808" i="2" s="1"/>
  <c r="D18" i="25" s="1"/>
  <c r="E18" i="25" s="1"/>
  <c r="F18" i="25" s="1"/>
  <c r="J794" i="2"/>
  <c r="J802" i="2" s="1"/>
  <c r="J804" i="2" s="1"/>
  <c r="J808" i="2" s="1"/>
  <c r="D18" i="32" s="1"/>
  <c r="E18" i="32" s="1"/>
  <c r="D9" i="33"/>
  <c r="E9" i="33" s="1"/>
  <c r="G9" i="33" s="1"/>
  <c r="D33" i="33"/>
  <c r="E33" i="33" s="1"/>
  <c r="G33" i="33" s="1"/>
  <c r="D39" i="33"/>
  <c r="E39" i="33" s="1"/>
  <c r="G39" i="33" s="1"/>
  <c r="P751" i="2"/>
  <c r="P759" i="2" s="1"/>
  <c r="P794" i="2"/>
  <c r="P802" i="2" s="1"/>
  <c r="D65" i="33" s="1"/>
  <c r="E65" i="33" s="1"/>
  <c r="G65" i="33" s="1"/>
  <c r="I39" i="33" s="1"/>
  <c r="D15" i="33"/>
  <c r="E15" i="33" s="1"/>
  <c r="G15" i="33" s="1"/>
  <c r="P686" i="2"/>
  <c r="F73" i="33"/>
  <c r="D40" i="33"/>
  <c r="E40" i="33" s="1"/>
  <c r="Q751" i="2"/>
  <c r="Q759" i="2" s="1"/>
  <c r="Q794" i="2"/>
  <c r="Q802" i="2" s="1"/>
  <c r="D10" i="33"/>
  <c r="E10" i="33" s="1"/>
  <c r="G10" i="33" s="1"/>
  <c r="K686" i="2"/>
  <c r="D34" i="33"/>
  <c r="E34" i="33" s="1"/>
  <c r="G34" i="33" s="1"/>
  <c r="K794" i="2"/>
  <c r="K802" i="2" s="1"/>
  <c r="K751" i="2"/>
  <c r="K759" i="2" s="1"/>
  <c r="U804" i="2"/>
  <c r="U808" i="2" s="1"/>
  <c r="D70" i="33"/>
  <c r="E70" i="33" s="1"/>
  <c r="G70" i="33" s="1"/>
  <c r="D58" i="33"/>
  <c r="D63" i="33"/>
  <c r="E63" i="33" s="1"/>
  <c r="G63" i="33" s="1"/>
  <c r="I37" i="33" s="1"/>
  <c r="D62" i="33"/>
  <c r="E62" i="33" s="1"/>
  <c r="G62" i="33" s="1"/>
  <c r="I36" i="33" s="1"/>
  <c r="T804" i="2"/>
  <c r="T808" i="2" s="1"/>
  <c r="I804" i="2"/>
  <c r="I808" i="2" s="1"/>
  <c r="D18" i="27" s="1"/>
  <c r="N804" i="2"/>
  <c r="N808" i="2" s="1"/>
  <c r="D18" i="21" s="1"/>
  <c r="E18" i="21" s="1"/>
  <c r="M804" i="2"/>
  <c r="M808" i="2" s="1"/>
  <c r="D18" i="20" s="1"/>
  <c r="E18" i="20" s="1"/>
  <c r="X806" i="2"/>
  <c r="Y806" i="2" s="1"/>
  <c r="Z806" i="2" s="1"/>
  <c r="K46" i="14"/>
  <c r="L46" i="14" s="1"/>
  <c r="E47" i="14"/>
  <c r="K47" i="14" s="1"/>
  <c r="L47" i="14" s="1"/>
  <c r="X704" i="2"/>
  <c r="Y704" i="2" s="1"/>
  <c r="Z704" i="2" s="1"/>
  <c r="G710" i="2"/>
  <c r="L804" i="2"/>
  <c r="L808" i="2" s="1"/>
  <c r="D18" i="19" s="1"/>
  <c r="G725" i="2"/>
  <c r="C30" i="33" s="1"/>
  <c r="X717" i="2"/>
  <c r="Y717" i="2" s="1"/>
  <c r="Z717" i="2" s="1"/>
  <c r="E20" i="25" l="1"/>
  <c r="E24" i="25" s="1"/>
  <c r="D64" i="33"/>
  <c r="E64" i="33" s="1"/>
  <c r="G64" i="33" s="1"/>
  <c r="I38" i="33" s="1"/>
  <c r="D20" i="25"/>
  <c r="D24" i="25" s="1"/>
  <c r="D41" i="25" s="1"/>
  <c r="D49" i="25" s="1"/>
  <c r="D59" i="33"/>
  <c r="E59" i="33" s="1"/>
  <c r="G59" i="33" s="1"/>
  <c r="I33" i="33" s="1"/>
  <c r="P804" i="2"/>
  <c r="P808" i="2" s="1"/>
  <c r="D18" i="26" s="1"/>
  <c r="D20" i="26" s="1"/>
  <c r="D24" i="26" s="1"/>
  <c r="D41" i="26" s="1"/>
  <c r="D49" i="26" s="1"/>
  <c r="Q804" i="2"/>
  <c r="Q808" i="2" s="1"/>
  <c r="D66" i="33"/>
  <c r="E66" i="33" s="1"/>
  <c r="G66" i="33" s="1"/>
  <c r="I40" i="33" s="1"/>
  <c r="G40" i="33"/>
  <c r="D60" i="33"/>
  <c r="E60" i="33" s="1"/>
  <c r="G60" i="33" s="1"/>
  <c r="I35" i="33" s="1"/>
  <c r="K804" i="2"/>
  <c r="K808" i="2" s="1"/>
  <c r="D18" i="17" s="1"/>
  <c r="I44" i="33"/>
  <c r="I45" i="33"/>
  <c r="D20" i="32"/>
  <c r="D24" i="32" s="1"/>
  <c r="D41" i="32" s="1"/>
  <c r="D49" i="32" s="1"/>
  <c r="C47" i="33"/>
  <c r="E58" i="33"/>
  <c r="G58" i="33" s="1"/>
  <c r="I32" i="33" s="1"/>
  <c r="D20" i="21"/>
  <c r="D24" i="21" s="1"/>
  <c r="D41" i="21" s="1"/>
  <c r="D49" i="21" s="1"/>
  <c r="E18" i="27"/>
  <c r="D20" i="27"/>
  <c r="D24" i="27" s="1"/>
  <c r="D41" i="27" s="1"/>
  <c r="D49" i="27" s="1"/>
  <c r="D20" i="20"/>
  <c r="D24" i="20" s="1"/>
  <c r="D41" i="20" s="1"/>
  <c r="D49" i="20" s="1"/>
  <c r="G764" i="2"/>
  <c r="X725" i="2"/>
  <c r="Y725" i="2" s="1"/>
  <c r="Z725" i="2" s="1"/>
  <c r="G781" i="2"/>
  <c r="D20" i="19"/>
  <c r="D24" i="19" s="1"/>
  <c r="D41" i="19" s="1"/>
  <c r="D49" i="19" s="1"/>
  <c r="E18" i="19"/>
  <c r="F18" i="21"/>
  <c r="E20" i="21"/>
  <c r="F20" i="25"/>
  <c r="F24" i="25" s="1"/>
  <c r="G18" i="25"/>
  <c r="E20" i="20"/>
  <c r="F18" i="20"/>
  <c r="G736" i="2"/>
  <c r="G742" i="2"/>
  <c r="G680" i="2"/>
  <c r="G744" i="2"/>
  <c r="X744" i="2" s="1"/>
  <c r="Y744" i="2" s="1"/>
  <c r="Z744" i="2" s="1"/>
  <c r="X710" i="2"/>
  <c r="Y710" i="2" s="1"/>
  <c r="Z710" i="2" s="1"/>
  <c r="G743" i="2"/>
  <c r="X743" i="2" s="1"/>
  <c r="Y743" i="2" s="1"/>
  <c r="Z743" i="2" s="1"/>
  <c r="F18" i="32"/>
  <c r="E20" i="32"/>
  <c r="X782" i="2" l="1"/>
  <c r="Y782" i="2" s="1"/>
  <c r="H30" i="33"/>
  <c r="G798" i="2"/>
  <c r="G797" i="2"/>
  <c r="G800" i="2"/>
  <c r="D26" i="14" s="1"/>
  <c r="E18" i="26"/>
  <c r="F18" i="26" s="1"/>
  <c r="D20" i="17"/>
  <c r="D24" i="17" s="1"/>
  <c r="D41" i="17" s="1"/>
  <c r="D49" i="17" s="1"/>
  <c r="E18" i="17"/>
  <c r="F18" i="27"/>
  <c r="E20" i="27"/>
  <c r="F20" i="32"/>
  <c r="F24" i="32" s="1"/>
  <c r="G18" i="32"/>
  <c r="X680" i="2"/>
  <c r="Y680" i="2" s="1"/>
  <c r="Z680" i="2" s="1"/>
  <c r="G684" i="2"/>
  <c r="D7" i="33" s="1"/>
  <c r="E24" i="20"/>
  <c r="X781" i="2"/>
  <c r="Y781" i="2" s="1"/>
  <c r="Z781" i="2" s="1"/>
  <c r="G789" i="2"/>
  <c r="C56" i="33" s="1"/>
  <c r="X742" i="2"/>
  <c r="Y742" i="2" s="1"/>
  <c r="Z742" i="2" s="1"/>
  <c r="G745" i="2"/>
  <c r="H18" i="25"/>
  <c r="G20" i="25"/>
  <c r="G24" i="25" s="1"/>
  <c r="E24" i="21"/>
  <c r="X736" i="2"/>
  <c r="Y736" i="2" s="1"/>
  <c r="Z736" i="2" s="1"/>
  <c r="G749" i="2"/>
  <c r="D30" i="33" s="1"/>
  <c r="G18" i="21"/>
  <c r="F20" i="21"/>
  <c r="F24" i="21" s="1"/>
  <c r="X764" i="2"/>
  <c r="Y764" i="2" s="1"/>
  <c r="Z764" i="2" s="1"/>
  <c r="E24" i="32"/>
  <c r="F20" i="20"/>
  <c r="F24" i="20" s="1"/>
  <c r="G18" i="20"/>
  <c r="E20" i="19"/>
  <c r="F18" i="19"/>
  <c r="H800" i="2" l="1"/>
  <c r="X800" i="2" s="1"/>
  <c r="Y800" i="2" s="1"/>
  <c r="Z800" i="2" s="1"/>
  <c r="H798" i="2"/>
  <c r="X798" i="2" s="1"/>
  <c r="Y798" i="2" s="1"/>
  <c r="Z798" i="2" s="1"/>
  <c r="H797" i="2"/>
  <c r="H789" i="2"/>
  <c r="D36" i="14"/>
  <c r="E20" i="26"/>
  <c r="E24" i="26" s="1"/>
  <c r="F18" i="17"/>
  <c r="E20" i="17"/>
  <c r="E24" i="17" s="1"/>
  <c r="D47" i="33"/>
  <c r="E30" i="33"/>
  <c r="D22" i="33"/>
  <c r="E7" i="33"/>
  <c r="E24" i="27"/>
  <c r="G18" i="27"/>
  <c r="F20" i="27"/>
  <c r="F24" i="27" s="1"/>
  <c r="X749" i="2"/>
  <c r="Y749" i="2" s="1"/>
  <c r="Z749" i="2" s="1"/>
  <c r="G794" i="2"/>
  <c r="G751" i="2"/>
  <c r="H20" i="25"/>
  <c r="I18" i="25"/>
  <c r="F20" i="19"/>
  <c r="F24" i="19" s="1"/>
  <c r="G18" i="19"/>
  <c r="Z796" i="2"/>
  <c r="X745" i="2"/>
  <c r="Y745" i="2" s="1"/>
  <c r="Z745" i="2" s="1"/>
  <c r="G766" i="2"/>
  <c r="G20" i="32"/>
  <c r="H18" i="32"/>
  <c r="E24" i="19"/>
  <c r="G20" i="21"/>
  <c r="H18" i="21"/>
  <c r="G20" i="20"/>
  <c r="G24" i="20" s="1"/>
  <c r="H18" i="20"/>
  <c r="F20" i="26"/>
  <c r="F24" i="26" s="1"/>
  <c r="G18" i="26"/>
  <c r="X684" i="2"/>
  <c r="Y684" i="2" s="1"/>
  <c r="Z684" i="2" s="1"/>
  <c r="G686" i="2"/>
  <c r="X686" i="2" s="1"/>
  <c r="Y686" i="2" s="1"/>
  <c r="Z686" i="2" s="1"/>
  <c r="H802" i="2" l="1"/>
  <c r="D57" i="33" s="1"/>
  <c r="X797" i="2"/>
  <c r="Y797" i="2" s="1"/>
  <c r="Z797" i="2" s="1"/>
  <c r="X789" i="2"/>
  <c r="Y789" i="2" s="1"/>
  <c r="Z789" i="2" s="1"/>
  <c r="C57" i="33"/>
  <c r="C73" i="33" s="1"/>
  <c r="D39" i="14"/>
  <c r="J36" i="14"/>
  <c r="J39" i="14" s="1"/>
  <c r="I36" i="14"/>
  <c r="I39" i="14" s="1"/>
  <c r="G36" i="14"/>
  <c r="G39" i="14" s="1"/>
  <c r="F36" i="14"/>
  <c r="F39" i="14" s="1"/>
  <c r="E36" i="14"/>
  <c r="H36" i="14"/>
  <c r="H39" i="14" s="1"/>
  <c r="F20" i="17"/>
  <c r="F24" i="17" s="1"/>
  <c r="G18" i="17"/>
  <c r="G7" i="33"/>
  <c r="E22" i="33"/>
  <c r="G22" i="33" s="1"/>
  <c r="G30" i="33"/>
  <c r="E47" i="33"/>
  <c r="G47" i="33" s="1"/>
  <c r="H18" i="27"/>
  <c r="G20" i="27"/>
  <c r="G24" i="27" s="1"/>
  <c r="X766" i="2"/>
  <c r="Y766" i="2" s="1"/>
  <c r="Z766" i="2" s="1"/>
  <c r="G772" i="2"/>
  <c r="X772" i="2" s="1"/>
  <c r="Y772" i="2" s="1"/>
  <c r="Z772" i="2" s="1"/>
  <c r="G20" i="26"/>
  <c r="G24" i="26" s="1"/>
  <c r="H18" i="26"/>
  <c r="H20" i="21"/>
  <c r="H24" i="21" s="1"/>
  <c r="I18" i="21"/>
  <c r="I18" i="32"/>
  <c r="H20" i="32"/>
  <c r="H24" i="32" s="1"/>
  <c r="I20" i="25"/>
  <c r="I24" i="25" s="1"/>
  <c r="J18" i="25"/>
  <c r="J20" i="25" s="1"/>
  <c r="J24" i="25" s="1"/>
  <c r="G759" i="2"/>
  <c r="X751" i="2"/>
  <c r="Y751" i="2" s="1"/>
  <c r="Z751" i="2" s="1"/>
  <c r="G24" i="21"/>
  <c r="G24" i="32"/>
  <c r="H24" i="25"/>
  <c r="X794" i="2"/>
  <c r="Y794" i="2" s="1"/>
  <c r="Z794" i="2" s="1"/>
  <c r="G802" i="2"/>
  <c r="D56" i="33" s="1"/>
  <c r="H20" i="20"/>
  <c r="H24" i="20" s="1"/>
  <c r="I18" i="20"/>
  <c r="H18" i="19"/>
  <c r="G20" i="19"/>
  <c r="G24" i="19" s="1"/>
  <c r="H804" i="2" l="1"/>
  <c r="H808" i="2" s="1"/>
  <c r="E57" i="33"/>
  <c r="G57" i="33" s="1"/>
  <c r="K36" i="14"/>
  <c r="L36" i="14" s="1"/>
  <c r="E39" i="14"/>
  <c r="K39" i="14" s="1"/>
  <c r="L39" i="14" s="1"/>
  <c r="G20" i="17"/>
  <c r="G24" i="17" s="1"/>
  <c r="H18" i="17"/>
  <c r="D73" i="33"/>
  <c r="E56" i="33"/>
  <c r="I18" i="27"/>
  <c r="H20" i="27"/>
  <c r="I20" i="32"/>
  <c r="J18" i="32"/>
  <c r="J20" i="32" s="1"/>
  <c r="J24" i="32" s="1"/>
  <c r="I20" i="21"/>
  <c r="J18" i="21"/>
  <c r="J20" i="21" s="1"/>
  <c r="J24" i="21" s="1"/>
  <c r="K20" i="25"/>
  <c r="L20" i="25" s="1"/>
  <c r="X802" i="2"/>
  <c r="Y802" i="2" s="1"/>
  <c r="Z802" i="2" s="1"/>
  <c r="G804" i="2"/>
  <c r="H20" i="19"/>
  <c r="H24" i="19" s="1"/>
  <c r="I18" i="19"/>
  <c r="J18" i="20"/>
  <c r="J20" i="20" s="1"/>
  <c r="J24" i="20" s="1"/>
  <c r="I20" i="20"/>
  <c r="I24" i="20" s="1"/>
  <c r="K24" i="25"/>
  <c r="I26" i="25" s="1"/>
  <c r="I41" i="25" s="1"/>
  <c r="I49" i="25" s="1"/>
  <c r="I53" i="25" s="1"/>
  <c r="I18" i="26"/>
  <c r="H20" i="26"/>
  <c r="H24" i="26" s="1"/>
  <c r="I18" i="17" l="1"/>
  <c r="H20" i="17"/>
  <c r="G56" i="33"/>
  <c r="I30" i="33" s="1"/>
  <c r="E73" i="33"/>
  <c r="G73" i="33" s="1"/>
  <c r="I47" i="33" s="1"/>
  <c r="H24" i="27"/>
  <c r="J18" i="27"/>
  <c r="J20" i="27" s="1"/>
  <c r="J24" i="27" s="1"/>
  <c r="I20" i="27"/>
  <c r="I24" i="27" s="1"/>
  <c r="J26" i="25"/>
  <c r="J41" i="25" s="1"/>
  <c r="J49" i="25" s="1"/>
  <c r="J53" i="25" s="1"/>
  <c r="K53" i="25" s="1"/>
  <c r="H26" i="25"/>
  <c r="H41" i="25" s="1"/>
  <c r="H49" i="25" s="1"/>
  <c r="H53" i="25" s="1"/>
  <c r="J18" i="26"/>
  <c r="J20" i="26" s="1"/>
  <c r="J24" i="26" s="1"/>
  <c r="I20" i="26"/>
  <c r="K24" i="20"/>
  <c r="I26" i="20" s="1"/>
  <c r="I41" i="20" s="1"/>
  <c r="I49" i="20" s="1"/>
  <c r="I53" i="20" s="1"/>
  <c r="K20" i="20"/>
  <c r="L20" i="20" s="1"/>
  <c r="I24" i="21"/>
  <c r="K20" i="21"/>
  <c r="L20" i="21" s="1"/>
  <c r="G808" i="2"/>
  <c r="D18" i="14" s="1"/>
  <c r="X804" i="2"/>
  <c r="Y804" i="2" s="1"/>
  <c r="Z804" i="2" s="1"/>
  <c r="L24" i="25"/>
  <c r="E26" i="25"/>
  <c r="F26" i="25"/>
  <c r="F41" i="25" s="1"/>
  <c r="F49" i="25" s="1"/>
  <c r="F53" i="25" s="1"/>
  <c r="K57" i="25" s="1"/>
  <c r="G26" i="25"/>
  <c r="G41" i="25" s="1"/>
  <c r="G49" i="25" s="1"/>
  <c r="G53" i="25" s="1"/>
  <c r="I20" i="19"/>
  <c r="I24" i="19" s="1"/>
  <c r="J18" i="19"/>
  <c r="J20" i="19" s="1"/>
  <c r="J24" i="19" s="1"/>
  <c r="I24" i="32"/>
  <c r="K20" i="32"/>
  <c r="L20" i="32" s="1"/>
  <c r="H24" i="17" l="1"/>
  <c r="J18" i="17"/>
  <c r="J20" i="17" s="1"/>
  <c r="J24" i="17" s="1"/>
  <c r="I20" i="17"/>
  <c r="I24" i="17" s="1"/>
  <c r="K20" i="27"/>
  <c r="L20" i="27" s="1"/>
  <c r="K24" i="27"/>
  <c r="J26" i="27" s="1"/>
  <c r="J41" i="27" s="1"/>
  <c r="J49" i="27" s="1"/>
  <c r="J53" i="27" s="1"/>
  <c r="K55" i="25"/>
  <c r="L55" i="25" s="1"/>
  <c r="J26" i="20"/>
  <c r="J41" i="20" s="1"/>
  <c r="J49" i="20" s="1"/>
  <c r="J53" i="20" s="1"/>
  <c r="K53" i="20" s="1"/>
  <c r="E18" i="14"/>
  <c r="D20" i="14"/>
  <c r="D24" i="14" s="1"/>
  <c r="D41" i="14" s="1"/>
  <c r="D49" i="14" s="1"/>
  <c r="K24" i="19"/>
  <c r="E26" i="19" s="1"/>
  <c r="K24" i="21"/>
  <c r="K24" i="32"/>
  <c r="K26" i="25"/>
  <c r="L26" i="25" s="1"/>
  <c r="E41" i="25"/>
  <c r="K20" i="19"/>
  <c r="L20" i="19" s="1"/>
  <c r="I24" i="26"/>
  <c r="K20" i="26"/>
  <c r="L20" i="26" s="1"/>
  <c r="L24" i="20"/>
  <c r="E26" i="20"/>
  <c r="F26" i="20"/>
  <c r="F41" i="20" s="1"/>
  <c r="F49" i="20" s="1"/>
  <c r="F53" i="20" s="1"/>
  <c r="K57" i="20" s="1"/>
  <c r="G26" i="20"/>
  <c r="G41" i="20" s="1"/>
  <c r="G49" i="20" s="1"/>
  <c r="G53" i="20" s="1"/>
  <c r="H26" i="20"/>
  <c r="H41" i="20" s="1"/>
  <c r="H49" i="20" s="1"/>
  <c r="H53" i="20" s="1"/>
  <c r="K20" i="17" l="1"/>
  <c r="L20" i="17" s="1"/>
  <c r="K24" i="17"/>
  <c r="J26" i="19"/>
  <c r="J41" i="19" s="1"/>
  <c r="J49" i="19" s="1"/>
  <c r="J53" i="19" s="1"/>
  <c r="H26" i="27"/>
  <c r="H41" i="27" s="1"/>
  <c r="H49" i="27" s="1"/>
  <c r="H53" i="27" s="1"/>
  <c r="L24" i="27"/>
  <c r="F26" i="27"/>
  <c r="F41" i="27" s="1"/>
  <c r="F49" i="27" s="1"/>
  <c r="F53" i="27" s="1"/>
  <c r="K57" i="27" s="1"/>
  <c r="E26" i="27"/>
  <c r="G26" i="27"/>
  <c r="G41" i="27" s="1"/>
  <c r="G49" i="27" s="1"/>
  <c r="G53" i="27" s="1"/>
  <c r="I26" i="27"/>
  <c r="I41" i="27" s="1"/>
  <c r="I49" i="27" s="1"/>
  <c r="I53" i="27" s="1"/>
  <c r="K55" i="20"/>
  <c r="L55" i="20" s="1"/>
  <c r="I26" i="19"/>
  <c r="I41" i="19" s="1"/>
  <c r="I49" i="19" s="1"/>
  <c r="I53" i="19" s="1"/>
  <c r="L24" i="19"/>
  <c r="H26" i="19"/>
  <c r="H41" i="19" s="1"/>
  <c r="H49" i="19" s="1"/>
  <c r="H53" i="19" s="1"/>
  <c r="G26" i="19"/>
  <c r="G41" i="19" s="1"/>
  <c r="G49" i="19" s="1"/>
  <c r="G53" i="19" s="1"/>
  <c r="F26" i="19"/>
  <c r="F41" i="19" s="1"/>
  <c r="F49" i="19" s="1"/>
  <c r="F53" i="19" s="1"/>
  <c r="K57" i="19" s="1"/>
  <c r="F18" i="14"/>
  <c r="E20" i="14"/>
  <c r="L24" i="32"/>
  <c r="E26" i="32"/>
  <c r="F26" i="32"/>
  <c r="F41" i="32" s="1"/>
  <c r="F49" i="32" s="1"/>
  <c r="F53" i="32" s="1"/>
  <c r="K57" i="32" s="1"/>
  <c r="G26" i="32"/>
  <c r="G41" i="32" s="1"/>
  <c r="G49" i="32" s="1"/>
  <c r="G53" i="32" s="1"/>
  <c r="H26" i="32"/>
  <c r="H41" i="32" s="1"/>
  <c r="H49" i="32" s="1"/>
  <c r="H53" i="32" s="1"/>
  <c r="J26" i="32"/>
  <c r="J41" i="32" s="1"/>
  <c r="J49" i="32" s="1"/>
  <c r="J53" i="32" s="1"/>
  <c r="L24" i="21"/>
  <c r="E26" i="21"/>
  <c r="F26" i="21"/>
  <c r="F41" i="21" s="1"/>
  <c r="F49" i="21" s="1"/>
  <c r="F53" i="21" s="1"/>
  <c r="K57" i="21" s="1"/>
  <c r="G26" i="21"/>
  <c r="G41" i="21" s="1"/>
  <c r="G49" i="21" s="1"/>
  <c r="G53" i="21" s="1"/>
  <c r="H26" i="21"/>
  <c r="H41" i="21" s="1"/>
  <c r="H49" i="21" s="1"/>
  <c r="H53" i="21" s="1"/>
  <c r="J26" i="21"/>
  <c r="J41" i="21" s="1"/>
  <c r="J49" i="21" s="1"/>
  <c r="J53" i="21" s="1"/>
  <c r="K26" i="20"/>
  <c r="L26" i="20" s="1"/>
  <c r="E41" i="20"/>
  <c r="K24" i="26"/>
  <c r="K41" i="25"/>
  <c r="L41" i="25" s="1"/>
  <c r="E49" i="25"/>
  <c r="I26" i="32"/>
  <c r="I41" i="32" s="1"/>
  <c r="I49" i="32" s="1"/>
  <c r="I53" i="32" s="1"/>
  <c r="I26" i="21"/>
  <c r="I41" i="21" s="1"/>
  <c r="I49" i="21" s="1"/>
  <c r="I53" i="21" s="1"/>
  <c r="E41" i="19"/>
  <c r="L24" i="17" l="1"/>
  <c r="H26" i="17"/>
  <c r="H41" i="17" s="1"/>
  <c r="H49" i="17" s="1"/>
  <c r="H53" i="17" s="1"/>
  <c r="J26" i="17"/>
  <c r="J41" i="17" s="1"/>
  <c r="J49" i="17" s="1"/>
  <c r="J53" i="17" s="1"/>
  <c r="E26" i="17"/>
  <c r="F26" i="17"/>
  <c r="F41" i="17" s="1"/>
  <c r="F49" i="17" s="1"/>
  <c r="F53" i="17" s="1"/>
  <c r="K57" i="17" s="1"/>
  <c r="G26" i="17"/>
  <c r="G41" i="17" s="1"/>
  <c r="G49" i="17" s="1"/>
  <c r="G53" i="17" s="1"/>
  <c r="I26" i="17"/>
  <c r="I41" i="17" s="1"/>
  <c r="I49" i="17" s="1"/>
  <c r="I53" i="17" s="1"/>
  <c r="K55" i="19"/>
  <c r="L55" i="19" s="1"/>
  <c r="E41" i="27"/>
  <c r="K26" i="27"/>
  <c r="L26" i="27" s="1"/>
  <c r="K53" i="27"/>
  <c r="K55" i="27"/>
  <c r="K53" i="19"/>
  <c r="K26" i="19"/>
  <c r="L26" i="19" s="1"/>
  <c r="E24" i="14"/>
  <c r="G18" i="14"/>
  <c r="F20" i="14"/>
  <c r="F24" i="14" s="1"/>
  <c r="L24" i="26"/>
  <c r="F26" i="26"/>
  <c r="F41" i="26" s="1"/>
  <c r="F49" i="26" s="1"/>
  <c r="F53" i="26" s="1"/>
  <c r="K57" i="26" s="1"/>
  <c r="E26" i="26"/>
  <c r="G26" i="26"/>
  <c r="G41" i="26" s="1"/>
  <c r="G49" i="26" s="1"/>
  <c r="G53" i="26" s="1"/>
  <c r="H26" i="26"/>
  <c r="H41" i="26" s="1"/>
  <c r="H49" i="26" s="1"/>
  <c r="H53" i="26" s="1"/>
  <c r="J26" i="26"/>
  <c r="J41" i="26" s="1"/>
  <c r="J49" i="26" s="1"/>
  <c r="J53" i="26" s="1"/>
  <c r="K26" i="32"/>
  <c r="L26" i="32" s="1"/>
  <c r="E41" i="32"/>
  <c r="I26" i="26"/>
  <c r="I41" i="26" s="1"/>
  <c r="I49" i="26" s="1"/>
  <c r="I53" i="26" s="1"/>
  <c r="K41" i="19"/>
  <c r="L41" i="19" s="1"/>
  <c r="E49" i="19"/>
  <c r="K53" i="32"/>
  <c r="K55" i="32"/>
  <c r="K53" i="21"/>
  <c r="K55" i="21"/>
  <c r="L55" i="21" s="1"/>
  <c r="K49" i="25"/>
  <c r="L49" i="25" s="1"/>
  <c r="E53" i="25"/>
  <c r="K56" i="25" s="1"/>
  <c r="K41" i="20"/>
  <c r="L41" i="20" s="1"/>
  <c r="E49" i="20"/>
  <c r="K26" i="21"/>
  <c r="L26" i="21" s="1"/>
  <c r="E41" i="21"/>
  <c r="K26" i="17" l="1"/>
  <c r="L26" i="17" s="1"/>
  <c r="E41" i="17"/>
  <c r="K53" i="17"/>
  <c r="K55" i="17"/>
  <c r="L55" i="17" s="1"/>
  <c r="K60" i="32"/>
  <c r="K61" i="32" s="1"/>
  <c r="L53" i="32"/>
  <c r="K60" i="27"/>
  <c r="K61" i="27" s="1"/>
  <c r="L53" i="27"/>
  <c r="L56" i="27"/>
  <c r="M56" i="27"/>
  <c r="E49" i="27"/>
  <c r="K41" i="27"/>
  <c r="L41" i="27" s="1"/>
  <c r="H18" i="14"/>
  <c r="G20" i="14"/>
  <c r="G24" i="14" s="1"/>
  <c r="E49" i="32"/>
  <c r="K41" i="32"/>
  <c r="L41" i="32" s="1"/>
  <c r="K26" i="26"/>
  <c r="L26" i="26" s="1"/>
  <c r="E41" i="26"/>
  <c r="M56" i="32"/>
  <c r="L56" i="32"/>
  <c r="K41" i="21"/>
  <c r="L41" i="21" s="1"/>
  <c r="E49" i="21"/>
  <c r="E53" i="20"/>
  <c r="K56" i="20" s="1"/>
  <c r="K49" i="20"/>
  <c r="L49" i="20" s="1"/>
  <c r="K49" i="19"/>
  <c r="L49" i="19" s="1"/>
  <c r="E53" i="19"/>
  <c r="K56" i="19" s="1"/>
  <c r="K53" i="26"/>
  <c r="K55" i="26"/>
  <c r="L55" i="26" s="1"/>
  <c r="K41" i="17" l="1"/>
  <c r="L41" i="17" s="1"/>
  <c r="E49" i="17"/>
  <c r="K49" i="27"/>
  <c r="L49" i="27" s="1"/>
  <c r="E53" i="27"/>
  <c r="K56" i="27" s="1"/>
  <c r="K63" i="27" s="1"/>
  <c r="L63" i="27" s="1"/>
  <c r="I18" i="14"/>
  <c r="H20" i="14"/>
  <c r="H24" i="14" s="1"/>
  <c r="E53" i="21"/>
  <c r="K56" i="21" s="1"/>
  <c r="K49" i="21"/>
  <c r="L49" i="21" s="1"/>
  <c r="K41" i="26"/>
  <c r="L41" i="26" s="1"/>
  <c r="E49" i="26"/>
  <c r="E53" i="32"/>
  <c r="K56" i="32" s="1"/>
  <c r="K63" i="32" s="1"/>
  <c r="L63" i="32" s="1"/>
  <c r="K49" i="32"/>
  <c r="L49" i="32" s="1"/>
  <c r="K49" i="17" l="1"/>
  <c r="L49" i="17" s="1"/>
  <c r="E53" i="17"/>
  <c r="K56" i="17" s="1"/>
  <c r="J18" i="14"/>
  <c r="J20" i="14" s="1"/>
  <c r="J24" i="14" s="1"/>
  <c r="I20" i="14"/>
  <c r="I24" i="14" s="1"/>
  <c r="E53" i="26"/>
  <c r="K56" i="26" s="1"/>
  <c r="K49" i="26"/>
  <c r="L49" i="26" s="1"/>
  <c r="K24" i="14" l="1"/>
  <c r="K20" i="14"/>
  <c r="L20" i="14" s="1"/>
  <c r="L24" i="14" l="1"/>
  <c r="F26" i="14"/>
  <c r="F41" i="14" s="1"/>
  <c r="F49" i="14" s="1"/>
  <c r="E26" i="14"/>
  <c r="G26" i="14"/>
  <c r="G41" i="14" s="1"/>
  <c r="G49" i="14" s="1"/>
  <c r="G53" i="14" s="1"/>
  <c r="H26" i="14"/>
  <c r="H41" i="14" s="1"/>
  <c r="H49" i="14" s="1"/>
  <c r="H53" i="14" s="1"/>
  <c r="J26" i="14"/>
  <c r="J41" i="14" s="1"/>
  <c r="J49" i="14" s="1"/>
  <c r="J53" i="14" s="1"/>
  <c r="I26" i="14"/>
  <c r="I41" i="14" s="1"/>
  <c r="I49" i="14" s="1"/>
  <c r="I53" i="14" l="1"/>
  <c r="K55" i="14" s="1"/>
  <c r="F53" i="14"/>
  <c r="K57" i="14" s="1"/>
  <c r="K26" i="14"/>
  <c r="L26" i="14" s="1"/>
  <c r="E41" i="14"/>
  <c r="K60" i="14" l="1"/>
  <c r="K61" i="14" s="1"/>
  <c r="L55" i="14"/>
  <c r="K53" i="14"/>
  <c r="K41" i="14"/>
  <c r="L41" i="14" s="1"/>
  <c r="E49" i="14"/>
  <c r="K49" i="14" l="1"/>
  <c r="E53" i="14"/>
  <c r="K56" i="14" s="1"/>
  <c r="K63" i="14" s="1"/>
  <c r="L63" i="14" s="1"/>
  <c r="Q56" i="14" l="1"/>
  <c r="Q58" i="14"/>
  <c r="Q57" i="14"/>
  <c r="L49" i="14"/>
  <c r="Q59"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11" authorId="0" shapeId="0" xr:uid="{00000000-0006-0000-0000-000001000000}">
      <text>
        <r>
          <rPr>
            <sz val="8"/>
            <color indexed="81"/>
            <rFont val="Tahoma"/>
            <family val="2"/>
          </rPr>
          <t>Average No Customers, KU FR page 17 Kentucky only Ultimate Consumers</t>
        </r>
      </text>
    </comment>
    <comment ref="F112" authorId="0" shapeId="0" xr:uid="{00000000-0006-0000-0000-000002000000}">
      <text>
        <r>
          <rPr>
            <sz val="8"/>
            <color indexed="81"/>
            <rFont val="Tahoma"/>
            <family val="2"/>
          </rPr>
          <t>Average No Customers, KU FR page 17 Kentucky only</t>
        </r>
      </text>
    </comment>
    <comment ref="H112" authorId="0" shapeId="0" xr:uid="{00000000-0006-0000-0000-000003000000}">
      <text>
        <r>
          <rPr>
            <sz val="8"/>
            <color indexed="81"/>
            <rFont val="Tahoma"/>
            <family val="2"/>
          </rPr>
          <t>Average No Customers, KU FR page 17 Virginia only</t>
        </r>
      </text>
    </comment>
    <comment ref="U771" authorId="0" shapeId="0" xr:uid="{00000000-0006-0000-0000-000004000000}">
      <text>
        <r>
          <rPr>
            <b/>
            <sz val="9"/>
            <color indexed="81"/>
            <rFont val="Tahoma"/>
            <family val="2"/>
          </rPr>
          <t>Reflects amount of allocation to FERC Primary using DEM30K allocator. Total amount should be assigned to KY Juris</t>
        </r>
      </text>
    </comment>
    <comment ref="Z1123" authorId="0" shapeId="0" xr:uid="{00000000-0006-0000-0000-000005000000}">
      <text>
        <r>
          <rPr>
            <b/>
            <sz val="9"/>
            <color indexed="81"/>
            <rFont val="Tahoma"/>
            <family val="2"/>
          </rPr>
          <t>GR REG ASSET AMORT ACCT 926</t>
        </r>
      </text>
    </comment>
    <comment ref="AA1123" authorId="0" shapeId="0" xr:uid="{00000000-0006-0000-0000-000006000000}">
      <text>
        <r>
          <rPr>
            <b/>
            <sz val="9"/>
            <color indexed="81"/>
            <rFont val="Tahoma"/>
            <family val="2"/>
          </rPr>
          <t>PENSION GROSSUP FROM TB ACCT 926112</t>
        </r>
      </text>
    </comment>
    <comment ref="AB1123" authorId="0" shapeId="0" xr:uid="{00000000-0006-0000-0000-000007000000}">
      <text>
        <r>
          <rPr>
            <b/>
            <sz val="9"/>
            <color indexed="81"/>
            <rFont val="Tahoma"/>
            <family val="2"/>
          </rPr>
          <t>PENSION GROSSUP AMT FROM TB ACCT 926113</t>
        </r>
      </text>
    </comment>
    <comment ref="AC1123" authorId="0" shapeId="0" xr:uid="{00000000-0006-0000-0000-000008000000}">
      <text>
        <r>
          <rPr>
            <b/>
            <sz val="9"/>
            <color indexed="81"/>
            <rFont val="Tahoma"/>
            <family val="2"/>
          </rPr>
          <t>PENSION GROSSUP AMT FROM TB ACCT 926113</t>
        </r>
      </text>
    </comment>
  </commentList>
</comments>
</file>

<file path=xl/sharedStrings.xml><?xml version="1.0" encoding="utf-8"?>
<sst xmlns="http://schemas.openxmlformats.org/spreadsheetml/2006/main" count="6269" uniqueCount="2576">
  <si>
    <t xml:space="preserve">    DISTRIBUTION</t>
  </si>
  <si>
    <t xml:space="preserve">    POWER POOL</t>
  </si>
  <si>
    <t xml:space="preserve">    ALL OTHER</t>
  </si>
  <si>
    <t xml:space="preserve"> TOTAL KENTUCKY DISTRIB PLANT</t>
  </si>
  <si>
    <t xml:space="preserve"> VIRGINIA DISTRIBUTION PLANT</t>
  </si>
  <si>
    <t xml:space="preserve"> TOTAL VIRGINIA DISTRIB PLANT</t>
  </si>
  <si>
    <t>ACCUMULATED PROVISION FOR DEP</t>
  </si>
  <si>
    <t xml:space="preserve"> PRODUCTION PLANT</t>
  </si>
  <si>
    <t xml:space="preserve">  STEAM PRODUCTION PLANT</t>
  </si>
  <si>
    <t xml:space="preserve">    SYSTEM</t>
  </si>
  <si>
    <t>Less Allocated RWIP</t>
  </si>
  <si>
    <t xml:space="preserve">    FERC-AFUDC PRE</t>
  </si>
  <si>
    <t xml:space="preserve">    FERC-AFUDC POST</t>
  </si>
  <si>
    <t xml:space="preserve">     TOTAL STEAM PROD PLT</t>
  </si>
  <si>
    <t xml:space="preserve">  HYDRAULIC PRODUCTION PLANT</t>
  </si>
  <si>
    <t xml:space="preserve">     TOTAL HYDRO PROD PLT</t>
  </si>
  <si>
    <t xml:space="preserve">  OTHER PRODUCTION PLANT</t>
  </si>
  <si>
    <t xml:space="preserve">     TOTAL OTHER PROD PLT</t>
  </si>
  <si>
    <t xml:space="preserve"> TOTAL PRODUCTION PLANT</t>
  </si>
  <si>
    <t xml:space="preserve"> TRANSMISSION PLANT</t>
  </si>
  <si>
    <t xml:space="preserve"> TOTAL TRANSMISSION PLANT</t>
  </si>
  <si>
    <t xml:space="preserve"> TOTAL DISTRIBUTION PLANT</t>
  </si>
  <si>
    <t xml:space="preserve"> GENERAL PLANT</t>
  </si>
  <si>
    <t xml:space="preserve"> INTANGIBLE PLANT-FRANCHISES</t>
  </si>
  <si>
    <t xml:space="preserve"> INTANGIBLE PLANT-SOFTWARE</t>
  </si>
  <si>
    <t>TOTAL DEPRECIATION RESERVE</t>
  </si>
  <si>
    <t>ADDITIONS TO NET PLANT</t>
  </si>
  <si>
    <t>VIRGINIA DISTRIBUTION PLANT</t>
  </si>
  <si>
    <t>VADIST</t>
  </si>
  <si>
    <t>TENNESSEE DISTRIBUTION PLT</t>
  </si>
  <si>
    <t>TNDIST</t>
  </si>
  <si>
    <t>NET ELECTRIC PLANT IN SERVICE</t>
  </si>
  <si>
    <t>NETPLANT</t>
  </si>
  <si>
    <t>RATE BASE</t>
  </si>
  <si>
    <t>RATEBASE</t>
  </si>
  <si>
    <t>TOTAL CWIP FERC-AFUDC POST</t>
  </si>
  <si>
    <t>TOTAL 203(E) EXCESS</t>
  </si>
  <si>
    <t>STEAM OPERATING EXP 501-507</t>
  </si>
  <si>
    <t>STEAM MAINTENANCE EXP 511-514</t>
  </si>
  <si>
    <t>HYDRO OPERATING EXP 536-540</t>
  </si>
  <si>
    <t>HYDRO MAINTENANCE EXP 542-545</t>
  </si>
  <si>
    <t>OTHER PROD OPER EXP 547-549</t>
  </si>
  <si>
    <t>OTHER PROD MAINT EXP 552-554</t>
  </si>
  <si>
    <t>TOT STEAM OPERATIONS LABOR</t>
  </si>
  <si>
    <t>LABSTMOP</t>
  </si>
  <si>
    <t>TOT STEAM MAINTENANCE LABOR</t>
  </si>
  <si>
    <t>LABSTMMN</t>
  </si>
  <si>
    <t>TOT HYDRO OPERATIONS LABOR</t>
  </si>
  <si>
    <t>LABHYDOP</t>
  </si>
  <si>
    <t>TOT HYDRO MAINTENANCE LABOR</t>
  </si>
  <si>
    <t>LABHYDMN</t>
  </si>
  <si>
    <t>TOT OTHER OPERATIONS LABOR</t>
  </si>
  <si>
    <t>LABOTHOP</t>
  </si>
  <si>
    <t>LABPTDFER</t>
  </si>
  <si>
    <t>REVENUES FROM ELECTRIC SALES</t>
  </si>
  <si>
    <t>ANNUALIZATION</t>
  </si>
  <si>
    <t>RATIO TABLE</t>
  </si>
  <si>
    <t>CAPACITY RELATED</t>
  </si>
  <si>
    <t xml:space="preserve">DIR ASSIGN ACCUM DEPREC.VA &amp; TN </t>
  </si>
  <si>
    <t>DIR ASSIGN CWIP VA &amp; TN</t>
  </si>
  <si>
    <t>DIR ASSIGN ACC DFD TAX VA</t>
  </si>
  <si>
    <t>Functional</t>
  </si>
  <si>
    <t>Total</t>
  </si>
  <si>
    <t>Accretion Expenses</t>
  </si>
  <si>
    <t xml:space="preserve">  Production Plant</t>
  </si>
  <si>
    <t xml:space="preserve">  Transmission Plant</t>
  </si>
  <si>
    <t>TACRT</t>
  </si>
  <si>
    <t>ACRTPP</t>
  </si>
  <si>
    <t>ACRTTP</t>
  </si>
  <si>
    <t>ACPPDB</t>
  </si>
  <si>
    <t>ACPPDI</t>
  </si>
  <si>
    <t>ACPPDP</t>
  </si>
  <si>
    <t>ACPPEB</t>
  </si>
  <si>
    <t>ACPPEI</t>
  </si>
  <si>
    <t>ACPPEP</t>
  </si>
  <si>
    <t>ACPPT</t>
  </si>
  <si>
    <t>ACTRB</t>
  </si>
  <si>
    <t>ACTRI</t>
  </si>
  <si>
    <t>ACTRP</t>
  </si>
  <si>
    <t>ACTRT</t>
  </si>
  <si>
    <t>ACDPS</t>
  </si>
  <si>
    <t>ACDSG</t>
  </si>
  <si>
    <t>ACDPLS</t>
  </si>
  <si>
    <t>ACDPLD</t>
  </si>
  <si>
    <t>ACDPLC</t>
  </si>
  <si>
    <t>ACDSLD</t>
  </si>
  <si>
    <t>ACDSLC</t>
  </si>
  <si>
    <t>ACDLT</t>
  </si>
  <si>
    <t>ACDLTD</t>
  </si>
  <si>
    <t>ACDLTC</t>
  </si>
  <si>
    <t>ACDLTT</t>
  </si>
  <si>
    <t>ACDSC</t>
  </si>
  <si>
    <t>ACDMC</t>
  </si>
  <si>
    <t>ACDSCL</t>
  </si>
  <si>
    <t>ACCAE</t>
  </si>
  <si>
    <t>ACCSI</t>
  </si>
  <si>
    <t>ACT</t>
  </si>
  <si>
    <t>Station Equipment</t>
  </si>
  <si>
    <t>Meters</t>
  </si>
  <si>
    <t>Description</t>
  </si>
  <si>
    <t>Name</t>
  </si>
  <si>
    <t>Vector</t>
  </si>
  <si>
    <t>System</t>
  </si>
  <si>
    <t>Demand</t>
  </si>
  <si>
    <t>Energy</t>
  </si>
  <si>
    <t>Customer</t>
  </si>
  <si>
    <t>Total Check</t>
  </si>
  <si>
    <t>Status</t>
  </si>
  <si>
    <t>Plant in Service</t>
  </si>
  <si>
    <t>PDIST</t>
  </si>
  <si>
    <t>Total Intangible Plant</t>
  </si>
  <si>
    <t>PINT</t>
  </si>
  <si>
    <t>Distribution</t>
  </si>
  <si>
    <t>P362</t>
  </si>
  <si>
    <t>F001</t>
  </si>
  <si>
    <t>F002</t>
  </si>
  <si>
    <t>P365</t>
  </si>
  <si>
    <t>F003</t>
  </si>
  <si>
    <t>F004</t>
  </si>
  <si>
    <t>P367</t>
  </si>
  <si>
    <t>P368</t>
  </si>
  <si>
    <t>F005</t>
  </si>
  <si>
    <t>P369</t>
  </si>
  <si>
    <t xml:space="preserve">  542-STRUCTURES</t>
  </si>
  <si>
    <t xml:space="preserve">  543-RESERV, DAMS &amp; WATERWAY</t>
  </si>
  <si>
    <t xml:space="preserve">  544-ELECTRIC PLANT</t>
  </si>
  <si>
    <t xml:space="preserve">  545-MISC HYDRAULIC PLANT</t>
  </si>
  <si>
    <t>Distribution Meters</t>
  </si>
  <si>
    <t>Distribution Services</t>
  </si>
  <si>
    <t>Distribution Sec. Lines</t>
  </si>
  <si>
    <t>Distribution Primary Lines</t>
  </si>
  <si>
    <t>Distribution Line Trans.</t>
  </si>
  <si>
    <t>LB507</t>
  </si>
  <si>
    <t>PLTRB</t>
  </si>
  <si>
    <t>PLTRI</t>
  </si>
  <si>
    <t>PLTRP</t>
  </si>
  <si>
    <t>PLTRT</t>
  </si>
  <si>
    <t>Power Production Plant</t>
  </si>
  <si>
    <t>PLPPDB</t>
  </si>
  <si>
    <t>PLPPDI</t>
  </si>
  <si>
    <t>PLPPDP</t>
  </si>
  <si>
    <t>PLPPEB</t>
  </si>
  <si>
    <t>PLPPEI</t>
  </si>
  <si>
    <t>PLPPEP</t>
  </si>
  <si>
    <t>Distribution Street &amp; Customer Lighting</t>
  </si>
  <si>
    <t xml:space="preserve">  Specific</t>
  </si>
  <si>
    <t>Distribution Primary &amp; Secondary Lines</t>
  </si>
  <si>
    <t xml:space="preserve">  General</t>
  </si>
  <si>
    <t>PLDPS</t>
  </si>
  <si>
    <t>PLDSG</t>
  </si>
  <si>
    <t>PLDSC</t>
  </si>
  <si>
    <t>Total Distribution Primary &amp; Secondary Lines</t>
  </si>
  <si>
    <t>PLDPLS</t>
  </si>
  <si>
    <t>PLDPLD</t>
  </si>
  <si>
    <t>PLDPLC</t>
  </si>
  <si>
    <t>PLDSLD</t>
  </si>
  <si>
    <t>PLDSLC</t>
  </si>
  <si>
    <t>PLDLT</t>
  </si>
  <si>
    <t>PLDLTD</t>
  </si>
  <si>
    <t>PLDLTC</t>
  </si>
  <si>
    <t>Total Power Production Plant</t>
  </si>
  <si>
    <t>PLDMC</t>
  </si>
  <si>
    <t>PLDLTT</t>
  </si>
  <si>
    <t>PLDSCL</t>
  </si>
  <si>
    <t>PLCAE</t>
  </si>
  <si>
    <t>F006</t>
  </si>
  <si>
    <t>P370</t>
  </si>
  <si>
    <t>F007</t>
  </si>
  <si>
    <t>P371</t>
  </si>
  <si>
    <t>P373</t>
  </si>
  <si>
    <t>F008</t>
  </si>
  <si>
    <t>Total Distribution Plant</t>
  </si>
  <si>
    <t>General Plant</t>
  </si>
  <si>
    <t>Total General Plant</t>
  </si>
  <si>
    <t>PGP</t>
  </si>
  <si>
    <t>Total Plant in Service</t>
  </si>
  <si>
    <t>TPIS</t>
  </si>
  <si>
    <t>Construction Work in Progress (CWIP)</t>
  </si>
  <si>
    <t xml:space="preserve">  Total Construction Work in Progress</t>
  </si>
  <si>
    <t>TCWIP</t>
  </si>
  <si>
    <t>Materials and Supplies</t>
  </si>
  <si>
    <t>Rate Base</t>
  </si>
  <si>
    <t>Utility Plant</t>
  </si>
  <si>
    <t xml:space="preserve">    Total Utility Plant</t>
  </si>
  <si>
    <t>TUP</t>
  </si>
  <si>
    <t>Less: Acummulated Provision for Depreciation</t>
  </si>
  <si>
    <t xml:space="preserve">  General Plant</t>
  </si>
  <si>
    <t>ADEPRGP</t>
  </si>
  <si>
    <t xml:space="preserve">   Total Accumulated Depreciation</t>
  </si>
  <si>
    <t>TADEPR</t>
  </si>
  <si>
    <t>Net Utility Plant</t>
  </si>
  <si>
    <t>NTPLANT</t>
  </si>
  <si>
    <t>Total Prod, Trans, and Dist Plant</t>
  </si>
  <si>
    <t>Customer Advances</t>
  </si>
  <si>
    <t>Operating Revenue</t>
  </si>
  <si>
    <t>Pro-Forma Adjustments</t>
  </si>
  <si>
    <t>Total Pro-Forma Operating Expenses</t>
  </si>
  <si>
    <t>Net Income</t>
  </si>
  <si>
    <t>High Load Factor - Secondary</t>
  </si>
  <si>
    <t>High Load Factor - Primary</t>
  </si>
  <si>
    <t>Combined Light &amp; Power - Secondary</t>
  </si>
  <si>
    <t>Combined Light &amp; Power - Primary</t>
  </si>
  <si>
    <t>General Service - Primary</t>
  </si>
  <si>
    <t>Residential - Rate RS</t>
  </si>
  <si>
    <t>LBSUB6</t>
  </si>
  <si>
    <t>Combined Light &amp; Power - Trans.</t>
  </si>
  <si>
    <t>LMP Time of Day - Primary</t>
  </si>
  <si>
    <t>LMP Time of Day - Transmission</t>
  </si>
  <si>
    <t>MP Time of Day - Primary</t>
  </si>
  <si>
    <t>MP Time of Day - Transmission</t>
  </si>
  <si>
    <t>PLCSI</t>
  </si>
  <si>
    <t>PLSEC</t>
  </si>
  <si>
    <t>UPPPDB</t>
  </si>
  <si>
    <t>UPPPDI</t>
  </si>
  <si>
    <t>UPPPDP</t>
  </si>
  <si>
    <t>UPPPEB</t>
  </si>
  <si>
    <t>UPPPEI</t>
  </si>
  <si>
    <t>UPPPEP</t>
  </si>
  <si>
    <t>UPPPT</t>
  </si>
  <si>
    <t>UPTRB</t>
  </si>
  <si>
    <t>UPTRI</t>
  </si>
  <si>
    <t>UPTRP</t>
  </si>
  <si>
    <t>UPTRT</t>
  </si>
  <si>
    <t>UPDPS</t>
  </si>
  <si>
    <t>UPDSG</t>
  </si>
  <si>
    <t>UPDPLS</t>
  </si>
  <si>
    <t>UPDPLD</t>
  </si>
  <si>
    <t>UPDPLC</t>
  </si>
  <si>
    <t>UPDSLD</t>
  </si>
  <si>
    <t>UPDSLC</t>
  </si>
  <si>
    <t>UPDLT</t>
  </si>
  <si>
    <t>UPDLTD</t>
  </si>
  <si>
    <t>UPDLTC</t>
  </si>
  <si>
    <t>UPDLTT</t>
  </si>
  <si>
    <t>UPDSC</t>
  </si>
  <si>
    <t>UPDMC</t>
  </si>
  <si>
    <t>UPDSCL</t>
  </si>
  <si>
    <t>UPCAE</t>
  </si>
  <si>
    <t>UPCSI</t>
  </si>
  <si>
    <t>UPSEC</t>
  </si>
  <si>
    <t>UPT</t>
  </si>
  <si>
    <t>RBPPDB</t>
  </si>
  <si>
    <t>RBPPDI</t>
  </si>
  <si>
    <t>RBPPDP</t>
  </si>
  <si>
    <t>RBPPEB</t>
  </si>
  <si>
    <t>RBPPEI</t>
  </si>
  <si>
    <t>RBPPEP</t>
  </si>
  <si>
    <t>RBTRB</t>
  </si>
  <si>
    <t>RBTRI</t>
  </si>
  <si>
    <t>RBTRP</t>
  </si>
  <si>
    <t>OM926</t>
  </si>
  <si>
    <t>OM928</t>
  </si>
  <si>
    <t>MISCELLANEOUS GENERAL EXPENSES</t>
  </si>
  <si>
    <t>OM930</t>
  </si>
  <si>
    <t>RENTS AND LEASES</t>
  </si>
  <si>
    <t>OM931</t>
  </si>
  <si>
    <t>MAINTENANCE OF GENERAL PLANT</t>
  </si>
  <si>
    <t>Total Administrative and General Expense</t>
  </si>
  <si>
    <t>OMAG</t>
  </si>
  <si>
    <t>Regulatory Credits and Accretion Expenses</t>
  </si>
  <si>
    <t>Total Regulatory Credits and Accretion Expenses</t>
  </si>
  <si>
    <t xml:space="preserve">   Regulatory Credits and Accretion Expenses</t>
  </si>
  <si>
    <t>TOTAL OPERATION &amp; MAINTENANCE</t>
  </si>
  <si>
    <t xml:space="preserve">TOTAL OPERATION </t>
  </si>
  <si>
    <t>TOTAL MAINTENANCE</t>
  </si>
  <si>
    <t>TOTAL OPERATION LESS FUEL AND PURCHASED POWER</t>
  </si>
  <si>
    <t>Curtailable Service Rider</t>
  </si>
  <si>
    <t xml:space="preserve"> PLANT COMPONENT</t>
  </si>
  <si>
    <t xml:space="preserve">  924-PROPERTY INSURANCE</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</si>
  <si>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</si>
  <si>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</si>
  <si>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</si>
  <si>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</si>
  <si>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</si>
  <si>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</si>
  <si>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</si>
  <si>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</si>
  <si>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</si>
  <si>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 xml:space="preserve">  931-RENTS</t>
  </si>
  <si>
    <t xml:space="preserve">  935-MAINTENANCE</t>
  </si>
  <si>
    <t xml:space="preserve">     TOTAL LABOR COMPONENT</t>
  </si>
  <si>
    <t xml:space="preserve">  928-REGULATORY COMMISSION</t>
  </si>
  <si>
    <t xml:space="preserve">    FEDERAL JURISDICTION</t>
  </si>
  <si>
    <t xml:space="preserve">    VIRGINIA JURISDICTION</t>
  </si>
  <si>
    <t xml:space="preserve">    928 ALLOCATED</t>
  </si>
  <si>
    <t xml:space="preserve">      TOTAL ACCOUNT 928</t>
  </si>
  <si>
    <t xml:space="preserve">  927-FRANCHISE NJ VA</t>
  </si>
  <si>
    <t>TOTAL ADMINISTRATIVE &amp; GEN</t>
  </si>
  <si>
    <t>OMDM</t>
  </si>
  <si>
    <t>OMSUB</t>
  </si>
  <si>
    <t>Operation and Maintenance Expenses (Continued)</t>
  </si>
  <si>
    <t>Sub-Total Labor Exp</t>
  </si>
  <si>
    <t>Customer Accounts Expense</t>
  </si>
  <si>
    <t>SUPERVISION/CUSTOMER ACCTS</t>
  </si>
  <si>
    <t>OM901</t>
  </si>
  <si>
    <t>F009</t>
  </si>
  <si>
    <t>METER READING EXPENSES</t>
  </si>
  <si>
    <t>OM902</t>
  </si>
  <si>
    <t>OM903</t>
  </si>
  <si>
    <t>UNCOLLECTIBLE ACCOUNTS</t>
  </si>
  <si>
    <t>OM904</t>
  </si>
  <si>
    <t>Total Customer Accounts Expense</t>
  </si>
  <si>
    <t>OMCA</t>
  </si>
  <si>
    <t>Customer Service Expense</t>
  </si>
  <si>
    <t>OM907</t>
  </si>
  <si>
    <t>DUPLICATE CHARGES</t>
  </si>
  <si>
    <t xml:space="preserve">  PSC ASSESSMENT-KY REVENUE</t>
  </si>
  <si>
    <t xml:space="preserve">  VA GROSS RECEIPTS TAX</t>
  </si>
  <si>
    <t xml:space="preserve">  MISCELLANEOUS</t>
  </si>
  <si>
    <t>TOTAL OTHER TAXES</t>
  </si>
  <si>
    <t>GAIN DISPOSITION OF ALLOWANCES</t>
  </si>
  <si>
    <t>Income Statement</t>
  </si>
  <si>
    <t>Tax acct workpapers</t>
  </si>
  <si>
    <t>INVESTMENT TAX CREDIT ADJ</t>
  </si>
  <si>
    <t>ITC BTL-No amortization</t>
  </si>
  <si>
    <t xml:space="preserve">  DISTRIBUTION - DIRECT</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</si>
  <si>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</si>
  <si>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</si>
  <si>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</si>
  <si>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</si>
  <si>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</si>
  <si>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</si>
  <si>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</si>
  <si>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</si>
  <si>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</si>
  <si>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</si>
  <si>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 xml:space="preserve">    INT ON CUSTOMER DEPOSITS</t>
  </si>
  <si>
    <t xml:space="preserve">  902-METER READING</t>
  </si>
  <si>
    <t xml:space="preserve">  903-CUSTOMER RECORDS</t>
  </si>
  <si>
    <t xml:space="preserve">  904-UNCOLLECTIBLE ACCOUNTS</t>
  </si>
  <si>
    <t xml:space="preserve">  905-MISCELLANEOUS</t>
  </si>
  <si>
    <t>TOTAL CUSTOMER ACCOUNTS</t>
  </si>
  <si>
    <t>CUSTOMER SERVICES</t>
  </si>
  <si>
    <t xml:space="preserve">  907-SUPERVISION</t>
  </si>
  <si>
    <t xml:space="preserve">  908-CUSTOMER ASSISTANCE</t>
  </si>
  <si>
    <t xml:space="preserve">  909-INFORMATION &amp; INSTRUCT</t>
  </si>
  <si>
    <t xml:space="preserve">  910-MISCELLANEOUS</t>
  </si>
  <si>
    <t>TOTAL CUSTOMER SERVICE</t>
  </si>
  <si>
    <t>SALES EXPENSE</t>
  </si>
  <si>
    <t xml:space="preserve">  911-SUPERVISION</t>
  </si>
  <si>
    <t xml:space="preserve">  912-DEMONSTRATING &amp; SELLING</t>
  </si>
  <si>
    <t xml:space="preserve">  913-ADVERTISING</t>
  </si>
  <si>
    <t xml:space="preserve">  916-MISCELLANEOUS</t>
  </si>
  <si>
    <t>TOTAL SALES EXPENSE</t>
  </si>
  <si>
    <t>ADMINISTRATIVE &amp; GENERAL</t>
  </si>
  <si>
    <t>Total billed revenue per Billing Determinants</t>
  </si>
  <si>
    <t>OM585</t>
  </si>
  <si>
    <t>METER EXPENSES</t>
  </si>
  <si>
    <t>OM586</t>
  </si>
  <si>
    <t>CUSTOMER INSTALLATIONS EXPENSE</t>
  </si>
  <si>
    <t>OM587</t>
  </si>
  <si>
    <t>MISCELLANEOUS DISTRIBUTION EXP</t>
  </si>
  <si>
    <t>OM588</t>
  </si>
  <si>
    <t>RENTS</t>
  </si>
  <si>
    <t>OM589</t>
  </si>
  <si>
    <t>Total Distribution Operation Expense</t>
  </si>
  <si>
    <t>OMDO</t>
  </si>
  <si>
    <t>Distribution Maintenance Expense</t>
  </si>
  <si>
    <t>MAINTENANCE SUPERVISION AND EN</t>
  </si>
  <si>
    <t>OM590</t>
  </si>
  <si>
    <t>MAINTENANCE OF STATION EQUIPME</t>
  </si>
  <si>
    <t>OM592</t>
  </si>
  <si>
    <t>MAINTENANCE OF OVERHEAD LINES</t>
  </si>
  <si>
    <t>OM593</t>
  </si>
  <si>
    <t>MAINTENANCE OF UNDERGROUND LIN</t>
  </si>
  <si>
    <t>OM594</t>
  </si>
  <si>
    <t>MAINTENANCE OF LINE TRANSFORME</t>
  </si>
  <si>
    <t>OM595</t>
  </si>
  <si>
    <t>MAINTENANCE OF METERS</t>
  </si>
  <si>
    <t>OM597</t>
  </si>
  <si>
    <t>Total Distribution Maintenance Expense</t>
  </si>
  <si>
    <t>NAS</t>
  </si>
  <si>
    <t>Decorative Street Lighting</t>
  </si>
  <si>
    <t>Property Taxes</t>
  </si>
  <si>
    <t>PTAX</t>
  </si>
  <si>
    <t>OT</t>
  </si>
  <si>
    <t>INTLTD</t>
  </si>
  <si>
    <t>Total Other Expenses</t>
  </si>
  <si>
    <t>TOE</t>
  </si>
  <si>
    <t>Functional Vectors</t>
  </si>
  <si>
    <t>Poles, Towers and Fixtures</t>
  </si>
  <si>
    <t>Overhead Conductors and Devices</t>
  </si>
  <si>
    <t>Underground Conductors and Devices</t>
  </si>
  <si>
    <t>Line Transformers</t>
  </si>
  <si>
    <t>Services</t>
  </si>
  <si>
    <t>Street Lighting</t>
  </si>
  <si>
    <t>Meter Reading</t>
  </si>
  <si>
    <t>Billing</t>
  </si>
  <si>
    <t>Allocation</t>
  </si>
  <si>
    <t xml:space="preserve">  Demand</t>
  </si>
  <si>
    <t>E01</t>
  </si>
  <si>
    <t>PLPPT</t>
  </si>
  <si>
    <t xml:space="preserve">  Customer</t>
  </si>
  <si>
    <t>C02</t>
  </si>
  <si>
    <t>C03</t>
  </si>
  <si>
    <t>C04</t>
  </si>
  <si>
    <t>C05</t>
  </si>
  <si>
    <t>C06</t>
  </si>
  <si>
    <t>PLT</t>
  </si>
  <si>
    <t>NPT</t>
  </si>
  <si>
    <t>Net Cost Rate Base</t>
  </si>
  <si>
    <t>RBPPT</t>
  </si>
  <si>
    <t>RBT</t>
  </si>
  <si>
    <t>OMPPT</t>
  </si>
  <si>
    <t>OMT</t>
  </si>
  <si>
    <t>LBPPT</t>
  </si>
  <si>
    <t>LBT</t>
  </si>
  <si>
    <t>PTT</t>
  </si>
  <si>
    <t>Other Taxes</t>
  </si>
  <si>
    <t>OTPPT</t>
  </si>
  <si>
    <t>OTT</t>
  </si>
  <si>
    <t>Operating Revenues</t>
  </si>
  <si>
    <t>REVUC</t>
  </si>
  <si>
    <t>Total Operating Revenues</t>
  </si>
  <si>
    <t>TOR</t>
  </si>
  <si>
    <t>Operating Expenses</t>
  </si>
  <si>
    <t xml:space="preserve">   Operation and Maintenance Expenses</t>
  </si>
  <si>
    <t xml:space="preserve">   Depreciation and Amortization Expenses</t>
  </si>
  <si>
    <t xml:space="preserve">   Property Taxes</t>
  </si>
  <si>
    <t xml:space="preserve">   Other Taxes</t>
  </si>
  <si>
    <t>Total Operating Expenses</t>
  </si>
  <si>
    <t>Rate of Return</t>
  </si>
  <si>
    <t>Purchase Power Demand</t>
  </si>
  <si>
    <t>Purchase Power Energy</t>
  </si>
  <si>
    <t>Energy Allocation Factors</t>
  </si>
  <si>
    <t>Energy Usage by Class</t>
  </si>
  <si>
    <t>Customer Allocation Factors</t>
  </si>
  <si>
    <t>Internally Generated Functional Vectors</t>
  </si>
  <si>
    <t>Total Operation and Maintenance Expenses (Labor)</t>
  </si>
  <si>
    <t>Total Steam Power Operation Expenses (Labor)</t>
  </si>
  <si>
    <t>Total Steam Power Generation Maintenance Expense (Labor)</t>
  </si>
  <si>
    <t>Total Hydraulic Power Operation Expenses (Labor)</t>
  </si>
  <si>
    <t>Total Hydraulic Power Generation Maint. Expense (Labor)</t>
  </si>
  <si>
    <t>Total Other Power Generation Expenses (Labor)</t>
  </si>
  <si>
    <t>Primary Distribution Plant -- Average Number of Customers</t>
  </si>
  <si>
    <t>Meter Costs -- Weighted Cost of Meters</t>
  </si>
  <si>
    <t>Lighting Systems -- Lighting Customers</t>
  </si>
  <si>
    <t>Meter Reading and Billing -- Weighted Cost</t>
  </si>
  <si>
    <t>Revenue</t>
  </si>
  <si>
    <t>Transmission</t>
  </si>
  <si>
    <t>P350</t>
  </si>
  <si>
    <t>Transmission Plant</t>
  </si>
  <si>
    <t>Intangible Plant</t>
  </si>
  <si>
    <t>Total Transmission Plant</t>
  </si>
  <si>
    <t>FRANCHISE AND CONSENTS</t>
  </si>
  <si>
    <t>ORGANIZATION</t>
  </si>
  <si>
    <t>P301</t>
  </si>
  <si>
    <t>P302</t>
  </si>
  <si>
    <t>Plant in Service (Continued)</t>
  </si>
  <si>
    <t xml:space="preserve">  Total Utility Plant</t>
  </si>
  <si>
    <t xml:space="preserve">  Total Deferred Debits</t>
  </si>
  <si>
    <t>Transmission Expenses</t>
  </si>
  <si>
    <t>STATION EXPENSES</t>
  </si>
  <si>
    <t>MAINTENACE SUPERVISION AND ENG</t>
  </si>
  <si>
    <t>OPERATION SUPERVISION AND ENG</t>
  </si>
  <si>
    <t>MAINT OF STATION EQUIPMENT</t>
  </si>
  <si>
    <t>MAINT OF OVERHEAD LINES</t>
  </si>
  <si>
    <t>Total Transmission Expenses</t>
  </si>
  <si>
    <t>OM582</t>
  </si>
  <si>
    <t>PURCHASED POWER</t>
  </si>
  <si>
    <t>MAINTENANCE OF ST LIGHTS &amp; SIG SYSTEMS</t>
  </si>
  <si>
    <t>OM596</t>
  </si>
  <si>
    <t>Total Distribution Operation and Maintenance Expenses</t>
  </si>
  <si>
    <t>Transmission and Distribution Expenses</t>
  </si>
  <si>
    <t>MAINTENANCE OF MISC DISTR PLANT</t>
  </si>
  <si>
    <t>SUPERVISION</t>
  </si>
  <si>
    <t>DUPLICATE CHARGES-CR</t>
  </si>
  <si>
    <t>OM929</t>
  </si>
  <si>
    <t>Total Cost of Service (O&amp;M + Other Expenses)</t>
  </si>
  <si>
    <t>PTRAN</t>
  </si>
  <si>
    <t>F011</t>
  </si>
  <si>
    <t>PT&amp;D</t>
  </si>
  <si>
    <t>ADEPREPA</t>
  </si>
  <si>
    <t>RWIP</t>
  </si>
  <si>
    <t>ADEPRTP</t>
  </si>
  <si>
    <t>M&amp;S</t>
  </si>
  <si>
    <t>OM555</t>
  </si>
  <si>
    <t>OTHER EXPENSES</t>
  </si>
  <si>
    <t>OM557</t>
  </si>
  <si>
    <t>TPP</t>
  </si>
  <si>
    <t>Purchased Power Expenses</t>
  </si>
  <si>
    <t>OM560</t>
  </si>
  <si>
    <t>OM561</t>
  </si>
  <si>
    <t>OM562</t>
  </si>
  <si>
    <t>OM563</t>
  </si>
  <si>
    <t>ACCT 303-SOFTWARE</t>
  </si>
  <si>
    <t>TOTAL PRODUCTION PLANT SYSTEM</t>
  </si>
  <si>
    <t>PRODSYS</t>
  </si>
  <si>
    <t>CWIP3</t>
  </si>
  <si>
    <t>CWIP4</t>
  </si>
  <si>
    <t>CWIP5</t>
  </si>
  <si>
    <t>Customers (Monthly Bills)</t>
  </si>
  <si>
    <t>Average Customers (Bills/12)</t>
  </si>
  <si>
    <t>Average Customers (Lighting = Lights)</t>
  </si>
  <si>
    <t>R01</t>
  </si>
  <si>
    <t>Cust01</t>
  </si>
  <si>
    <t>Cust04</t>
  </si>
  <si>
    <t>Allocation Factors</t>
  </si>
  <si>
    <t>Total Operating Revenue -- Actual</t>
  </si>
  <si>
    <t>Pro-Forma Adjustments:</t>
  </si>
  <si>
    <t>Total Pro-Forma Operating Revenue</t>
  </si>
  <si>
    <t>WATER HEATER - HEAT PUMP PROGRAM</t>
  </si>
  <si>
    <t>OM913</t>
  </si>
  <si>
    <t>P105</t>
  </si>
  <si>
    <t>Service Pension Cost</t>
  </si>
  <si>
    <t>PENSCOST</t>
  </si>
  <si>
    <t>Customers</t>
  </si>
  <si>
    <t>Cost</t>
  </si>
  <si>
    <t>OMLF</t>
  </si>
  <si>
    <t>TOT OTHER MAINTENANCE LABOR</t>
  </si>
  <si>
    <t>LABOTHMN</t>
  </si>
  <si>
    <t>TRANSM OPER EXP 562-567</t>
  </si>
  <si>
    <t>TRANSM MAINT EXP 569-573</t>
  </si>
  <si>
    <t>TOT TRANSM OPERATIONS LABOR</t>
  </si>
  <si>
    <t>LABTROP</t>
  </si>
  <si>
    <t>TOT TRANSM MAINTENANCE LABOR</t>
  </si>
  <si>
    <t>LABTRMN</t>
  </si>
  <si>
    <t>DISTR OPER EXP 582-589</t>
  </si>
  <si>
    <t>AFUDC</t>
  </si>
  <si>
    <t>Income (Loss) from Equity Investments</t>
  </si>
  <si>
    <t>Non-Operating Margins - Other</t>
  </si>
  <si>
    <t>Generation and Transmission Capital Credits</t>
  </si>
  <si>
    <t>Other Capital Credits and Patronage Dividends</t>
  </si>
  <si>
    <t>Extraordinary Items</t>
  </si>
  <si>
    <t>Long Term Debt Service Requirements</t>
  </si>
  <si>
    <t>Sum of</t>
  </si>
  <si>
    <t>Individual NCP</t>
  </si>
  <si>
    <t>Income Taxes</t>
  </si>
  <si>
    <t>DISTR MAINT EXP 591-598</t>
  </si>
  <si>
    <t>TOT DISTR OPERATIONS LABOR</t>
  </si>
  <si>
    <t>LABDISOP</t>
  </si>
  <si>
    <t>TOT DISTR MAINTENANCE LABOR</t>
  </si>
  <si>
    <t>LABDISMN</t>
  </si>
  <si>
    <t>CUST ACCT EXP 902, 903 &amp; 905</t>
  </si>
  <si>
    <t>TOTAL CUST ACCOUNTS LABOR</t>
  </si>
  <si>
    <t>LABCA</t>
  </si>
  <si>
    <t>CUST SERVICES &amp; SALES EXP</t>
  </si>
  <si>
    <t>TOTAL CUST SERVICES LABOR</t>
  </si>
  <si>
    <t>LABCS</t>
  </si>
  <si>
    <t>SALES EXPENSE 912-916</t>
  </si>
  <si>
    <t>TOTAL SALES EXP LABOR</t>
  </si>
  <si>
    <t>LABSA</t>
  </si>
  <si>
    <t>TOT ADMINISTRATIVE &amp; GEN EXP</t>
  </si>
  <si>
    <t>A_GEXP</t>
  </si>
  <si>
    <t>ACCT 930-EPRI &amp; ADVERTISING</t>
  </si>
  <si>
    <t>EXP930A</t>
  </si>
  <si>
    <t>TOTAL CUSTOMER SERVICES EXP</t>
  </si>
  <si>
    <t>CUSTSER</t>
  </si>
  <si>
    <t>F027</t>
  </si>
  <si>
    <t>REGULATORY COMMISSION FEES</t>
  </si>
  <si>
    <t>O&amp;M Customer Allocators</t>
  </si>
  <si>
    <t>Plant Customer Allocators</t>
  </si>
  <si>
    <t>Cost of Service Summary -- Unadjusted</t>
  </si>
  <si>
    <t xml:space="preserve">  Allocation of Curtailable Service Rider Credits</t>
  </si>
  <si>
    <t>Interruptible Credit Allocator</t>
  </si>
  <si>
    <t>INTCRE</t>
  </si>
  <si>
    <t>ok</t>
  </si>
  <si>
    <t>Base Rate Revenue</t>
  </si>
  <si>
    <t>Operation and Maintenance Less Fuel</t>
  </si>
  <si>
    <t>MAINTENANCE OF STRUCTURES</t>
  </si>
  <si>
    <t>MAINTENANCE SUPERVISION &amp; ENGINEERING</t>
  </si>
  <si>
    <t>MISO DAY 1&amp;2 EXPENSE</t>
  </si>
  <si>
    <t xml:space="preserve">  Distribution Plant</t>
  </si>
  <si>
    <t xml:space="preserve"> MATERIALS &amp; SUPPLIES</t>
  </si>
  <si>
    <t xml:space="preserve">  FUEL STOCK</t>
  </si>
  <si>
    <t>M&amp;S 13mo avg worksheet</t>
  </si>
  <si>
    <t xml:space="preserve">  PLANT MATERIAL &amp; SUPPLIES</t>
  </si>
  <si>
    <t xml:space="preserve">    PRODUCTION</t>
  </si>
  <si>
    <t xml:space="preserve">    TRANSMISSION</t>
  </si>
  <si>
    <t xml:space="preserve">    GENERAL</t>
  </si>
  <si>
    <t xml:space="preserve">    STORES UNDISTRIBUTED</t>
  </si>
  <si>
    <t xml:space="preserve">  TOTAL PLT MAT &amp; SUPPLIES</t>
  </si>
  <si>
    <t xml:space="preserve"> TOTAL MATERIALS &amp; SUPPLIES</t>
  </si>
  <si>
    <t xml:space="preserve"> PREPAYMENTS</t>
  </si>
  <si>
    <t xml:space="preserve">  PUBLIC SERVICE COMM TAX</t>
  </si>
  <si>
    <t xml:space="preserve"> TOTAL PREPAYMENTS</t>
  </si>
  <si>
    <t xml:space="preserve"> WORKING CASH - CALC BY JURIS</t>
  </si>
  <si>
    <t>TOTAL WORKING CAPITAL</t>
  </si>
  <si>
    <t>EMISSION ALLOWANCES</t>
  </si>
  <si>
    <t>TOTAL ADDITIONS TO NET PLANT</t>
  </si>
  <si>
    <t>DEDUCTIONS FROM NET PLANT</t>
  </si>
  <si>
    <t>ACCUMULATED DEFERRED INC TAX</t>
  </si>
  <si>
    <t>Tax Acct workpapers</t>
  </si>
  <si>
    <t xml:space="preserve">  VIRGINIA PROPERTY-OTHER</t>
  </si>
  <si>
    <t xml:space="preserve"> DISTRIBUTION - VA</t>
  </si>
  <si>
    <t xml:space="preserve"> DISTRIBUTION PLT KY,FERC &amp; TN</t>
  </si>
  <si>
    <t>TOTAL DEFERRED INCOME TAX</t>
  </si>
  <si>
    <t>ACCUM DEFER INVEST TAX CREDITS</t>
  </si>
  <si>
    <t xml:space="preserve">  PRODUCTION</t>
  </si>
  <si>
    <t xml:space="preserve">  TRANSMISSION</t>
  </si>
  <si>
    <t xml:space="preserve">  TRANSMISSION VA</t>
  </si>
  <si>
    <t xml:space="preserve">  DISTRIBUTION - VA</t>
  </si>
  <si>
    <t xml:space="preserve">  DISTRIBUTION PLT KY,FERC &amp; TN</t>
  </si>
  <si>
    <t xml:space="preserve">  GENERAL</t>
  </si>
  <si>
    <t>TOTAL DEFERRED INVEST CREDIT</t>
  </si>
  <si>
    <t>DEFERRED FUEL-VIRGINIA</t>
  </si>
  <si>
    <t>TOTAL DEDUCTIONS FROM NET PLT</t>
  </si>
  <si>
    <t>SALES OF ELECTRICITY</t>
  </si>
  <si>
    <t>OTHER OPERATING REVENUES</t>
  </si>
  <si>
    <t>TOTAL OTHER REVENUES</t>
  </si>
  <si>
    <t>TOTAL OPERATING REVENUES</t>
  </si>
  <si>
    <t>OPERATION &amp; MAINTENANCE EXP</t>
  </si>
  <si>
    <t>PRODUCTION EXPENSE-STEAM</t>
  </si>
  <si>
    <t xml:space="preserve">  500-SUPERV &amp; ENGINEERING</t>
  </si>
  <si>
    <t xml:space="preserve">  501-FUEL</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</si>
  <si>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</si>
  <si>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</si>
  <si>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</si>
  <si>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</si>
  <si>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</si>
  <si>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</si>
  <si>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</si>
  <si>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</si>
  <si>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</si>
  <si>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</si>
  <si>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</si>
  <si>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</si>
  <si>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</si>
  <si>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</si>
  <si>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</si>
  <si>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</si>
  <si>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</si>
  <si>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</si>
  <si>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RBTRT</t>
  </si>
  <si>
    <t>RBDPS</t>
  </si>
  <si>
    <t>RBDSG</t>
  </si>
  <si>
    <t>RBDPLS</t>
  </si>
  <si>
    <t>RBDPLD</t>
  </si>
  <si>
    <t>RBDPLC</t>
  </si>
  <si>
    <t>RBDSLD</t>
  </si>
  <si>
    <t>RBDSLC</t>
  </si>
  <si>
    <t>RBDLT</t>
  </si>
  <si>
    <t>RBDLTD</t>
  </si>
  <si>
    <t>RBDLTC</t>
  </si>
  <si>
    <t>RBDLTT</t>
  </si>
  <si>
    <t>RBDSC</t>
  </si>
  <si>
    <t>RBDMC</t>
  </si>
  <si>
    <t>RBDSCL</t>
  </si>
  <si>
    <t>RBCAE</t>
  </si>
  <si>
    <t>RBCSI</t>
  </si>
  <si>
    <t>RBSEC</t>
  </si>
  <si>
    <t>OMPPDB</t>
  </si>
  <si>
    <t>OMPPDI</t>
  </si>
  <si>
    <t>OMPPDP</t>
  </si>
  <si>
    <t>OMPPEB</t>
  </si>
  <si>
    <t xml:space="preserve">    RESERVE FOR DEF TAXES</t>
  </si>
  <si>
    <t xml:space="preserve">    RESERVE FOR ITC</t>
  </si>
  <si>
    <t xml:space="preserve">    CUSTOMER ADVANCES</t>
  </si>
  <si>
    <t xml:space="preserve">    DEFERRED FUEL-VIRGINIA</t>
  </si>
  <si>
    <t>MISC. HYDRAULIC POWER EXPENSES</t>
  </si>
  <si>
    <t>WestVaCo</t>
  </si>
  <si>
    <t>Cmbn. Off-Peak Water Heating</t>
  </si>
  <si>
    <t>FROM PREVIOUS RATE CASE</t>
  </si>
  <si>
    <t>(From Bill Det Tab)</t>
  </si>
  <si>
    <t>Avg No. Customers</t>
  </si>
  <si>
    <t>OMPPEI</t>
  </si>
  <si>
    <t>OMPPEP</t>
  </si>
  <si>
    <t>OMTRB</t>
  </si>
  <si>
    <t>OMTRI</t>
  </si>
  <si>
    <t>OMTRP</t>
  </si>
  <si>
    <t>OMTRT</t>
  </si>
  <si>
    <t>OMDPS</t>
  </si>
  <si>
    <t>OMDSG</t>
  </si>
  <si>
    <t>OMDPLS</t>
  </si>
  <si>
    <t>OMDPLD</t>
  </si>
  <si>
    <t>OMDPLC</t>
  </si>
  <si>
    <t>OMDSLD</t>
  </si>
  <si>
    <t>OMDSLC</t>
  </si>
  <si>
    <t>OMDLT</t>
  </si>
  <si>
    <t>OMDLTD</t>
  </si>
  <si>
    <t>OMDLTC</t>
  </si>
  <si>
    <t>OMDLTT</t>
  </si>
  <si>
    <t>OMDSC</t>
  </si>
  <si>
    <t>OMDMC</t>
  </si>
  <si>
    <t>OMDSCL</t>
  </si>
  <si>
    <t>OMCAE</t>
  </si>
  <si>
    <t>OMCSI</t>
  </si>
  <si>
    <t>OMSEC</t>
  </si>
  <si>
    <t>LBPPDB</t>
  </si>
  <si>
    <t>LBPPDI</t>
  </si>
  <si>
    <t>LBPPDP</t>
  </si>
  <si>
    <t>ADITDP</t>
  </si>
  <si>
    <t>ADITGP</t>
  </si>
  <si>
    <t>Accumulated Deferred Income Tax</t>
  </si>
  <si>
    <t xml:space="preserve">    Total Production Plant</t>
  </si>
  <si>
    <t xml:space="preserve">    Total Transmission Plant</t>
  </si>
  <si>
    <t xml:space="preserve">    Total Distribution Plant</t>
  </si>
  <si>
    <t xml:space="preserve">    Total General Plant</t>
  </si>
  <si>
    <t>ADITT</t>
  </si>
  <si>
    <t>Total Accumulated Deferred Income Tax</t>
  </si>
  <si>
    <t>ADITCP</t>
  </si>
  <si>
    <t>ADITCTL</t>
  </si>
  <si>
    <t>ADITCG</t>
  </si>
  <si>
    <t>ADITCDKY</t>
  </si>
  <si>
    <t>ADITCDVA</t>
  </si>
  <si>
    <t>ADITCT</t>
  </si>
  <si>
    <t>ADITCTVA</t>
  </si>
  <si>
    <t>Accumulated Deferred Investment Tax Credits</t>
  </si>
  <si>
    <t xml:space="preserve">  Production</t>
  </si>
  <si>
    <t xml:space="preserve">  Transmission</t>
  </si>
  <si>
    <t xml:space="preserve">  Transmission VA</t>
  </si>
  <si>
    <t xml:space="preserve">  Distribution VA</t>
  </si>
  <si>
    <t>Total Accum. Deferred Investment Tax Credits</t>
  </si>
  <si>
    <t xml:space="preserve">  Distribution Plant KY,FERC &amp; TN</t>
  </si>
  <si>
    <t>Adjusted Net Cost Rate Base</t>
  </si>
  <si>
    <t>Gain Disposition of Allowances</t>
  </si>
  <si>
    <t>F017</t>
  </si>
  <si>
    <t>LBSUB1</t>
  </si>
  <si>
    <t>PROVAR</t>
  </si>
  <si>
    <t>PROFIX</t>
  </si>
  <si>
    <t>LBSUB3</t>
  </si>
  <si>
    <t>LBSUB4</t>
  </si>
  <si>
    <t>LBSUB5</t>
  </si>
  <si>
    <t>LBTRAN</t>
  </si>
  <si>
    <t>F025</t>
  </si>
  <si>
    <t>F026</t>
  </si>
  <si>
    <t>LBSUB7</t>
  </si>
  <si>
    <t>F019</t>
  </si>
  <si>
    <t>F020</t>
  </si>
  <si>
    <t>F021</t>
  </si>
  <si>
    <t>F022</t>
  </si>
  <si>
    <t>F023</t>
  </si>
  <si>
    <t>F024</t>
  </si>
  <si>
    <t>Production Plant</t>
  </si>
  <si>
    <t>Provar</t>
  </si>
  <si>
    <t>Fuel</t>
  </si>
  <si>
    <t>F018</t>
  </si>
  <si>
    <t>Steam Generation Operation Labor</t>
  </si>
  <si>
    <t>Steam Generation Maintenance Labor</t>
  </si>
  <si>
    <t>Hydraulic Generation Operation Labor</t>
  </si>
  <si>
    <t>Hydraulic Generation Maintenance Labor</t>
  </si>
  <si>
    <t>Distribution Operation Labor</t>
  </si>
  <si>
    <t>Distribution Maintenance Labor</t>
  </si>
  <si>
    <t>SICD</t>
  </si>
  <si>
    <t>Sum of the Individual Customer Demands (Secondary)</t>
  </si>
  <si>
    <t>LB591</t>
  </si>
  <si>
    <t>OM575</t>
  </si>
  <si>
    <t xml:space="preserve">  901-SUPERVISION</t>
  </si>
  <si>
    <t>DISTRIBUTION EXPENSES</t>
  </si>
  <si>
    <t xml:space="preserve">  580-SUPERV &amp; ENGINEERING</t>
  </si>
  <si>
    <t xml:space="preserve">  581-DIST SYSTEM CONTROL</t>
  </si>
  <si>
    <t xml:space="preserve">  582-STATION EXPENSES</t>
  </si>
  <si>
    <t xml:space="preserve">  583-OVERHEAD LINES</t>
  </si>
  <si>
    <t xml:space="preserve">  584-UNDERGROUND LINES</t>
  </si>
  <si>
    <t xml:space="preserve">  585-STREET LIGHTING</t>
  </si>
  <si>
    <t xml:space="preserve">  586-METERS</t>
  </si>
  <si>
    <t xml:space="preserve">  587-CUSTOMER INSTALLATIONS</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</si>
  <si>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</si>
  <si>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</si>
  <si>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</si>
  <si>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</si>
  <si>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</si>
  <si>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</si>
  <si>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</si>
  <si>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</si>
  <si>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</si>
  <si>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 xml:space="preserve">  596-MAINT OF ST LIGHTING</t>
  </si>
  <si>
    <t xml:space="preserve">  597-MAINT OF METERS</t>
  </si>
  <si>
    <t xml:space="preserve">  598-MISCELLANEOUS</t>
  </si>
  <si>
    <t xml:space="preserve">    TOTAL DISTR MAINTENANCE</t>
  </si>
  <si>
    <t>TOTAL DISTRIBUTION EXPENSES</t>
  </si>
  <si>
    <t>CUSTOMER ACCOUNTING EXPENSES</t>
  </si>
  <si>
    <t>Weighted Average Customers (Lighting =9 Lights per Cust)</t>
  </si>
  <si>
    <t>Average Customers (Lighting = 9 Lights per Cust)</t>
  </si>
  <si>
    <t>Average Secondary Customers</t>
  </si>
  <si>
    <t>Average Primary Customers</t>
  </si>
  <si>
    <t>Demand Allocators</t>
  </si>
  <si>
    <t>Working Capital</t>
  </si>
  <si>
    <t>Operation and Maintenance Expenses</t>
  </si>
  <si>
    <t>CWC</t>
  </si>
  <si>
    <t>OMLPP</t>
  </si>
  <si>
    <t>Prepayments</t>
  </si>
  <si>
    <t>PREPAY</t>
  </si>
  <si>
    <t xml:space="preserve">  Total Working Capital</t>
  </si>
  <si>
    <t>TWC</t>
  </si>
  <si>
    <t>CSTDEP</t>
  </si>
  <si>
    <t>Net Rate Base</t>
  </si>
  <si>
    <t>RB</t>
  </si>
  <si>
    <t>Purchased Power</t>
  </si>
  <si>
    <t>OMPP</t>
  </si>
  <si>
    <t>Distribution Operation Expense</t>
  </si>
  <si>
    <t>OPERATION SUPERVISION AND ENGI</t>
  </si>
  <si>
    <t>OM580</t>
  </si>
  <si>
    <t>LOAD DISPATCHING</t>
  </si>
  <si>
    <t>OM581</t>
  </si>
  <si>
    <t>OVERHEAD LINE EXPENSES</t>
  </si>
  <si>
    <t>OM583</t>
  </si>
  <si>
    <t>UNDERGROUND LINE EXPENSES</t>
  </si>
  <si>
    <t>OM584</t>
  </si>
  <si>
    <t>STREET LIGHTING EXPENSE</t>
  </si>
  <si>
    <t>Distribution Line Transformers</t>
  </si>
  <si>
    <t xml:space="preserve">  Primary Specific</t>
  </si>
  <si>
    <t xml:space="preserve">  Primary Demand</t>
  </si>
  <si>
    <t xml:space="preserve">  Primary Customer</t>
  </si>
  <si>
    <t xml:space="preserve">  Secondary Demand</t>
  </si>
  <si>
    <t xml:space="preserve">  Secondary Customer</t>
  </si>
  <si>
    <t xml:space="preserve">  Unbilled Revenue</t>
  </si>
  <si>
    <t>UNBREV</t>
  </si>
  <si>
    <t>TOTAL DEPREC &amp; AMORT EXP</t>
  </si>
  <si>
    <t xml:space="preserve">  KENTUCKY DISTRIBUTION PROPERTY</t>
  </si>
  <si>
    <t xml:space="preserve">  VIRGINIA DISTRIBUTION PROPERTY</t>
  </si>
  <si>
    <t>ACCRETION</t>
  </si>
  <si>
    <t>Accretion Exp FS</t>
  </si>
  <si>
    <t>TOTAL ACCRETION EXPENSE</t>
  </si>
  <si>
    <t>OTHER TAXES &amp; OTHER EXPENSES</t>
  </si>
  <si>
    <t>TAXES OTHER THAN INCOME TAX</t>
  </si>
  <si>
    <t xml:space="preserve">  PROPERTY TAXES</t>
  </si>
  <si>
    <t xml:space="preserve"> DISTRIBUTION PLANT</t>
  </si>
  <si>
    <t>Total Operation and Maintenance Expenses</t>
  </si>
  <si>
    <t>TOM</t>
  </si>
  <si>
    <t>Labor Expenses</t>
  </si>
  <si>
    <t>Other Expenses</t>
  </si>
  <si>
    <t>Depreciation Expenses</t>
  </si>
  <si>
    <t>Total Depreciation Expense</t>
  </si>
  <si>
    <t>TDEPR</t>
  </si>
  <si>
    <t>C08</t>
  </si>
  <si>
    <t>Difference</t>
  </si>
  <si>
    <t>Number of</t>
  </si>
  <si>
    <t>Rate 33 - Electric Space Heating</t>
  </si>
  <si>
    <t>Rate M - Water Pumping</t>
  </si>
  <si>
    <t>Customer Outdoor Lighting</t>
  </si>
  <si>
    <t>Private Outdoor Lighting</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</si>
  <si>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</si>
  <si>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</si>
  <si>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</si>
  <si>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</si>
  <si>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</si>
  <si>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</si>
  <si>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</si>
  <si>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</si>
  <si>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</si>
  <si>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</si>
  <si>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</si>
  <si>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</si>
  <si>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</si>
  <si>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</si>
  <si>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</si>
  <si>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</si>
  <si>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</si>
  <si>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</si>
  <si>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Factor</t>
  </si>
  <si>
    <t>MISC. TRANSMISSION EXPENSES</t>
  </si>
  <si>
    <t>OM566</t>
  </si>
  <si>
    <t>DEMONSTRATION AND SELLING EXP</t>
  </si>
  <si>
    <t>OM912</t>
  </si>
  <si>
    <t>LB566</t>
  </si>
  <si>
    <t>LB912</t>
  </si>
  <si>
    <t>LB913</t>
  </si>
  <si>
    <t>Customer Specific Assignment</t>
  </si>
  <si>
    <t xml:space="preserve">Average Customers </t>
  </si>
  <si>
    <t>Cust05</t>
  </si>
  <si>
    <t>Cust06</t>
  </si>
  <si>
    <t>ADVERTISING EXPENSES</t>
  </si>
  <si>
    <t>MISC SALES EXPENSE</t>
  </si>
  <si>
    <t>OM916</t>
  </si>
  <si>
    <t>LB916</t>
  </si>
  <si>
    <t>Non-Coincident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</si>
  <si>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</si>
  <si>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</si>
  <si>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</si>
  <si>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</si>
  <si>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</si>
  <si>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</si>
  <si>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</si>
  <si>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</si>
  <si>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</si>
  <si>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</si>
  <si>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</si>
  <si>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</si>
  <si>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</si>
  <si>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REVFERC</t>
  </si>
  <si>
    <t>REVENUE SALE OF ELECT-VA</t>
  </si>
  <si>
    <t>REVVA</t>
  </si>
  <si>
    <t>REVENUE SALE OF ELECT</t>
  </si>
  <si>
    <t>REVENUE</t>
  </si>
  <si>
    <t>REV SALE OF ELECT-VA NON JUR</t>
  </si>
  <si>
    <t>REVNJVA</t>
  </si>
  <si>
    <t>REV SALE OF ELECT-EXCL FERC</t>
  </si>
  <si>
    <t>REVENUEX</t>
  </si>
  <si>
    <t>CUSTOMER ASSISTANCE EXP-INCENTIVES</t>
  </si>
  <si>
    <t xml:space="preserve">      FERC 598</t>
  </si>
  <si>
    <t xml:space="preserve"> TOTAL DISTRIBUTION LABOR</t>
  </si>
  <si>
    <t xml:space="preserve"> TOT PROD, TRNS &amp; DISTR LABOR</t>
  </si>
  <si>
    <t xml:space="preserve"> CUSTOMER ACCOUNTING</t>
  </si>
  <si>
    <t xml:space="preserve">      FERC 901</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</si>
  <si>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</si>
  <si>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</si>
  <si>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</si>
  <si>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</si>
  <si>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</si>
  <si>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</si>
  <si>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</si>
  <si>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 xml:space="preserve">      FERC 908</t>
  </si>
  <si>
    <t xml:space="preserve">      FERC 909</t>
  </si>
  <si>
    <t xml:space="preserve">      FERC 910</t>
  </si>
  <si>
    <t>Meters Account 370</t>
  </si>
  <si>
    <t xml:space="preserve">  Sales</t>
  </si>
  <si>
    <t>ADMIN. EXPENSES TRANSFERRED - CREDIT</t>
  </si>
  <si>
    <t xml:space="preserve">   Gain Disposition of Allowances</t>
  </si>
  <si>
    <t>GAIN</t>
  </si>
  <si>
    <t>Net Operating Income (Adjusted)</t>
  </si>
  <si>
    <t>Net Operating Income (Unadjusted)</t>
  </si>
  <si>
    <t>Proposed Increase</t>
  </si>
  <si>
    <t>Cust07</t>
  </si>
  <si>
    <t>Cust08</t>
  </si>
  <si>
    <t>Remove ECR Revenues</t>
  </si>
  <si>
    <t>Revenue Adjustment Allocators</t>
  </si>
  <si>
    <t>Total Expense Adjustments</t>
  </si>
  <si>
    <t xml:space="preserve">  Specific Assignment of Curtailable Service Rider Credit</t>
  </si>
  <si>
    <t>Net Operating Income</t>
  </si>
  <si>
    <t>Incremental Income Taxes</t>
  </si>
  <si>
    <t>TOTAL PRODUCTION PLANT</t>
  </si>
  <si>
    <t>PRODPLT</t>
  </si>
  <si>
    <t>TOTAL TRANSMISSION PLANT</t>
  </si>
  <si>
    <t>TRANPLT</t>
  </si>
  <si>
    <t>MAT &amp; SUPPLIES DISTRIBUTED</t>
  </si>
  <si>
    <t>M_S</t>
  </si>
  <si>
    <t>ACCT 924 &amp; 925 INSURANCE</t>
  </si>
  <si>
    <t>REVENUE SALE OF ELECT-KY</t>
  </si>
  <si>
    <t>CWIP PROD FERC-POST ALLOC</t>
  </si>
  <si>
    <t>CWIP TRAN FERC-POST ALLOC</t>
  </si>
  <si>
    <t>CWIPTP</t>
  </si>
  <si>
    <t>ACC DEF INC TX PROD FERC-POST</t>
  </si>
  <si>
    <t>ACC DEF INC TX TRAN FERC-POST</t>
  </si>
  <si>
    <t>TRANSMISSION PLANT EXCL VA</t>
  </si>
  <si>
    <t>TRANPLTX</t>
  </si>
  <si>
    <t>KENTUCKY DISTRIBUTION PLANT</t>
  </si>
  <si>
    <t>KYDIST</t>
  </si>
  <si>
    <t>Summary of Billing Determinants and Demand Analysis</t>
  </si>
  <si>
    <t>OM911</t>
  </si>
  <si>
    <t>LB911</t>
  </si>
  <si>
    <t>Marketing/Economic Development</t>
  </si>
  <si>
    <t>MISC DISTR EXP -- MAPPIN</t>
  </si>
  <si>
    <t>Transmission Demand</t>
  </si>
  <si>
    <t>Maximum</t>
  </si>
  <si>
    <t>Non-Operating Items</t>
  </si>
  <si>
    <t>Non-Operating Margins - Interest</t>
  </si>
  <si>
    <t>DISTRIBUTION PLANT EXCL VA</t>
  </si>
  <si>
    <t>DPLTXVA</t>
  </si>
  <si>
    <t>ACCT 926 DIR ASSIGN COMP.KY RET</t>
  </si>
  <si>
    <t>LABPTDKY</t>
  </si>
  <si>
    <t>ACCT 926 DIR ASSIGN COMP.VAJ</t>
  </si>
  <si>
    <t>LABPTDVAJ</t>
  </si>
  <si>
    <t>ACCT 926 DIR ASSIGN COMP.VANJ</t>
  </si>
  <si>
    <t>LABPTDVNJ</t>
  </si>
  <si>
    <t>ACCT 926 DIR ASSIGN COMP.FERC</t>
  </si>
  <si>
    <t xml:space="preserve">    PREPAYMENTS</t>
  </si>
  <si>
    <t xml:space="preserve">    WORKING CASH</t>
  </si>
  <si>
    <t xml:space="preserve">    EMISSION ALLOWANCES</t>
  </si>
  <si>
    <t xml:space="preserve">     TOTAL ADDITIONS</t>
  </si>
  <si>
    <t>DEDUCT:</t>
  </si>
  <si>
    <t>DEPRDP1</t>
  </si>
  <si>
    <t>DEPRDP2</t>
  </si>
  <si>
    <t>DEPRDP3</t>
  </si>
  <si>
    <t>DEPRDP4</t>
  </si>
  <si>
    <t>DEPRDP5</t>
  </si>
  <si>
    <t>DEPRDP6</t>
  </si>
  <si>
    <t>Load Management</t>
  </si>
  <si>
    <t>F012</t>
  </si>
  <si>
    <t>Deferred Debits</t>
  </si>
  <si>
    <t>Labor Expenses (Continued)</t>
  </si>
  <si>
    <t>LBPP</t>
  </si>
  <si>
    <t>LB557</t>
  </si>
  <si>
    <t>LB561</t>
  </si>
  <si>
    <t>LB562</t>
  </si>
  <si>
    <t>LB563</t>
  </si>
  <si>
    <t>LB568</t>
  </si>
  <si>
    <t>LB570</t>
  </si>
  <si>
    <t>LB571</t>
  </si>
  <si>
    <t>LB580</t>
  </si>
  <si>
    <t>LB581</t>
  </si>
  <si>
    <t>LB582</t>
  </si>
  <si>
    <t>LB583</t>
  </si>
  <si>
    <t>LB584</t>
  </si>
  <si>
    <t>LB585</t>
  </si>
  <si>
    <t>LB586</t>
  </si>
  <si>
    <t>LB586x</t>
  </si>
  <si>
    <t>LB587</t>
  </si>
  <si>
    <t>LB588</t>
  </si>
  <si>
    <t>LB589</t>
  </si>
  <si>
    <t>LBDO</t>
  </si>
  <si>
    <t>LB590</t>
  </si>
  <si>
    <t>LB592</t>
  </si>
  <si>
    <t>LB593</t>
  </si>
  <si>
    <t>LB594</t>
  </si>
  <si>
    <t>LB595</t>
  </si>
  <si>
    <t>LB596</t>
  </si>
  <si>
    <t>LB597</t>
  </si>
  <si>
    <t>LB598</t>
  </si>
  <si>
    <t>LBDM</t>
  </si>
  <si>
    <t>LBSUB</t>
  </si>
  <si>
    <t>LB901</t>
  </si>
  <si>
    <t>LB902</t>
  </si>
  <si>
    <t>LB903</t>
  </si>
  <si>
    <t>LB904</t>
  </si>
  <si>
    <t>LBCA</t>
  </si>
  <si>
    <t>LB907</t>
  </si>
  <si>
    <t>LB908</t>
  </si>
  <si>
    <t>LB908x</t>
  </si>
  <si>
    <t>LB909</t>
  </si>
  <si>
    <t>LB909x</t>
  </si>
  <si>
    <t>LB910</t>
  </si>
  <si>
    <t>LBCS</t>
  </si>
  <si>
    <t>LBSUB2</t>
  </si>
  <si>
    <t>LB920</t>
  </si>
  <si>
    <t>LB921</t>
  </si>
  <si>
    <t>LB923</t>
  </si>
  <si>
    <t>LB924</t>
  </si>
  <si>
    <t>LB925</t>
  </si>
  <si>
    <t>LB926</t>
  </si>
  <si>
    <t>LB928</t>
  </si>
  <si>
    <t>LB929</t>
  </si>
  <si>
    <t>LB930</t>
  </si>
  <si>
    <t>LB931</t>
  </si>
  <si>
    <t>LBAG</t>
  </si>
  <si>
    <t>TLB</t>
  </si>
  <si>
    <t>LBLPP</t>
  </si>
  <si>
    <t>LB555</t>
  </si>
  <si>
    <t>LB560</t>
  </si>
  <si>
    <t>Total Purchased Power Labor</t>
  </si>
  <si>
    <t>Total Transmission Labor Expenses</t>
  </si>
  <si>
    <t>Transmission Labor Expenses</t>
  </si>
  <si>
    <t>Distribution Operation Labor Expense</t>
  </si>
  <si>
    <t>Total Distribution Operation Labor Expense</t>
  </si>
  <si>
    <t>Distribution Maintenance Labor Expense</t>
  </si>
  <si>
    <t>Total Distribution Maintenance Labor Expense</t>
  </si>
  <si>
    <t>Total Distribution Operation and Maintenance Labor Expenses</t>
  </si>
  <si>
    <t>Transmission and Distribution Labor Expenses</t>
  </si>
  <si>
    <t>Total Customer Accounts Labor Expense</t>
  </si>
  <si>
    <t>Total Customer Service Labor Expense</t>
  </si>
  <si>
    <t>F013</t>
  </si>
  <si>
    <t>F014</t>
  </si>
  <si>
    <t>Intallations on Customer Premises - Accum Depr</t>
  </si>
  <si>
    <t>OM588x</t>
  </si>
  <si>
    <t>F015</t>
  </si>
  <si>
    <t>Generators -Energy</t>
  </si>
  <si>
    <t>CWIP1</t>
  </si>
  <si>
    <t>CWIP2</t>
  </si>
  <si>
    <t xml:space="preserve">      FERC 912</t>
  </si>
  <si>
    <t xml:space="preserve">      FERC 913</t>
  </si>
  <si>
    <t xml:space="preserve">      FERC 916</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</si>
  <si>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</si>
  <si>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</si>
  <si>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</si>
  <si>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</si>
  <si>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</si>
  <si>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</si>
  <si>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</si>
  <si>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</si>
  <si>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</si>
  <si>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ACCRETION EXPENSE</t>
  </si>
  <si>
    <t xml:space="preserve">     TOTAL OPERATING EXPENSES</t>
  </si>
  <si>
    <t>RETURN</t>
  </si>
  <si>
    <t>RATE OF RETURN</t>
  </si>
  <si>
    <t>ELECTRIC PLANT IN SERVICE</t>
  </si>
  <si>
    <t>INTANGIBLE PLANT</t>
  </si>
  <si>
    <t>TOTAL INTANGIBLE PLANT</t>
  </si>
  <si>
    <t>PRODUCTION PLANT</t>
  </si>
  <si>
    <t xml:space="preserve">  FERC-AFUDC PRE</t>
  </si>
  <si>
    <t xml:space="preserve">  FERC-AFUDC POST</t>
  </si>
  <si>
    <t>Total steam plant</t>
  </si>
  <si>
    <t xml:space="preserve"> TOTAL HYDRAULIC PROD PLANT</t>
  </si>
  <si>
    <t>Total hydro plant</t>
  </si>
  <si>
    <t xml:space="preserve"> TOTAL OTHER PROD PLANT</t>
  </si>
  <si>
    <t>Total other production plant</t>
  </si>
  <si>
    <t>TRANSMISSION PLANT</t>
  </si>
  <si>
    <t>Input KY and TN transmission here:</t>
  </si>
  <si>
    <t xml:space="preserve">  KENTUCKY SYSTEM PROPERTY</t>
  </si>
  <si>
    <t xml:space="preserve">  VIRGINIA PROPERTY-500 KV LINE</t>
  </si>
  <si>
    <t>Input total VA transmission here:</t>
  </si>
  <si>
    <t xml:space="preserve">  VIRGINIA PROPERTY</t>
  </si>
  <si>
    <t>ELECTRIC PLANT IN SERVICE CON'T</t>
  </si>
  <si>
    <t>DISTRIBUTION PLANT</t>
  </si>
  <si>
    <t xml:space="preserve"> KENTUCKY DISTRIBUTION PLANT</t>
  </si>
  <si>
    <t xml:space="preserve">    TOTAL HYDRO MAINTENANCE</t>
  </si>
  <si>
    <t>TOTAL HYDRO GENERATION</t>
  </si>
  <si>
    <t>PRODUCTION EXPENSE-OTHER</t>
  </si>
  <si>
    <t xml:space="preserve">  546-SUPERV &amp; ENGINEERING</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</si>
  <si>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</si>
  <si>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</si>
  <si>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</si>
  <si>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</si>
  <si>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</si>
  <si>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</si>
  <si>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</si>
  <si>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</si>
  <si>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</si>
  <si>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</si>
  <si>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</si>
  <si>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</si>
  <si>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</si>
  <si>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</si>
  <si>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</si>
  <si>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</si>
  <si>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</si>
  <si>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</si>
  <si>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</si>
  <si>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</si>
  <si>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</si>
  <si>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</si>
  <si>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</si>
  <si>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</si>
  <si>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</si>
  <si>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</si>
  <si>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</si>
  <si>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</si>
  <si>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</si>
  <si>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</si>
  <si>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</si>
  <si>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</si>
  <si>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</si>
  <si>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</si>
  <si>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</si>
  <si>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CONSTRUCTION WORK IN PROGRESS</t>
  </si>
  <si>
    <t xml:space="preserve">   SYSTEM</t>
  </si>
  <si>
    <t xml:space="preserve">   FERC-AFUDC PRE</t>
  </si>
  <si>
    <t xml:space="preserve">   FERC-AFUDC POST</t>
  </si>
  <si>
    <t xml:space="preserve">    TOTAL PRODUCTION PLANT</t>
  </si>
  <si>
    <t xml:space="preserve">   TRANS VIRGINIA-KY SYSTEM</t>
  </si>
  <si>
    <t xml:space="preserve">   TRANS VIRGINIA</t>
  </si>
  <si>
    <t xml:space="preserve">    TOTAL TRANSMISSION PLT</t>
  </si>
  <si>
    <t xml:space="preserve"> DISTRIBUTION - VA &amp; TN </t>
  </si>
  <si>
    <t xml:space="preserve">    TOTAL DISTRIBUTION PLT</t>
  </si>
  <si>
    <t xml:space="preserve"> GENERAL</t>
  </si>
  <si>
    <t>TOTAL CWIP</t>
  </si>
  <si>
    <t>WORKING CAPITAL</t>
  </si>
  <si>
    <t>Reference</t>
  </si>
  <si>
    <t>(1)</t>
  </si>
  <si>
    <t>Taxable Income Unadjusted</t>
  </si>
  <si>
    <t>Total Operating Revenue</t>
  </si>
  <si>
    <t>Interest Expense</t>
  </si>
  <si>
    <t>INTEXP</t>
  </si>
  <si>
    <t>Taxable Income</t>
  </si>
  <si>
    <t>TAXINC</t>
  </si>
  <si>
    <t>Interest</t>
  </si>
  <si>
    <t>INTPPDB</t>
  </si>
  <si>
    <t>INTPPDI</t>
  </si>
  <si>
    <t>INTPPDP</t>
  </si>
  <si>
    <t>INTPPEB</t>
  </si>
  <si>
    <t>INTPPEI</t>
  </si>
  <si>
    <t>INTPPEP</t>
  </si>
  <si>
    <t>INTPPT</t>
  </si>
  <si>
    <t>INTTRB</t>
  </si>
  <si>
    <t>INTTRI</t>
  </si>
  <si>
    <t>INTTRP</t>
  </si>
  <si>
    <t>INTTRT</t>
  </si>
  <si>
    <t>INTDPS</t>
  </si>
  <si>
    <t>INTDSG</t>
  </si>
  <si>
    <t>INTDPLS</t>
  </si>
  <si>
    <t>INTDPLD</t>
  </si>
  <si>
    <t>INTDPLC</t>
  </si>
  <si>
    <t>INTDSLD</t>
  </si>
  <si>
    <t>INTDSLC</t>
  </si>
  <si>
    <t>INTDLT</t>
  </si>
  <si>
    <t>INTDLTD</t>
  </si>
  <si>
    <t>INTDLTC</t>
  </si>
  <si>
    <t>INTDLTT</t>
  </si>
  <si>
    <t>INTDSC</t>
  </si>
  <si>
    <t>INTDMC</t>
  </si>
  <si>
    <t>INTDSCL</t>
  </si>
  <si>
    <t>INTCAE</t>
  </si>
  <si>
    <t>INTCSI</t>
  </si>
  <si>
    <t>INTSEC</t>
  </si>
  <si>
    <t>INTT</t>
  </si>
  <si>
    <t>Taxable Income Pro-Forma</t>
  </si>
  <si>
    <t>Interest Syncronization Adjustment</t>
  </si>
  <si>
    <t>TXINCPF</t>
  </si>
  <si>
    <t>INJURIES AND DAMAGES - INSURAN</t>
  </si>
  <si>
    <t>OM925</t>
  </si>
  <si>
    <t>EMPLOYEE BENEFITS</t>
  </si>
  <si>
    <t>DEPRECIATION &amp; AMORT EXPENSE</t>
  </si>
  <si>
    <t>DEPRECIATION EXPENSE</t>
  </si>
  <si>
    <t>AFUDC expense per Prop Acct spreadsheet</t>
  </si>
  <si>
    <t>12 month ending functional depr expense</t>
  </si>
  <si>
    <t>12 month ending KY, PP, TN depr expense</t>
  </si>
  <si>
    <t>F010</t>
  </si>
  <si>
    <t>CUSTOMER ASSISTANCE EXPENSES</t>
  </si>
  <si>
    <t>OM908</t>
  </si>
  <si>
    <t>INFORMATIONAL AND INSTRUCTIONA</t>
  </si>
  <si>
    <t>OM909</t>
  </si>
  <si>
    <t>MISCELLANEOUS CUSTOMER SERVICE</t>
  </si>
  <si>
    <t>OM910</t>
  </si>
  <si>
    <t>Total Customer Service Expense</t>
  </si>
  <si>
    <t>OMCS</t>
  </si>
  <si>
    <t>Administrative and General Expense</t>
  </si>
  <si>
    <t>ADMIN. &amp; GEN. SALARIES-</t>
  </si>
  <si>
    <t>OM920</t>
  </si>
  <si>
    <t>OFFICE SUPPLIES AND EXPENSES</t>
  </si>
  <si>
    <t>OM921</t>
  </si>
  <si>
    <t>OUTSIDE SERVICES EMPLOYED</t>
  </si>
  <si>
    <t>OM923</t>
  </si>
  <si>
    <t>PROPERTY INSURANCE</t>
  </si>
  <si>
    <t>OM924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</si>
  <si>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</si>
  <si>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</si>
  <si>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</si>
  <si>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</si>
  <si>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</si>
  <si>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</si>
  <si>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</si>
  <si>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</si>
  <si>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</si>
  <si>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</si>
  <si>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</si>
  <si>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</si>
  <si>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</si>
  <si>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</si>
  <si>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</si>
  <si>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</si>
  <si>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</si>
  <si>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</si>
  <si>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</si>
  <si>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</si>
  <si>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</si>
  <si>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</si>
  <si>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</si>
  <si>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</si>
  <si>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</si>
  <si>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</si>
  <si>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</si>
  <si>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</si>
  <si>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</si>
  <si>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</si>
  <si>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</si>
  <si>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</si>
  <si>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</si>
  <si>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</si>
  <si>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</si>
  <si>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</si>
  <si>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</si>
  <si>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</si>
  <si>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</si>
  <si>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</si>
  <si>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</si>
  <si>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</si>
  <si>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</si>
  <si>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</si>
  <si>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</si>
  <si>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</si>
  <si>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</si>
  <si>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</si>
  <si>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</si>
  <si>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</si>
  <si>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</si>
  <si>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Less: Customer Advances</t>
  </si>
  <si>
    <t xml:space="preserve">         KENTUCKY UTILITIES COMPANY</t>
  </si>
  <si>
    <t xml:space="preserve">    ELECTRIC COST OF SERVICE STUDY</t>
  </si>
  <si>
    <t xml:space="preserve">          JURISDICTIONAL SEPARATION</t>
  </si>
  <si>
    <t>TOTAL</t>
  </si>
  <si>
    <t>KENTUCKY</t>
  </si>
  <si>
    <t>VIRGINIA</t>
  </si>
  <si>
    <t>INPUT COL</t>
  </si>
  <si>
    <t>STATE</t>
  </si>
  <si>
    <t>FERC</t>
  </si>
  <si>
    <t>ALLOC</t>
  </si>
  <si>
    <t>UTILITIES</t>
  </si>
  <si>
    <t>JURISDICTION</t>
  </si>
  <si>
    <t>PRIMARY</t>
  </si>
  <si>
    <t>TRANSMISSION</t>
  </si>
  <si>
    <t>(2)</t>
  </si>
  <si>
    <t>(6)</t>
  </si>
  <si>
    <t>(7)</t>
  </si>
  <si>
    <t>(8)</t>
  </si>
  <si>
    <t>(9)</t>
  </si>
  <si>
    <t>ALLOCATION FACTOR TABLE</t>
  </si>
  <si>
    <t>DEMAND RELATED</t>
  </si>
  <si>
    <t>-</t>
  </si>
  <si>
    <t>PRODUCTION ALLOCATORS</t>
  </si>
  <si>
    <t>DEMAND (12 CP GEN LEV)-PROD</t>
  </si>
  <si>
    <t>DEMPROD</t>
  </si>
  <si>
    <t>DEMAND (12 CP GEN LEV)-FERC</t>
  </si>
  <si>
    <t>DEMFERC</t>
  </si>
  <si>
    <t>DEMAND (12 CP GEN)-PROD VA</t>
  </si>
  <si>
    <t>DPRODVA</t>
  </si>
  <si>
    <t>DEMAND (12 CP GEN)-PROD KY</t>
  </si>
  <si>
    <t>DPRODKY</t>
  </si>
  <si>
    <t>DEM (12 CP GEN LV)-FERC POST</t>
  </si>
  <si>
    <t>DEMFERCP</t>
  </si>
  <si>
    <t>DEM (12 CP GEN LV)-NON VA</t>
  </si>
  <si>
    <t>DEMPRODNV</t>
  </si>
  <si>
    <t>TRANSMISSION ALLOCATORS</t>
  </si>
  <si>
    <t>DEMAND (12 CP GEN LEV)-TRAN</t>
  </si>
  <si>
    <t>DEMTRAN</t>
  </si>
  <si>
    <t>DEMAND (12 CP GEN LEV)-VA</t>
  </si>
  <si>
    <t>DEMVA</t>
  </si>
  <si>
    <t>DEM (12 CP GN LEV)-TRAN FERC</t>
  </si>
  <si>
    <t>DEMFERCT</t>
  </si>
  <si>
    <t>DISTRIBUTION ALLOCATORS</t>
  </si>
  <si>
    <t>OM568</t>
  </si>
  <si>
    <t>OM570</t>
  </si>
  <si>
    <t>OM571</t>
  </si>
  <si>
    <t>OMSUB2</t>
  </si>
  <si>
    <t>Operation and Maintenance Expenses Less Purchase Power</t>
  </si>
  <si>
    <t>Cash Working Capital - Operation and Maintenance Expenses</t>
  </si>
  <si>
    <t>DEPRTP</t>
  </si>
  <si>
    <t>P352</t>
  </si>
  <si>
    <t>OTHER</t>
  </si>
  <si>
    <t xml:space="preserve">  CWIP Transmission</t>
  </si>
  <si>
    <t>ADEPRD1</t>
  </si>
  <si>
    <t>ADEPRD11</t>
  </si>
  <si>
    <t>ADEPRD12</t>
  </si>
  <si>
    <t xml:space="preserve">  CWIP General Plant</t>
  </si>
  <si>
    <t xml:space="preserve">  CWIP Distribution Plant</t>
  </si>
  <si>
    <t xml:space="preserve">  RWIP</t>
  </si>
  <si>
    <t>METER EXPENSES - LOAD MANAGEMENT</t>
  </si>
  <si>
    <t>OM586x</t>
  </si>
  <si>
    <t>RECORDS AND COLLECTION</t>
  </si>
  <si>
    <t>MISC CUST ACCOUNTS</t>
  </si>
  <si>
    <t>CUSTOMER ASSISTANCE EXP-LOAD MGMT</t>
  </si>
  <si>
    <t>OM908x</t>
  </si>
  <si>
    <t>INFORM AND INSTRUC -LOAD MGMT</t>
  </si>
  <si>
    <t>OM909x</t>
  </si>
  <si>
    <t xml:space="preserve">    AFUDC-INTEREST POST FERC</t>
  </si>
  <si>
    <t xml:space="preserve"> TOTAL DEDUCTIONS</t>
  </si>
  <si>
    <t xml:space="preserve"> PLUS: ABOVE THE LINE DIFF:</t>
  </si>
  <si>
    <t xml:space="preserve">  OTHER</t>
  </si>
  <si>
    <t>STATE TAX</t>
  </si>
  <si>
    <t>FS State Taxes</t>
  </si>
  <si>
    <t>STATE TAX TOTAL</t>
  </si>
  <si>
    <t>FS Federal Taxes</t>
  </si>
  <si>
    <t xml:space="preserve"> FEDERAL TAX TOTAL</t>
  </si>
  <si>
    <t>STATE TAX RATE</t>
  </si>
  <si>
    <t>FEDERAL TAX RATE - CURRENT</t>
  </si>
  <si>
    <t>1 - EFFECTIVE TAX RATE</t>
  </si>
  <si>
    <t>EFFECTIVE TAX RATE</t>
  </si>
  <si>
    <t>FACTOR FOR TAXABLE BASIS</t>
  </si>
  <si>
    <t xml:space="preserve"> TOTAL CUSTOMER SERVICE AND SALES LABOR</t>
  </si>
  <si>
    <t>TOTAL PROD, TRAN, DIST, CUSTOMER LABOR</t>
  </si>
  <si>
    <t>ADMIN &amp; GENERAL LABOR</t>
  </si>
  <si>
    <t xml:space="preserve">      FERC 920</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</si>
  <si>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</si>
  <si>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</si>
  <si>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</si>
  <si>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</si>
  <si>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</si>
  <si>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</si>
  <si>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</si>
  <si>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</si>
  <si>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</si>
  <si>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</si>
  <si>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</si>
  <si>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</si>
  <si>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</si>
  <si>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TRANSM PLANT VA</t>
  </si>
  <si>
    <t>TRPLTVA</t>
  </si>
  <si>
    <t>TOT ACCT 364 &amp; 365-OVHD LINE</t>
  </si>
  <si>
    <t>TOTAL ELECTRIC PLANT</t>
  </si>
  <si>
    <t>PLANT</t>
  </si>
  <si>
    <t>TOTAL ELECTRIC PLANT KY</t>
  </si>
  <si>
    <t>PLANTKY</t>
  </si>
  <si>
    <t>TOTAL ELECTRIC PLANT KY &amp; FERC</t>
  </si>
  <si>
    <t>PLANTKF</t>
  </si>
  <si>
    <t>TOTAL ELECTRIC PLANT VA</t>
  </si>
  <si>
    <t>PLANTVA</t>
  </si>
  <si>
    <t>TOTAL STEAM PROD PLANT</t>
  </si>
  <si>
    <t>STMPLT</t>
  </si>
  <si>
    <t>TOTAL HYDRAULIC PROD PLANT</t>
  </si>
  <si>
    <t>HYDPLT</t>
  </si>
  <si>
    <t>TOTAL OTHER PROD PLANT</t>
  </si>
  <si>
    <t>OTHPLT</t>
  </si>
  <si>
    <t>Kentucky Utilities Company</t>
  </si>
  <si>
    <t>Services Account 369</t>
  </si>
  <si>
    <t>Rate Class</t>
  </si>
  <si>
    <t>DEM368K</t>
  </si>
  <si>
    <t>DEM368V</t>
  </si>
  <si>
    <t xml:space="preserve">DIR ASSIGN ACC.DEPRC.DIST.VA&amp;TN </t>
  </si>
  <si>
    <t>DIRACDEP</t>
  </si>
  <si>
    <t>DIR ASSIGN CWIP DIST VA &amp; TN</t>
  </si>
  <si>
    <t>DIRCWIP</t>
  </si>
  <si>
    <t>DIRACDFTX</t>
  </si>
  <si>
    <t>DIRACITC</t>
  </si>
  <si>
    <t>DIR ASSIGN 203(E) EXCESS</t>
  </si>
  <si>
    <t>DIR203E</t>
  </si>
  <si>
    <t>DIR ASSIGN ITC ADJ</t>
  </si>
  <si>
    <t>DIRITCADJ</t>
  </si>
  <si>
    <t>DIR ASSIGN DEFERRED FUEL-VIRGINIA</t>
  </si>
  <si>
    <t>DFUELVA</t>
  </si>
  <si>
    <t>ENERGY</t>
  </si>
  <si>
    <t>ENERGY (MWH AT GEN LEVEL)</t>
  </si>
  <si>
    <t>ENERGY (MWH RETAIL @ GEN LEVEL)</t>
  </si>
  <si>
    <t>ENERGY1</t>
  </si>
  <si>
    <t>CUSTOMER</t>
  </si>
  <si>
    <t>DIR ASSIGN ACCT 369-SERV KY</t>
  </si>
  <si>
    <t>CUST369K</t>
  </si>
  <si>
    <t>DIR ASSIGN ACCT 370 METERS KY</t>
  </si>
  <si>
    <t>CUST370K</t>
  </si>
  <si>
    <t>DIR ASN ACCT 371 CUST INST KY</t>
  </si>
  <si>
    <t>CUST371K</t>
  </si>
  <si>
    <t>DIR ASGN ACCT 373 ST LIGHT KY</t>
  </si>
  <si>
    <t>CUST373K</t>
  </si>
  <si>
    <t>CUSTOMER ADVANCES</t>
  </si>
  <si>
    <t>CUSTADV</t>
  </si>
  <si>
    <t>CUSTOMER DEPOSITS</t>
  </si>
  <si>
    <t>CUSTDEP</t>
  </si>
  <si>
    <t>DIR ASSIGN 902-METER READING</t>
  </si>
  <si>
    <t>CUST902</t>
  </si>
  <si>
    <t>DIR ASSIGN 903-CUSTOMER REC</t>
  </si>
  <si>
    <t>CUST903</t>
  </si>
  <si>
    <t>DIR ASSIGN 904-UNCOLL ACCTS</t>
  </si>
  <si>
    <t>CUST904</t>
  </si>
  <si>
    <t>DIR ASSIGN ACCT 369-SERV VA</t>
  </si>
  <si>
    <t>CUST369V</t>
  </si>
  <si>
    <t>DIR ASSIGN ACCT 370 METERS VA</t>
  </si>
  <si>
    <t>CUST370V</t>
  </si>
  <si>
    <t>DIR ASN ACCT 371 CUST INST VA</t>
  </si>
  <si>
    <t>CUST371V</t>
  </si>
  <si>
    <t>DIR ASGN ACCT 373 ST LIGHT VA</t>
  </si>
  <si>
    <t>CUST373V</t>
  </si>
  <si>
    <t>DIR ASSIGN 908-CUST ASSIST</t>
  </si>
  <si>
    <t>CUST908</t>
  </si>
  <si>
    <t>DIR ASSIGN 909-INFO &amp; INSTRCT</t>
  </si>
  <si>
    <t>CUST909</t>
  </si>
  <si>
    <t>DIR ASSIGN 912-DEM &amp; SELLING</t>
  </si>
  <si>
    <t>CUST912</t>
  </si>
  <si>
    <t>DIR ASSIGN 913-ADVERTISING</t>
  </si>
  <si>
    <t>CUST913</t>
  </si>
  <si>
    <t>CUSTOMER ANNUALIZATION</t>
  </si>
  <si>
    <t>CUSTANN</t>
  </si>
  <si>
    <t>CUSTOMER DEPOSITS INTEREST</t>
  </si>
  <si>
    <t>CUSTDEPI</t>
  </si>
  <si>
    <t>INTERNALLY DEVELOPED</t>
  </si>
  <si>
    <t>PROD-TRANSM-DISTR-GENL PLT</t>
  </si>
  <si>
    <t>PTDGPLT</t>
  </si>
  <si>
    <t>PROD-TRANSM-DISTR-GENL PLT KY</t>
  </si>
  <si>
    <t>KURETPLT</t>
  </si>
  <si>
    <t>ALLOCATED O&amp;M LABOR EXPENSE</t>
  </si>
  <si>
    <t>LABOR</t>
  </si>
  <si>
    <t>TOTAL STEAM PROD PLANT-SYSTEM</t>
  </si>
  <si>
    <t>STMSYS</t>
  </si>
  <si>
    <t>ALLOCATED NON A&amp;G LABOR EXPENSE</t>
  </si>
  <si>
    <t>PTDCUSTLABOR</t>
  </si>
  <si>
    <t>TOT HYDRAULIC PROD PLANT-SYS</t>
  </si>
  <si>
    <t>HYDSYS</t>
  </si>
  <si>
    <t>TOTAL OTHER PROD PLANT-SYS</t>
  </si>
  <si>
    <t>OTHSYS</t>
  </si>
  <si>
    <t>TRANSM KENTUCKY SYSTEM PROP</t>
  </si>
  <si>
    <t>KYTRPLT</t>
  </si>
  <si>
    <t>TRANSM VIRGINIA PROPERTY</t>
  </si>
  <si>
    <t>VATRPLT</t>
  </si>
  <si>
    <t>TRANSM VIRGINIA PROP TOTAL</t>
  </si>
  <si>
    <t>VATRPLTT</t>
  </si>
  <si>
    <t>TOTAL DISTRIBUTION PLANT</t>
  </si>
  <si>
    <t>DISTPLT</t>
  </si>
  <si>
    <t>TOTAL DIST PLANT KY &amp; FERC</t>
  </si>
  <si>
    <t>DISTPLTKF</t>
  </si>
  <si>
    <t>TOTAL GENERAL PLANT</t>
  </si>
  <si>
    <t>GENPLT</t>
  </si>
  <si>
    <t>ACCT 302-FRANCHISE</t>
  </si>
  <si>
    <t>Misc Service Revenue Allocator</t>
  </si>
  <si>
    <t>DIR ASSIGN ACC ITC VA</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</si>
  <si>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</si>
  <si>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</si>
  <si>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</si>
  <si>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</si>
  <si>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</si>
  <si>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</si>
  <si>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</si>
  <si>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</si>
  <si>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</si>
  <si>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</si>
  <si>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</si>
  <si>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</si>
  <si>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</si>
  <si>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</si>
  <si>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</si>
  <si>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</si>
  <si>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</si>
  <si>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FERC 591</t>
  </si>
  <si>
    <t>Total Line Transformers</t>
  </si>
  <si>
    <t xml:space="preserve">    MATERIALS &amp; SUPPLIES</t>
  </si>
  <si>
    <t xml:space="preserve">    FUEL INVENTORY</t>
  </si>
  <si>
    <t>Customer Services -- Weighted cost of Services</t>
  </si>
  <si>
    <t>Steam Production Plant</t>
  </si>
  <si>
    <t>Total Steam Production Plant</t>
  </si>
  <si>
    <t>PSTPR</t>
  </si>
  <si>
    <t>Other Production Plant</t>
  </si>
  <si>
    <t>Total Other Production Plant</t>
  </si>
  <si>
    <t>POTPR</t>
  </si>
  <si>
    <t>Total Production Plant</t>
  </si>
  <si>
    <t>PPRTL</t>
  </si>
  <si>
    <t>TOTAL COMMON PLANT</t>
  </si>
  <si>
    <t>PCOM</t>
  </si>
  <si>
    <t>Residential</t>
  </si>
  <si>
    <t>General</t>
  </si>
  <si>
    <t xml:space="preserve">   State and Federal Income Taxes</t>
  </si>
  <si>
    <t>Adjustments to Operating Expenses:</t>
  </si>
  <si>
    <t>Cost of Service Summary -- Pro-Forma</t>
  </si>
  <si>
    <t>OPERATION SUPERVISION &amp; ENGINEERING</t>
  </si>
  <si>
    <t>OM500</t>
  </si>
  <si>
    <t>FUEL</t>
  </si>
  <si>
    <t>OM501</t>
  </si>
  <si>
    <t>STEAM EXPENSES</t>
  </si>
  <si>
    <t>OM502</t>
  </si>
  <si>
    <t>ELECTRIC EXPENSES</t>
  </si>
  <si>
    <t>OM505</t>
  </si>
  <si>
    <t>Steam Power Generation Operation Expenses</t>
  </si>
  <si>
    <t>MISC. STEAM POWER EXPENSES</t>
  </si>
  <si>
    <t>OM506</t>
  </si>
  <si>
    <t>Total Steam Power Operation Expenses</t>
  </si>
  <si>
    <t>Steam Power Generation Maintenance Expenses</t>
  </si>
  <si>
    <t>OM510</t>
  </si>
  <si>
    <t>OM511</t>
  </si>
  <si>
    <t>MAINTENANCE OF BOILER PLANT</t>
  </si>
  <si>
    <t>MAINTENANCE OF ELECTRIC PLANT</t>
  </si>
  <si>
    <t>OM512</t>
  </si>
  <si>
    <t>OM513</t>
  </si>
  <si>
    <t>MAINTENANCE OF MISC STEAM PLANT</t>
  </si>
  <si>
    <t>OM514</t>
  </si>
  <si>
    <t>Total Steam Power Generation Maintenance Expense</t>
  </si>
  <si>
    <t>Total Steam Power Generation Expense</t>
  </si>
  <si>
    <t>Other Power Generation Operation Expense</t>
  </si>
  <si>
    <t>OM546</t>
  </si>
  <si>
    <t>OM547</t>
  </si>
  <si>
    <t>GENERATION EXPENSE</t>
  </si>
  <si>
    <t>OM548</t>
  </si>
  <si>
    <t xml:space="preserve">MISC OTHER POWER GENERATION </t>
  </si>
  <si>
    <t>OM549</t>
  </si>
  <si>
    <t>OM550</t>
  </si>
  <si>
    <t>Total Other Power Generation Expenses</t>
  </si>
  <si>
    <t>Other Power Generation Maintenance Expense</t>
  </si>
  <si>
    <t>OM551</t>
  </si>
  <si>
    <t>OM552</t>
  </si>
  <si>
    <t>MAINTENANCE OF GENERATING &amp; ELEC PLANT</t>
  </si>
  <si>
    <t>OM553</t>
  </si>
  <si>
    <t>MAINTENANCE OF MISC OTHER POWER GEN PLT</t>
  </si>
  <si>
    <t>OM554</t>
  </si>
  <si>
    <t>Total Other Power Generation Expense</t>
  </si>
  <si>
    <t>Total Other Power Generation Maintenance Expense</t>
  </si>
  <si>
    <t>Total Station Expense</t>
  </si>
  <si>
    <t>Other Power Supply Expenses</t>
  </si>
  <si>
    <t>PURCHASED POWER OPTIONS</t>
  </si>
  <si>
    <t>OMO555</t>
  </si>
  <si>
    <t>BROKERAGE FEES</t>
  </si>
  <si>
    <t>OMB555</t>
  </si>
  <si>
    <t>MISO TRANSMISSION EXPENSES</t>
  </si>
  <si>
    <t>OMM555</t>
  </si>
  <si>
    <t>SYSTEM CONTROL AND LOAD DISPATCH</t>
  </si>
  <si>
    <t>OM556</t>
  </si>
  <si>
    <t>Total Electric Power Generation Expenses</t>
  </si>
  <si>
    <t>TRANSMISSION OF ELECTRICITY BY OTHERS</t>
  </si>
  <si>
    <t>OM565</t>
  </si>
  <si>
    <t>OM567</t>
  </si>
  <si>
    <t>STRUCTURES</t>
  </si>
  <si>
    <t>OM569</t>
  </si>
  <si>
    <t>UNDERGROUND LINES</t>
  </si>
  <si>
    <t>OM572</t>
  </si>
  <si>
    <t>MISC PLANT</t>
  </si>
  <si>
    <t>OM573</t>
  </si>
  <si>
    <t>OM591</t>
  </si>
  <si>
    <t>MISCELLANEOUS DISTRIBUTION EXPENSES</t>
  </si>
  <si>
    <t>OM598</t>
  </si>
  <si>
    <t>Total Other Power Supply Expenses</t>
  </si>
  <si>
    <t>Production, Transmission and Distribution Expenses</t>
  </si>
  <si>
    <t>Sub-Total Prod, Trans, Dist, Cust Acct and Cust Service</t>
  </si>
  <si>
    <t>ADMINISTRATIVE EXPENSES TRANSFERRED</t>
  </si>
  <si>
    <t>OM922</t>
  </si>
  <si>
    <t>OM935</t>
  </si>
  <si>
    <t>LB500</t>
  </si>
  <si>
    <t>LB501</t>
  </si>
  <si>
    <t>LB502</t>
  </si>
  <si>
    <t>LB505</t>
  </si>
  <si>
    <t>LB506</t>
  </si>
  <si>
    <t>LB510</t>
  </si>
  <si>
    <t>LB511</t>
  </si>
  <si>
    <t>LB512</t>
  </si>
  <si>
    <t>LB513</t>
  </si>
  <si>
    <t>LB514</t>
  </si>
  <si>
    <t>LB546</t>
  </si>
  <si>
    <t>LB547</t>
  </si>
  <si>
    <t>LB548</t>
  </si>
  <si>
    <t>LB549</t>
  </si>
  <si>
    <t>LB550</t>
  </si>
  <si>
    <t>LB551</t>
  </si>
  <si>
    <t>LB552</t>
  </si>
  <si>
    <t>LB553</t>
  </si>
  <si>
    <t>LB554</t>
  </si>
  <si>
    <t>SOFTWARE</t>
  </si>
  <si>
    <t>Hydraulic Production Plant</t>
  </si>
  <si>
    <t>Total Hydraulic Production Plant</t>
  </si>
  <si>
    <t>PHDPR</t>
  </si>
  <si>
    <t>KENTUCKY SYSTEM PROPERTY</t>
  </si>
  <si>
    <t>VIRGINIA PROPERTY - 500 KV LINE</t>
  </si>
  <si>
    <t xml:space="preserve">  TOTAL ACCTS 360-362</t>
  </si>
  <si>
    <t xml:space="preserve">  364 &amp; 365-OVERHEAD LINES</t>
  </si>
  <si>
    <t xml:space="preserve">  366 &amp; 367-UNDERGROUND LINES</t>
  </si>
  <si>
    <t xml:space="preserve">  368-TRANSFORMERS - POWER POOL</t>
  </si>
  <si>
    <t xml:space="preserve">  368-TRANSFORMERS - ALL OTHER</t>
  </si>
  <si>
    <t xml:space="preserve">  369-SERVICES</t>
  </si>
  <si>
    <t xml:space="preserve">  370-METERS</t>
  </si>
  <si>
    <t xml:space="preserve">  371-CUSTOMER INSTALLATION</t>
  </si>
  <si>
    <t xml:space="preserve">  373-STREET LIGHTING</t>
  </si>
  <si>
    <t xml:space="preserve">  Other Production</t>
  </si>
  <si>
    <t xml:space="preserve">  Hydraulic Production</t>
  </si>
  <si>
    <t xml:space="preserve">  Steam Production</t>
  </si>
  <si>
    <t xml:space="preserve">  Transmission - Kentucky System Property</t>
  </si>
  <si>
    <t xml:space="preserve">  Transmission - Virginia Property</t>
  </si>
  <si>
    <t xml:space="preserve">  Intangible Plant</t>
  </si>
  <si>
    <t xml:space="preserve">  Distribution</t>
  </si>
  <si>
    <t xml:space="preserve">  CWIP Production</t>
  </si>
  <si>
    <t>Hydraulic Power Generation Operation Expenses</t>
  </si>
  <si>
    <t>Hydraulic Power Generation Maintenance Expenses</t>
  </si>
  <si>
    <t>MAINT. OF RESERVES, DAMS, AND WATERWAYS</t>
  </si>
  <si>
    <t>Total Hydraulic Power Operation Expenses</t>
  </si>
  <si>
    <t>Total Hydraulic Power Generation Expense</t>
  </si>
  <si>
    <t>Total Hydraulic Power Generation Maint. Expense</t>
  </si>
  <si>
    <t>HYDRAULIC EXPENSES</t>
  </si>
  <si>
    <t>WATER FOR POWER</t>
  </si>
  <si>
    <t>MAINTENANCE OF MISC HYDRAULIC PLANT</t>
  </si>
  <si>
    <t>OM535</t>
  </si>
  <si>
    <t>OM536</t>
  </si>
  <si>
    <t>OM537</t>
  </si>
  <si>
    <t>OM538</t>
  </si>
  <si>
    <t>OM539</t>
  </si>
  <si>
    <t>OM541</t>
  </si>
  <si>
    <t>OM542</t>
  </si>
  <si>
    <t>OM543</t>
  </si>
  <si>
    <t>OM544</t>
  </si>
  <si>
    <t>OM545</t>
  </si>
  <si>
    <t>Production, Transmission and Distribution Labor Expenses</t>
  </si>
  <si>
    <t>Total Production Expense</t>
  </si>
  <si>
    <t>P368a</t>
  </si>
  <si>
    <t>LPREX</t>
  </si>
  <si>
    <t>OM507</t>
  </si>
  <si>
    <t>Ref</t>
  </si>
  <si>
    <t>Production Demand</t>
  </si>
  <si>
    <t>Production Energy</t>
  </si>
  <si>
    <t>Specific</t>
  </si>
  <si>
    <t>Distribution Poles</t>
  </si>
  <si>
    <t>Distribution Substation</t>
  </si>
  <si>
    <t>Sales Expense</t>
  </si>
  <si>
    <t>Customer Service &amp; Info.</t>
  </si>
  <si>
    <t>Distribution St. &amp; Cust. Lighting</t>
  </si>
  <si>
    <t>LBPPEB</t>
  </si>
  <si>
    <t>LBPPEI</t>
  </si>
  <si>
    <t>LBPPEP</t>
  </si>
  <si>
    <t>LBTRB</t>
  </si>
  <si>
    <t>LBTRI</t>
  </si>
  <si>
    <t>LBTRP</t>
  </si>
  <si>
    <t>LBTRT</t>
  </si>
  <si>
    <t>LBDPS</t>
  </si>
  <si>
    <t>LBDSG</t>
  </si>
  <si>
    <t>LBDPLS</t>
  </si>
  <si>
    <t>LBDPLD</t>
  </si>
  <si>
    <t>LBDPLC</t>
  </si>
  <si>
    <t>LBDSLD</t>
  </si>
  <si>
    <t>LBDSLC</t>
  </si>
  <si>
    <t>LBDLT</t>
  </si>
  <si>
    <t>LBDLTD</t>
  </si>
  <si>
    <t>LBDLTC</t>
  </si>
  <si>
    <t>LBDLTT</t>
  </si>
  <si>
    <t>LBDSC</t>
  </si>
  <si>
    <t>LBDMC</t>
  </si>
  <si>
    <t>LBDSCL</t>
  </si>
  <si>
    <t>LBCAE</t>
  </si>
  <si>
    <t>LBCSI</t>
  </si>
  <si>
    <t>LBSEC</t>
  </si>
  <si>
    <t>DEPPDB</t>
  </si>
  <si>
    <t>DEPPDI</t>
  </si>
  <si>
    <t>DEPPDP</t>
  </si>
  <si>
    <t>DEPPEB</t>
  </si>
  <si>
    <t>DEPPEI</t>
  </si>
  <si>
    <t>DEPPEP</t>
  </si>
  <si>
    <t>DEPPT</t>
  </si>
  <si>
    <t>DETRB</t>
  </si>
  <si>
    <t>DETRI</t>
  </si>
  <si>
    <t>DETRP</t>
  </si>
  <si>
    <t>DETRT</t>
  </si>
  <si>
    <t>DEDPS</t>
  </si>
  <si>
    <t>DEDSG</t>
  </si>
  <si>
    <t>DEDPLS</t>
  </si>
  <si>
    <t>DEDPLD</t>
  </si>
  <si>
    <t>DEDPLC</t>
  </si>
  <si>
    <t>DEDSLD</t>
  </si>
  <si>
    <t>DEDSLC</t>
  </si>
  <si>
    <t>DEDLT</t>
  </si>
  <si>
    <t>DEDLTD</t>
  </si>
  <si>
    <t>DEDLTC</t>
  </si>
  <si>
    <t>DEDLTT</t>
  </si>
  <si>
    <t>DEDSC</t>
  </si>
  <si>
    <t>DEDMC</t>
  </si>
  <si>
    <t>DEDSCL</t>
  </si>
  <si>
    <t>DECAE</t>
  </si>
  <si>
    <t>DECSI</t>
  </si>
  <si>
    <t>DESEC</t>
  </si>
  <si>
    <t>DET</t>
  </si>
  <si>
    <t>OTAX</t>
  </si>
  <si>
    <t>PTPPDB</t>
  </si>
  <si>
    <t>PTPPDI</t>
  </si>
  <si>
    <t>PTPPDP</t>
  </si>
  <si>
    <t>PTPPEB</t>
  </si>
  <si>
    <t>PTPPEI</t>
  </si>
  <si>
    <t>PTPPEP</t>
  </si>
  <si>
    <t>PTPPT</t>
  </si>
  <si>
    <t>PTTRB</t>
  </si>
  <si>
    <t>PTTRI</t>
  </si>
  <si>
    <t>PTTRP</t>
  </si>
  <si>
    <t>PTTRT</t>
  </si>
  <si>
    <t>PTDPS</t>
  </si>
  <si>
    <t>PTDSG</t>
  </si>
  <si>
    <t>PTDPLS</t>
  </si>
  <si>
    <t>PTDPLD</t>
  </si>
  <si>
    <t>PTDPLC</t>
  </si>
  <si>
    <t>PTDSLD</t>
  </si>
  <si>
    <t>PTDSLC</t>
  </si>
  <si>
    <t>PTDLT</t>
  </si>
  <si>
    <t>PTDLTD</t>
  </si>
  <si>
    <t>PTDLTC</t>
  </si>
  <si>
    <t>PTDLTT</t>
  </si>
  <si>
    <t>PTDSC</t>
  </si>
  <si>
    <t>PTDMC</t>
  </si>
  <si>
    <t>PTDSCL</t>
  </si>
  <si>
    <t>PTCAE</t>
  </si>
  <si>
    <t>PTCSI</t>
  </si>
  <si>
    <t>PTSEC</t>
  </si>
  <si>
    <t>OTPPDB</t>
  </si>
  <si>
    <t>OTPPDI</t>
  </si>
  <si>
    <t>OTPPDP</t>
  </si>
  <si>
    <t>OTPPEB</t>
  </si>
  <si>
    <t>OTPPEI</t>
  </si>
  <si>
    <t>OTPPEP</t>
  </si>
  <si>
    <t>OTTRB</t>
  </si>
  <si>
    <t>OTTRI</t>
  </si>
  <si>
    <t>OTTRP</t>
  </si>
  <si>
    <t>OTTRT</t>
  </si>
  <si>
    <t>OTDPS</t>
  </si>
  <si>
    <t>OTDSG</t>
  </si>
  <si>
    <t>OTDPLS</t>
  </si>
  <si>
    <t>OTDPLD</t>
  </si>
  <si>
    <t>OTDPLC</t>
  </si>
  <si>
    <t>OTDSLD</t>
  </si>
  <si>
    <t>OTDSLC</t>
  </si>
  <si>
    <t>OTDLT</t>
  </si>
  <si>
    <t>OTDLTD</t>
  </si>
  <si>
    <t>OTDLTC</t>
  </si>
  <si>
    <t>OTDLTT</t>
  </si>
  <si>
    <t>OTDSC</t>
  </si>
  <si>
    <t>OTDMC</t>
  </si>
  <si>
    <t>OTDSCL</t>
  </si>
  <si>
    <t>OTCAE</t>
  </si>
  <si>
    <t>OTCSI</t>
  </si>
  <si>
    <t>OTSEC</t>
  </si>
  <si>
    <t>Rate RS</t>
  </si>
  <si>
    <t>Kentucky Utilities</t>
  </si>
  <si>
    <t>LB556</t>
  </si>
  <si>
    <t>LB922</t>
  </si>
  <si>
    <t>LB935</t>
  </si>
  <si>
    <t>LB535</t>
  </si>
  <si>
    <t>LB536</t>
  </si>
  <si>
    <t>LB537</t>
  </si>
  <si>
    <t>LB538</t>
  </si>
  <si>
    <t>LB539</t>
  </si>
  <si>
    <t>LB540</t>
  </si>
  <si>
    <t>LB541</t>
  </si>
  <si>
    <t>LB542</t>
  </si>
  <si>
    <t>LB543</t>
  </si>
  <si>
    <t>LB544</t>
  </si>
  <si>
    <t>LB545</t>
  </si>
  <si>
    <t>LB572</t>
  </si>
  <si>
    <t>LB573</t>
  </si>
  <si>
    <t>Emission Allowance</t>
  </si>
  <si>
    <t>EMALL</t>
  </si>
  <si>
    <t>ADITPP</t>
  </si>
  <si>
    <t>ADITTP</t>
  </si>
  <si>
    <t>DIR ASSIGN LATE PAYMENT REVENUE</t>
  </si>
  <si>
    <t>LATE PAYMENT REVENUES</t>
  </si>
  <si>
    <t xml:space="preserve">    (GAIN) / LOSS DISPOSITION ALLOWANCES</t>
  </si>
  <si>
    <t xml:space="preserve">    (GAIN) / LOSS DISPOSITION PROPERTY-VA</t>
  </si>
  <si>
    <t xml:space="preserve">    CHARITABLE CONTRIBUTIONS-VA</t>
  </si>
  <si>
    <t xml:space="preserve">    INTEREST ON CUSTOMER DEPOSITS-VA</t>
  </si>
  <si>
    <t>Financial Statements Net Operating Income</t>
  </si>
  <si>
    <t>M&amp;S worksheet</t>
  </si>
  <si>
    <t>Virginia 0 (zero) Cash Working Capital (No formula allowed only Lead/Lag Study or Zero)</t>
  </si>
  <si>
    <t>Total 928</t>
  </si>
  <si>
    <t>KY Cases</t>
  </si>
  <si>
    <t>VA Cases</t>
  </si>
  <si>
    <t>TN Cases</t>
  </si>
  <si>
    <t>GAIN/LOSS PROP DISPOSITION (NET)</t>
  </si>
  <si>
    <t>CHARITABLE CONTRIBUTIONS-VA ONLY</t>
  </si>
  <si>
    <t>Virginia</t>
  </si>
  <si>
    <t>Donations Workpaper</t>
  </si>
  <si>
    <t>50% Limitation</t>
  </si>
  <si>
    <t>Total Co Int on Cust Dep; Interest deduct for Virginia only</t>
  </si>
  <si>
    <t>STATE TAX ADJUSTS FOR FEDERAL</t>
  </si>
  <si>
    <t>Direct Labor plus Burdens</t>
  </si>
  <si>
    <t xml:space="preserve"> 374-ARO COST KY ELEC DISTRIB</t>
  </si>
  <si>
    <t>DEM374K</t>
  </si>
  <si>
    <t>Less: Asset Retirement Obligations</t>
  </si>
  <si>
    <t>Federal &amp; State Income Tax Adjustment</t>
  </si>
  <si>
    <t>Federal &amp; State Income Tax Interest Adjustment</t>
  </si>
  <si>
    <t>Power Service</t>
  </si>
  <si>
    <t>PS-Secondary</t>
  </si>
  <si>
    <t>PS-Primary</t>
  </si>
  <si>
    <t>Time of Day</t>
  </si>
  <si>
    <t>TOD-Secondary</t>
  </si>
  <si>
    <t>Retail Transmission Service</t>
  </si>
  <si>
    <t>Rate Base Adjustments</t>
  </si>
  <si>
    <t>(3)</t>
  </si>
  <si>
    <t>Rate Base as Adjusted</t>
  </si>
  <si>
    <t>(4)</t>
  </si>
  <si>
    <t>(5)</t>
  </si>
  <si>
    <t>Return</t>
  </si>
  <si>
    <t>Interest Expenses</t>
  </si>
  <si>
    <t>(10)</t>
  </si>
  <si>
    <t>(11)</t>
  </si>
  <si>
    <t>(12)</t>
  </si>
  <si>
    <t>(13)</t>
  </si>
  <si>
    <t>Total Cost of Service</t>
  </si>
  <si>
    <t>(14)</t>
  </si>
  <si>
    <t>(15)</t>
  </si>
  <si>
    <t>Net Cost of Service</t>
  </si>
  <si>
    <t>(16)</t>
  </si>
  <si>
    <t>Billing Units</t>
  </si>
  <si>
    <t>(17)</t>
  </si>
  <si>
    <t>Unit Costs</t>
  </si>
  <si>
    <t>Production</t>
  </si>
  <si>
    <t>Demand-Related</t>
  </si>
  <si>
    <t>Energy-Related</t>
  </si>
  <si>
    <t>Customer-Related</t>
  </si>
  <si>
    <t>Unit Cost of Service Based on the Cost of Service Study</t>
  </si>
  <si>
    <t>Customer Service Expenses</t>
  </si>
  <si>
    <t>Reference Total</t>
  </si>
  <si>
    <t>Expense Adjustments - Energy</t>
  </si>
  <si>
    <t>Expense Adjustments - Prod. Demand</t>
  </si>
  <si>
    <t>Expense Adjustments - Distribution</t>
  </si>
  <si>
    <t>Expense Adjustments - Other</t>
  </si>
  <si>
    <t>Expense Adjustments - Trans. Demand</t>
  </si>
  <si>
    <t>(18)</t>
  </si>
  <si>
    <t>(19)</t>
  </si>
  <si>
    <t>(20)</t>
  </si>
  <si>
    <t>(21)</t>
  </si>
  <si>
    <t>(22)</t>
  </si>
  <si>
    <t>Expense Adjustments - Total</t>
  </si>
  <si>
    <t>Less: Misc Revenue - Energy</t>
  </si>
  <si>
    <t>Less: Misc Revenue - Other</t>
  </si>
  <si>
    <t>(23)</t>
  </si>
  <si>
    <t>(24)</t>
  </si>
  <si>
    <t>Less: Misc Revenue - Total</t>
  </si>
  <si>
    <t>Check</t>
  </si>
  <si>
    <t>LPAY</t>
  </si>
  <si>
    <t>Late Payment Revenue</t>
  </si>
  <si>
    <t>Curtailable Service Credit</t>
  </si>
  <si>
    <t>(25)</t>
  </si>
  <si>
    <t>(26)</t>
  </si>
  <si>
    <t>Energy (Loss Adjusted)(at Source)</t>
  </si>
  <si>
    <t>Energy (at the Meter)</t>
  </si>
  <si>
    <t>Cost of Service Summary  -- Adjusted for Proposed Increase</t>
  </si>
  <si>
    <t>Rate PSS</t>
  </si>
  <si>
    <t>ALLOCATION METHOD: AVG 12 CP (COMBINED CO SYS)</t>
  </si>
  <si>
    <t>DEM (12 CP GEN LEV)-NON FERC</t>
  </si>
  <si>
    <t>DEMTRANNF</t>
  </si>
  <si>
    <t>DIRECT ASSIGN 360 KY</t>
  </si>
  <si>
    <t>DEM360K</t>
  </si>
  <si>
    <t>DIRECT ASSIGN 361 KY</t>
  </si>
  <si>
    <t>DEM361K</t>
  </si>
  <si>
    <t>DIRECT ASSIGN 362 KY</t>
  </si>
  <si>
    <t>DEM362K</t>
  </si>
  <si>
    <t>DIRECT ASSIGN 364 KY</t>
  </si>
  <si>
    <t>DEM364K</t>
  </si>
  <si>
    <t>DIRECT ASSIGN 365 KY</t>
  </si>
  <si>
    <t>DEM365K</t>
  </si>
  <si>
    <t>DIRECT ASSIGN 366 KY</t>
  </si>
  <si>
    <t>DEM366K</t>
  </si>
  <si>
    <t>DIRECT ASSIGN 367 KY</t>
  </si>
  <si>
    <t>DEM367K</t>
  </si>
  <si>
    <t>DIRECT ASSIGN 368 KY</t>
  </si>
  <si>
    <t>DIRECT ASSIGN 374 KY</t>
  </si>
  <si>
    <t>DIRECT ASSIGN 360-VA</t>
  </si>
  <si>
    <t>DEM360V</t>
  </si>
  <si>
    <t>DIRECT ASSIGN 361-VA</t>
  </si>
  <si>
    <t>DEM361V</t>
  </si>
  <si>
    <t>DIRECT ASSIGN 362-VA</t>
  </si>
  <si>
    <t>DEM362V</t>
  </si>
  <si>
    <t>DIRECT ASSIGN 364-VA</t>
  </si>
  <si>
    <t>DEM364V</t>
  </si>
  <si>
    <t>DIRECT ASSIGN 365-VA</t>
  </si>
  <si>
    <t>DEM365V</t>
  </si>
  <si>
    <t>DIRECT ASSIGN 367-VA</t>
  </si>
  <si>
    <t>DEM367V</t>
  </si>
  <si>
    <t>DIRECT ASSIGN 368-VA</t>
  </si>
  <si>
    <t>DIRECT ASSIGN 360-TN</t>
  </si>
  <si>
    <t>DEM360T</t>
  </si>
  <si>
    <t>DIRECT ASSIGN 361-TN</t>
  </si>
  <si>
    <t>DEM361T</t>
  </si>
  <si>
    <t>DIRECT ASSIGN 362-TN</t>
  </si>
  <si>
    <t>DEM362T</t>
  </si>
  <si>
    <t>DIRECT ASSIGN 364-TN</t>
  </si>
  <si>
    <t>DEM364T</t>
  </si>
  <si>
    <t>DIRECT ASSIGN 365-TN</t>
  </si>
  <si>
    <t>DEM365T</t>
  </si>
  <si>
    <t>DIRECT ASSIGN 368-TN</t>
  </si>
  <si>
    <t>DEM368T</t>
  </si>
  <si>
    <t>DIRECT ASSIGN 369-TN</t>
  </si>
  <si>
    <t>CUST369T</t>
  </si>
  <si>
    <t>DIRECT ASSIGN 370-TN</t>
  </si>
  <si>
    <t>CUST370T</t>
  </si>
  <si>
    <t>DIRECT ASSIGN 371-TN</t>
  </si>
  <si>
    <t>CUST371T</t>
  </si>
  <si>
    <t>DIR ASSIGN RENT REVENUE</t>
  </si>
  <si>
    <t>DIR454REV</t>
  </si>
  <si>
    <t>DIR ASSIGN EXCESS FACILITIES REV.</t>
  </si>
  <si>
    <t>DIR456FAC</t>
  </si>
  <si>
    <t>DIR ASSIGN OTHER MISC REV.</t>
  </si>
  <si>
    <t>DIR456OTH</t>
  </si>
  <si>
    <t>DIR ASSIGN RECONNECT REV</t>
  </si>
  <si>
    <t>DIR451REC</t>
  </si>
  <si>
    <t>DIR ASSIGN OTHER SERVICE REV</t>
  </si>
  <si>
    <t>DIR451OTH</t>
  </si>
  <si>
    <t>DIR ASSIGN RETURN CHECK REV</t>
  </si>
  <si>
    <t>DIR456CHK</t>
  </si>
  <si>
    <t>DIRECT ASSIGN 369-SERV KY</t>
  </si>
  <si>
    <t>DIRECT ASSIGN 370 METERS KY</t>
  </si>
  <si>
    <t>DIRECT ASSIGN 371 CUST INST KY</t>
  </si>
  <si>
    <t>DIRECT ASSIGN 373 ST LIGHT KY</t>
  </si>
  <si>
    <t>DIR ASSIGN ACCT 371 CUST INST VA</t>
  </si>
  <si>
    <t>DIR450REV</t>
  </si>
  <si>
    <t>PLT302TOT</t>
  </si>
  <si>
    <t>PLT303TOT</t>
  </si>
  <si>
    <t>EXP9245TOT</t>
  </si>
  <si>
    <t>REVKY</t>
  </si>
  <si>
    <t>PLT3645TOT</t>
  </si>
  <si>
    <t>PLT3602TOT</t>
  </si>
  <si>
    <t>PLT3667TOT</t>
  </si>
  <si>
    <t>PLT373TOT</t>
  </si>
  <si>
    <t>PLT370TOT</t>
  </si>
  <si>
    <t>PLT371TOT</t>
  </si>
  <si>
    <t>PLT368TOT</t>
  </si>
  <si>
    <t>EXP9024CA</t>
  </si>
  <si>
    <t>EXP9089CS</t>
  </si>
  <si>
    <t>EXP9123SA</t>
  </si>
  <si>
    <t>EXP5017STM</t>
  </si>
  <si>
    <t>EXP5114STM</t>
  </si>
  <si>
    <t>EXP5360HYD</t>
  </si>
  <si>
    <t>EXP5425HYD</t>
  </si>
  <si>
    <t>EXP5479OTH</t>
  </si>
  <si>
    <t>EXP5524OTH</t>
  </si>
  <si>
    <t>EXP5627TX</t>
  </si>
  <si>
    <t>EXP5693TX</t>
  </si>
  <si>
    <t>EXP5829DIS</t>
  </si>
  <si>
    <t>EXP5918DIS</t>
  </si>
  <si>
    <t>EXP9025CA</t>
  </si>
  <si>
    <t>EXP9080CS</t>
  </si>
  <si>
    <t>EXP9126SA</t>
  </si>
  <si>
    <t>440-RESIDENTIAL</t>
  </si>
  <si>
    <t>442-LARGE COMMERCIAL</t>
  </si>
  <si>
    <t>442-INDUSTRIAL</t>
  </si>
  <si>
    <t>442-MINE POWER</t>
  </si>
  <si>
    <t>444-PUBLIC ST &amp; HWY LIGHTING</t>
  </si>
  <si>
    <t>445-OTHER PUBLIC AUTHORITIES</t>
  </si>
  <si>
    <t>445-MUNICIPAL PUMPING</t>
  </si>
  <si>
    <t>447-SALES FOR RESALE-MUNICIPAL WHOLESALE</t>
  </si>
  <si>
    <t>449-PROVISION FOR RATE REFUND</t>
  </si>
  <si>
    <t>DIR ASSIGN RECONNECT REV.</t>
  </si>
  <si>
    <t>DIR ASSIGN OTHER SERVICE REV.</t>
  </si>
  <si>
    <t>DIR ASSIGN RETURN CHECK REV.</t>
  </si>
  <si>
    <t xml:space="preserve">    CUSTOMER DEPOSITS-VIRGINIA</t>
  </si>
  <si>
    <t xml:space="preserve">    OPEB UNFUNDED-VIRGINIA</t>
  </si>
  <si>
    <t xml:space="preserve"> 301-ORGANIZATION</t>
  </si>
  <si>
    <t xml:space="preserve"> 302-FRANCHISE</t>
  </si>
  <si>
    <t xml:space="preserve"> 303-SOFTWARE</t>
  </si>
  <si>
    <t>STEAM PRODUCTION PLANT</t>
  </si>
  <si>
    <t xml:space="preserve"> 310-LAND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</si>
  <si>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</si>
  <si>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</si>
  <si>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</si>
  <si>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</si>
  <si>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</si>
  <si>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</si>
  <si>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</si>
  <si>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 xml:space="preserve"> FERC-AFUDC POST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</si>
  <si>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</si>
  <si>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</si>
  <si>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</si>
  <si>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</si>
  <si>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</si>
  <si>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</si>
  <si>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</si>
  <si>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</si>
  <si>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</si>
  <si>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</si>
  <si>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</si>
  <si>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</si>
  <si>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</si>
  <si>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</si>
  <si>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</si>
  <si>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</si>
  <si>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</si>
  <si>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</si>
  <si>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AFUDC component of plant</t>
  </si>
  <si>
    <t xml:space="preserve"> 350-LAND &amp; LAND RIGHTS</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</si>
  <si>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</si>
  <si>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</si>
  <si>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</si>
  <si>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</si>
  <si>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</si>
  <si>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</si>
  <si>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</si>
  <si>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</si>
  <si>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</si>
  <si>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</si>
  <si>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TOTAL VIRGINIA PROPERTY</t>
  </si>
  <si>
    <t>VIRGINIA PROPERTY-500 KV LINE</t>
  </si>
  <si>
    <t>TOTAL VIRGINIA PROPERTY-500 KV LINE</t>
  </si>
  <si>
    <t xml:space="preserve"> 360-LAND &amp; LAND RIGHTS</t>
  </si>
  <si>
    <t xml:space="preserve"> 361-STRUCTURES AND IMPROVEMENTS</t>
  </si>
  <si>
    <t xml:space="preserve"> 362-STATION EQUIPMENT</t>
  </si>
  <si>
    <t xml:space="preserve"> 364-POLES, TOWERS, AND FIXTURES</t>
  </si>
  <si>
    <t xml:space="preserve"> 365-OH CONDUCTORS AND DEVICES</t>
  </si>
  <si>
    <t xml:space="preserve"> 366-UNDERGROUND CONDUIT</t>
  </si>
  <si>
    <t xml:space="preserve"> 367-UG CONDUCTORS AND DEVICES</t>
  </si>
  <si>
    <t xml:space="preserve"> 368-LINE TRANSFORMERS</t>
  </si>
  <si>
    <t xml:space="preserve"> TOTAL 368-LINE TRANSFORMERS</t>
  </si>
  <si>
    <t xml:space="preserve"> 369-SERVICES</t>
  </si>
  <si>
    <t xml:space="preserve"> 370-METERS</t>
  </si>
  <si>
    <t xml:space="preserve"> 371-INSTALL ON CUSTOMER PREMISES</t>
  </si>
  <si>
    <t xml:space="preserve"> 373-STREET LIGHTING</t>
  </si>
  <si>
    <t xml:space="preserve"> TENNESSEE DISTRIBUTION PLANT</t>
  </si>
  <si>
    <t xml:space="preserve"> TOTAL TENNESSEE DISTRIB PLANT</t>
  </si>
  <si>
    <t xml:space="preserve"> 389-LAND &amp; LAND RIGHTS</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</si>
  <si>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</si>
  <si>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</si>
  <si>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</si>
  <si>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</si>
  <si>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</si>
  <si>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</si>
  <si>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</si>
  <si>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</si>
  <si>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</si>
  <si>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</si>
  <si>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</si>
  <si>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</si>
  <si>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</si>
  <si>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</si>
  <si>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TOTAL PLANT HELD FOR FUTURE USE</t>
  </si>
  <si>
    <t>Total plant held for future use</t>
  </si>
  <si>
    <t xml:space="preserve"> DISTRIBUTION PLANT-VA &amp; TN </t>
  </si>
  <si>
    <t xml:space="preserve"> DISTRIBUTION PLANT-KY &amp; FERC</t>
  </si>
  <si>
    <t xml:space="preserve">Use franchises and consents balance only; leasehold is part of General Plant reserve </t>
  </si>
  <si>
    <t xml:space="preserve"> DISTRIBUTION - KY &amp; FERC</t>
  </si>
  <si>
    <t xml:space="preserve">  PREPAYMENTS OTHER THAN TAXES</t>
  </si>
  <si>
    <t xml:space="preserve">  TRANSMISSION - VA</t>
  </si>
  <si>
    <t>CUSTOMER DEPOSITS-VIRGINIA</t>
  </si>
  <si>
    <t>OPEB UNFUNDED-VIRGINIA</t>
  </si>
  <si>
    <t xml:space="preserve">  440-RESIDENTIAL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</si>
  <si>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</si>
  <si>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</si>
  <si>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</si>
  <si>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</si>
  <si>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</si>
  <si>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</si>
  <si>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</si>
  <si>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</si>
  <si>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</si>
  <si>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</si>
  <si>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 xml:space="preserve">  450-LATE PAYMENT CHARGES</t>
  </si>
  <si>
    <t xml:space="preserve">  451-RECONNECT CHARGES</t>
  </si>
  <si>
    <t xml:space="preserve">  451-OTHER SERVICE CHARGES</t>
  </si>
  <si>
    <t xml:space="preserve">  454-RENT FROM ELEC PROPERTY</t>
  </si>
  <si>
    <t>Primary</t>
  </si>
  <si>
    <t xml:space="preserve">  456-TRANSMISSION SERVICE</t>
  </si>
  <si>
    <t xml:space="preserve">  456-TAX REMITTANCE COMPENSATION</t>
  </si>
  <si>
    <t xml:space="preserve">  456-RETURN CHECK CHARGES</t>
  </si>
  <si>
    <t xml:space="preserve">  456-OTHER MISC REVENUES</t>
  </si>
  <si>
    <t xml:space="preserve">  456-EXCESS FACILITIES CHARGES</t>
  </si>
  <si>
    <t xml:space="preserve">  575-MISO DAY 1 &amp;2 EXP</t>
  </si>
  <si>
    <t>DIRECT</t>
  </si>
  <si>
    <t xml:space="preserve">   DISTRIBUTION-KENTUCKY</t>
  </si>
  <si>
    <t xml:space="preserve">   DISTRIBUTION-VIRGINIA</t>
  </si>
  <si>
    <t xml:space="preserve">   DISTRIBUTION-TENNESSEE</t>
  </si>
  <si>
    <t>Other</t>
  </si>
  <si>
    <t xml:space="preserve">  SEC. 199 DEDUCTION-STATE</t>
  </si>
  <si>
    <t>Tax acct workpapers-STATE amount</t>
  </si>
  <si>
    <t xml:space="preserve">  DEPREC-EQUITY AFUDC PRE</t>
  </si>
  <si>
    <t xml:space="preserve">  DEPREC-EQUITY AFUDC POST</t>
  </si>
  <si>
    <t>STATE TAXABLE INCOME</t>
  </si>
  <si>
    <t>Tax acct workpapers-203(E) STATE amount</t>
  </si>
  <si>
    <t>SEC. 199 DEDUCTION-FEDERAL INCREMENT</t>
  </si>
  <si>
    <t>Tax acct workpapers-SEC199 FEDERAL LESS STATE amount</t>
  </si>
  <si>
    <t xml:space="preserve">  LATE PAYMENT CHARGES</t>
  </si>
  <si>
    <t xml:space="preserve">  RECONNECT CHARGES</t>
  </si>
  <si>
    <t xml:space="preserve">  OTHER SERVICE CHARGES</t>
  </si>
  <si>
    <t xml:space="preserve">  RENT FROM ELEC PROPERTY</t>
  </si>
  <si>
    <t xml:space="preserve">  TRANSMISSION SERVICE</t>
  </si>
  <si>
    <t xml:space="preserve">  TAX REMITTANCE COMPENSATION</t>
  </si>
  <si>
    <t xml:space="preserve">  RETURN CHECK CHARGES</t>
  </si>
  <si>
    <t xml:space="preserve">  OTHER MISC REVENUES</t>
  </si>
  <si>
    <t xml:space="preserve">  EXCESS FACILITIES CHARGES</t>
  </si>
  <si>
    <t>Fluctuating Load Service</t>
  </si>
  <si>
    <t>Power Service Secondary</t>
  </si>
  <si>
    <t>Power Service Primary</t>
  </si>
  <si>
    <t>Time of Day Secondary</t>
  </si>
  <si>
    <t>Meter</t>
  </si>
  <si>
    <t>Unit</t>
  </si>
  <si>
    <t>Allocator</t>
  </si>
  <si>
    <t>Determination of Meter Cost Allocation</t>
  </si>
  <si>
    <t>Total - per Plant Accounting</t>
  </si>
  <si>
    <t>Determination of Services Cost Allocation</t>
  </si>
  <si>
    <t>Service</t>
  </si>
  <si>
    <t>Customers as of</t>
  </si>
  <si>
    <t>Base Revenue</t>
  </si>
  <si>
    <t>at Current Rates</t>
  </si>
  <si>
    <t>LE</t>
  </si>
  <si>
    <t>FLS - Transmission</t>
  </si>
  <si>
    <t>Outdoor Lighting Rate ST &amp; PO</t>
  </si>
  <si>
    <t>Lighting Energy Rate LE</t>
  </si>
  <si>
    <t>Traffic Lighting Rate TLE</t>
  </si>
  <si>
    <t>Outdoor Lighting</t>
  </si>
  <si>
    <t>Lighting Energy</t>
  </si>
  <si>
    <t>MISCSERV</t>
  </si>
  <si>
    <t>Summary of Unadjusted Rates of Return by Class</t>
  </si>
  <si>
    <t xml:space="preserve">Operating </t>
  </si>
  <si>
    <t>Operating</t>
  </si>
  <si>
    <t>Expenses</t>
  </si>
  <si>
    <t>Margin</t>
  </si>
  <si>
    <t>ROR</t>
  </si>
  <si>
    <t>Residential Rate RS</t>
  </si>
  <si>
    <t>Power Service Primary Rate PS</t>
  </si>
  <si>
    <t>Power Service Secondary Rate PS</t>
  </si>
  <si>
    <t>Summary of Rates of Return by Class w/Proposed Increase</t>
  </si>
  <si>
    <t>All Electric Schools Rate AES</t>
  </si>
  <si>
    <t>Retail Transmission Service Rate RTS</t>
  </si>
  <si>
    <t>Fluctuating Load Service Rate FLS</t>
  </si>
  <si>
    <t>Lighting Rate LE</t>
  </si>
  <si>
    <t>Adjustment for tax basis depreciation reduction</t>
  </si>
  <si>
    <t>TOD-Primary</t>
  </si>
  <si>
    <t>Time of Day Primary  Rate TODP</t>
  </si>
  <si>
    <t>Time of Day Secondary Rate TODS</t>
  </si>
  <si>
    <t>Traffic Energy</t>
  </si>
  <si>
    <t>TE</t>
  </si>
  <si>
    <t xml:space="preserve">    WORKMANS COMPENSATION-FERC</t>
  </si>
  <si>
    <t xml:space="preserve">    VESTED VACATION-FERC</t>
  </si>
  <si>
    <t xml:space="preserve">    MEDICAL AND DENTAL RESERVE-FERC</t>
  </si>
  <si>
    <t>DEM (12 CP GEN LEV)-NON VA&amp;FERC</t>
  </si>
  <si>
    <t>DEMTRANNVF</t>
  </si>
  <si>
    <t>TOTAL TRANSMISSION PLANT EXCL FERC</t>
  </si>
  <si>
    <t>TRANPLTXF</t>
  </si>
  <si>
    <t>TAX203E</t>
  </si>
  <si>
    <t>203(E) EXCESS DEF TAXES EXCL VA</t>
  </si>
  <si>
    <t>STATE203E</t>
  </si>
  <si>
    <t>ALLOC O&amp;M LABOR EXPENSE EXCL FERC</t>
  </si>
  <si>
    <t>LABORXF</t>
  </si>
  <si>
    <t>TRANSM KENTUCKY SYS PROP XFERC</t>
  </si>
  <si>
    <t>KYTRPLTXF</t>
  </si>
  <si>
    <t>442-COMMERCIAL</t>
  </si>
  <si>
    <t xml:space="preserve">    DEMAND SIDE MANAGEMENT</t>
  </si>
  <si>
    <t xml:space="preserve"> TOTAL 397-COMMUNICATION EQUIPMENT</t>
  </si>
  <si>
    <t>FERC MUNIS Direct Assign DISTRIBUTION CWIP</t>
  </si>
  <si>
    <t>WORKMANS COMPENSATION-FERC</t>
  </si>
  <si>
    <t>13mo avg-Workmans Compensation 228201,228202 (FERC Only)</t>
  </si>
  <si>
    <t>VESTED VACATION-FERC</t>
  </si>
  <si>
    <t>13mo avg-Vested Vacation 242002 (FERC Only)</t>
  </si>
  <si>
    <t>MEDICAL AND DENTAL RESERVE-FERC</t>
  </si>
  <si>
    <t>13mo avg-IBNP Medical and Dental Reserve 242102 (FERC Only)</t>
  </si>
  <si>
    <t xml:space="preserve">  442-COMMERCIAL</t>
  </si>
  <si>
    <t xml:space="preserve">  456-ANCILLARY SERVICES</t>
  </si>
  <si>
    <t>Kentucky Portion Customer Deposits Interest</t>
  </si>
  <si>
    <t>Tax acct workpapers and Direct input to Virginia Jurisdiction-Kentucky Portion Customer Deposits Interest</t>
  </si>
  <si>
    <t>STATE TAX ADJUSTMENTS</t>
  </si>
  <si>
    <t>KENTUCKY TAX CREDITS</t>
  </si>
  <si>
    <t>Direct input to Virginia Jurisdiction-Kentucky Portion Customer Deposits Interest</t>
  </si>
  <si>
    <t>FEDERAL TAX ADJUSTMENTS</t>
  </si>
  <si>
    <t>Total Income Taxes</t>
  </si>
  <si>
    <t>Reconciliation for BTL</t>
  </si>
  <si>
    <t>General Service</t>
  </si>
  <si>
    <t>General Service Single Phase</t>
  </si>
  <si>
    <t>General Service Three Phase</t>
  </si>
  <si>
    <t>All Electric Schools Single Phase</t>
  </si>
  <si>
    <t>All Electric Schools Three Phase</t>
  </si>
  <si>
    <t>Time of Day Primary</t>
  </si>
  <si>
    <t>Forecasted</t>
  </si>
  <si>
    <t>Number</t>
  </si>
  <si>
    <t xml:space="preserve">  ANCILLARY SERVICES</t>
  </si>
  <si>
    <t>Adj to reflect Additional Redundant Capacity Revenue</t>
  </si>
  <si>
    <t>Adj to reflect Lost Lighting Revenue</t>
  </si>
  <si>
    <t>Adj to reflect new Standby Service Customer</t>
  </si>
  <si>
    <t>Adj to reflect Revenue due to Metering changes</t>
  </si>
  <si>
    <t>Average Transformer Customers</t>
  </si>
  <si>
    <t>Cust09</t>
  </si>
  <si>
    <t>SICDT</t>
  </si>
  <si>
    <t>Increase in Uncollectible Expense</t>
  </si>
  <si>
    <t>Increase in PSC Fees</t>
  </si>
  <si>
    <t>Rate PSP</t>
  </si>
  <si>
    <t>GS</t>
  </si>
  <si>
    <t>Not Used</t>
  </si>
  <si>
    <t>All Electric Schools</t>
  </si>
  <si>
    <t>AES</t>
  </si>
  <si>
    <t>General Service Rate GS</t>
  </si>
  <si>
    <t>Rate GS</t>
  </si>
  <si>
    <t>Rate AES</t>
  </si>
  <si>
    <t>DIRECT ASSIGN 360-PHFU</t>
  </si>
  <si>
    <t>DIR360FU</t>
  </si>
  <si>
    <t>DIR ASSIGN ACC.DFDTX.DIST.VA</t>
  </si>
  <si>
    <t>DIR ASSIGN ACC.ITC.DIST.VA</t>
  </si>
  <si>
    <t>ACCT 930-GEN MISC &amp; ADVERTISING</t>
  </si>
  <si>
    <t xml:space="preserve">    REGULATORY DEBITS</t>
  </si>
  <si>
    <t>Excluded from Rate Base per KPSC</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</si>
  <si>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</si>
  <si>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</si>
  <si>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</si>
  <si>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</si>
  <si>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</si>
  <si>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</si>
  <si>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</si>
  <si>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</si>
  <si>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</si>
  <si>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</si>
  <si>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VNJ</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</si>
  <si>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</si>
  <si>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</si>
  <si>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</si>
  <si>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</si>
  <si>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</si>
  <si>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</si>
  <si>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</si>
  <si>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</si>
  <si>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</si>
  <si>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</si>
  <si>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</si>
  <si>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PLANT HELD FOR FUTURE USE - PRODUCTION</t>
  </si>
  <si>
    <t>PLANT HELD FOR FUTURE USE - DISTRIBUTION</t>
  </si>
  <si>
    <t>OM509</t>
  </si>
  <si>
    <t>ALLOWANCES</t>
  </si>
  <si>
    <t>RATE BASE: THIRTEEN MONTH AVERAGE</t>
  </si>
  <si>
    <t>FERC JURIS</t>
  </si>
  <si>
    <t>Direct Assign</t>
  </si>
  <si>
    <t>Allocated on Revenues</t>
  </si>
  <si>
    <t>Capacitors from Prop Acct Plant Detail Report Acct 368 (UOP 444-496)</t>
  </si>
  <si>
    <t>Capacitors from Prop Acct Plant Detail Report Acct 368 (UOP 461-496)</t>
  </si>
  <si>
    <t>Virginia 0 (zero) Prepayments (No prepayments allowed in working capital)</t>
  </si>
  <si>
    <t>Account 252-Balance Sheet</t>
  </si>
  <si>
    <t>Deferred Fuel 13mo avg workpaper (Virginia Only) (Reg Asset input as negative balance)</t>
  </si>
  <si>
    <t>Balance Sheet-Accum Prov Post Ret Benefits 228301,228307 (Virginia Only)</t>
  </si>
  <si>
    <t>AEP Borderline High Knob-Direct to Virginia</t>
  </si>
  <si>
    <t>F/S Total OP Revenues</t>
  </si>
  <si>
    <t>Pension Direct Assignments:</t>
  </si>
  <si>
    <t>Total Labor (KY,VA,TN,FERC)</t>
  </si>
  <si>
    <t>Ky Only portion of 930.2:</t>
  </si>
  <si>
    <t>Amortization of CMRG-Ky Only (END JUL20)</t>
  </si>
  <si>
    <t>Total 407.3</t>
  </si>
  <si>
    <t>Pulled off Trial Balance - Acct 407.3</t>
  </si>
  <si>
    <t>Pulled off Trial Balance - Acct 411</t>
  </si>
  <si>
    <t>Regulatory Debits FS</t>
  </si>
  <si>
    <t>Financials pg 21=</t>
  </si>
  <si>
    <t>Financials pg 21</t>
  </si>
  <si>
    <t>Tax acct workpapers-FEDERAL amount</t>
  </si>
  <si>
    <t>(VA Tax workpaper)</t>
  </si>
  <si>
    <t>Tax acct workpapers-203(E) FEDERAL amount</t>
  </si>
  <si>
    <t xml:space="preserve">  Transmission Demand - Not Used</t>
  </si>
  <si>
    <t xml:space="preserve">  Transmission Demand</t>
  </si>
  <si>
    <t>NCPT</t>
  </si>
  <si>
    <t>Sum of the Individual Customer Demands (Transformer)</t>
  </si>
  <si>
    <t>Maximum Class Non-Coincident Peak Demands (Primary)</t>
  </si>
  <si>
    <t>Maximum Class Non-Coincident Peak Demands (Transmission)</t>
  </si>
  <si>
    <t>NCPP</t>
  </si>
  <si>
    <t xml:space="preserve">  Curtailable Service Rider</t>
  </si>
  <si>
    <t>ECRREV</t>
  </si>
  <si>
    <t>Less: Misc Revenue - Prod Demand</t>
  </si>
  <si>
    <t>Customer Cost</t>
  </si>
  <si>
    <t>Variable Energy Cost</t>
  </si>
  <si>
    <t>Actual Customer Charge</t>
  </si>
  <si>
    <t>Difference ($)</t>
  </si>
  <si>
    <t>Increase in Energy Charge</t>
  </si>
  <si>
    <t>Infrastructure Energy Cost</t>
  </si>
  <si>
    <t>ECR Factor</t>
  </si>
  <si>
    <t>Resulting Infrastrusture Charge</t>
  </si>
  <si>
    <t>Rate TODS</t>
  </si>
  <si>
    <t>Revenue Adjustments</t>
  </si>
  <si>
    <t>Demand Cost</t>
  </si>
  <si>
    <t>(27)</t>
  </si>
  <si>
    <t>Rate TODP</t>
  </si>
  <si>
    <t>Rate RTS</t>
  </si>
  <si>
    <t>Rate FLS</t>
  </si>
  <si>
    <t>Energy Cost</t>
  </si>
  <si>
    <t>LOLP</t>
  </si>
  <si>
    <t xml:space="preserve">  Production Demand - LOLP</t>
  </si>
  <si>
    <t xml:space="preserve">  Production Demand - Not Used</t>
  </si>
  <si>
    <t xml:space="preserve">  Production Energy - Not Used</t>
  </si>
  <si>
    <t xml:space="preserve">  Production Energy</t>
  </si>
  <si>
    <t>454 Facilities Chrgs</t>
  </si>
  <si>
    <t xml:space="preserve">    UNAMORTIZED CLOSURE COSTS</t>
  </si>
  <si>
    <t>Direct Assign per DIR360FU Allocator</t>
  </si>
  <si>
    <t>KY and VA Lead/Lag</t>
  </si>
  <si>
    <t>1/9 formula (Total O&amp;M less fuel and purchase power)</t>
  </si>
  <si>
    <t>1/8 formula (Total O&amp;M less purchase power)</t>
  </si>
  <si>
    <t>UNAMORTIZED CLOSURE COSTS</t>
  </si>
  <si>
    <t>VA Juris Accum Amort</t>
  </si>
  <si>
    <t>FERC Juris Accum Amort</t>
  </si>
  <si>
    <t>.</t>
  </si>
  <si>
    <t>Account 235-Revenue Acctg COS Info (Virginia Only)</t>
  </si>
  <si>
    <t xml:space="preserve">  454-EV CHARGING STATION RENTAL</t>
  </si>
  <si>
    <t>KY</t>
  </si>
  <si>
    <t>VA</t>
  </si>
  <si>
    <t xml:space="preserve">  454-REFINED COAL LICENSE FEE</t>
  </si>
  <si>
    <t>454 Refined Coal</t>
  </si>
  <si>
    <t xml:space="preserve">  456-REFINED COAL EXCLUSIVITY FEE</t>
  </si>
  <si>
    <t>456 Refined Coal</t>
  </si>
  <si>
    <t>REFINED COAL</t>
  </si>
  <si>
    <t>501019 501027 COAL YARD SERVICE FEES</t>
  </si>
  <si>
    <t>OUTAGE MAINTENANCE</t>
  </si>
  <si>
    <t>510 - MTCE SUPER/ENG - STEAM - in KPSC Rate</t>
  </si>
  <si>
    <t>511 - MTCE-STRUCTURES STEAM - in KPSC Rate</t>
  </si>
  <si>
    <t>512 - MTCE-BOILER PLANT STEAM - in KPSC Rate</t>
  </si>
  <si>
    <t>BROWN 1 AND 2</t>
  </si>
  <si>
    <t>513 - MTCE-ELECTRIC PLANT STEAM - in KPSC Rate</t>
  </si>
  <si>
    <t>ACCT 514 BR REG ASSET AMORT-Direct Assign to KY</t>
  </si>
  <si>
    <t>514 - MTCE-MISC/STM PLANT - in KPSC Rate</t>
  </si>
  <si>
    <t>549 - MISC OTH PWR GEN EXP - in KPSC Rate</t>
  </si>
  <si>
    <t>551 - MTCE-SUPER/ENG - TURB PWR GEN - in KPSC Rate</t>
  </si>
  <si>
    <t>552 - MTCE-STRUCTURES - OTH PWR GEN - in KPSC Rate</t>
  </si>
  <si>
    <t>553 - MTCE-GEN/ELECT EQ PWR GEN - in KPSC Rate</t>
  </si>
  <si>
    <t>554 - MTCE-MISC OTH PWR GEN - in KPSC Rate</t>
  </si>
  <si>
    <t>2009 Winter Storm Reg Asset Amort Direct Assign to KY (Ice storm)(END JUN21)</t>
  </si>
  <si>
    <t>2008 Wind Storm Reg Asset Amort Direct Assign to KY (Ike)(END JUN21)</t>
  </si>
  <si>
    <t>TN</t>
  </si>
  <si>
    <t>END JUL20</t>
  </si>
  <si>
    <t>Amort Rate Case Expenses</t>
  </si>
  <si>
    <t>Other Cases</t>
  </si>
  <si>
    <t>Total O&amp;M</t>
  </si>
  <si>
    <t>Total Depreciation &amp; Amort Exp</t>
  </si>
  <si>
    <t xml:space="preserve">  UNEMPLOYMENT</t>
  </si>
  <si>
    <t xml:space="preserve">  FICA</t>
  </si>
  <si>
    <t>GAINS/LOSSES-NET OF TAXES (1-.2574)</t>
  </si>
  <si>
    <t>Net of Tax (1-.2574)</t>
  </si>
  <si>
    <t>err</t>
  </si>
  <si>
    <t>Virginia Apportionment Factor</t>
  </si>
  <si>
    <t>&gt;Page 3 Financials</t>
  </si>
  <si>
    <t>PLANT HELD FOR FUTURE USE - GENERAL</t>
  </si>
  <si>
    <t xml:space="preserve">  Transmission - FERC</t>
  </si>
  <si>
    <t>ADEPRD10</t>
  </si>
  <si>
    <t>Fuel Stock</t>
  </si>
  <si>
    <t>DEPRDP7</t>
  </si>
  <si>
    <t>DEPRDP8</t>
  </si>
  <si>
    <t>Electric Vehicle Charging</t>
  </si>
  <si>
    <t>Solar Share</t>
  </si>
  <si>
    <t>kWh</t>
  </si>
  <si>
    <t>RTS - Transmission</t>
  </si>
  <si>
    <t>Street Lighting Rate (RLS, LS)</t>
  </si>
  <si>
    <t>LS &amp; RLS</t>
  </si>
  <si>
    <t>OSL</t>
  </si>
  <si>
    <t>Outdoor Sports Lighting</t>
  </si>
  <si>
    <t>EV</t>
  </si>
  <si>
    <t>SSP</t>
  </si>
  <si>
    <t>TOD Primary Rate TODP</t>
  </si>
  <si>
    <t>TOD Secondary Rate TODS</t>
  </si>
  <si>
    <t>Power Service Primary Rate PSP</t>
  </si>
  <si>
    <t>Power Service Secondary Rate PSS</t>
  </si>
  <si>
    <t>Traffic Energy Rate TE</t>
  </si>
  <si>
    <t>Lighting Rate TE</t>
  </si>
  <si>
    <t>Electric Vehicle Charging Rate EV</t>
  </si>
  <si>
    <t>Solar Share Rate SSP</t>
  </si>
  <si>
    <t>Outdoor Sports Lighting Rate OSL</t>
  </si>
  <si>
    <t>LOLP Demand Allocator</t>
  </si>
  <si>
    <t xml:space="preserve">  EV CHARGING STATION RENTAL</t>
  </si>
  <si>
    <t xml:space="preserve">  Sales for Resale</t>
  </si>
  <si>
    <t>Reconnect Charges</t>
  </si>
  <si>
    <t>RECON</t>
  </si>
  <si>
    <t>Return Check Charges</t>
  </si>
  <si>
    <t>Rent From Electric Property</t>
  </si>
  <si>
    <t>RFEP</t>
  </si>
  <si>
    <t>CSR Avoided Cost</t>
  </si>
  <si>
    <t>Interruptible Demand</t>
  </si>
  <si>
    <t>Avoided Cost per kW</t>
  </si>
  <si>
    <t>Avoided Cost</t>
  </si>
  <si>
    <t>GPPLOLPDRA</t>
  </si>
  <si>
    <t>GPPLOLPDT</t>
  </si>
  <si>
    <t>GPLOLPDA</t>
  </si>
  <si>
    <t>Net Production Residual LOLP Demand Allocator</t>
  </si>
  <si>
    <t xml:space="preserve">Net Production LOLP Demand Costs </t>
  </si>
  <si>
    <t>Net Production LOLP Demand Residual</t>
  </si>
  <si>
    <t>Net Production LOLP Demand Total</t>
  </si>
  <si>
    <t>Net Production LOLP Demand Allocator</t>
  </si>
  <si>
    <t>Gross Plant Production Residual LOLP Demand Allocator</t>
  </si>
  <si>
    <t xml:space="preserve">Gross Plant Production LOLP Demand Costs </t>
  </si>
  <si>
    <t>Gross Plant Production LOLP Demand Residual</t>
  </si>
  <si>
    <t>Gross Plant Production LOLP Demand Total</t>
  </si>
  <si>
    <t>Gross Plant Production LOLP Demand Allocator</t>
  </si>
  <si>
    <t>NPPLOLPDRA</t>
  </si>
  <si>
    <t>NPPLOLPDT</t>
  </si>
  <si>
    <t>NPLOLPDA</t>
  </si>
  <si>
    <t>Rate Base Production Residual LOLP Demand Allocator</t>
  </si>
  <si>
    <t xml:space="preserve">Rate Base Production LOLP Demand Costs </t>
  </si>
  <si>
    <t>Rate Base Production LOLP Demand Residual</t>
  </si>
  <si>
    <t>Rate Base Production LOLP Demand Total</t>
  </si>
  <si>
    <t>Rate Base Production LOLP Demand Allocator</t>
  </si>
  <si>
    <t>RBLOLPDRA</t>
  </si>
  <si>
    <t>RBLOLPDT</t>
  </si>
  <si>
    <t>RBLOLPDA</t>
  </si>
  <si>
    <t>Production O&amp;M Residual LOLP Demand Allocator</t>
  </si>
  <si>
    <t xml:space="preserve">Production O&amp;M LOLP Demand Costs </t>
  </si>
  <si>
    <t>Production O&amp;M LOLP Demand Residual</t>
  </si>
  <si>
    <t>Production O&amp;M LOLP Demand Total</t>
  </si>
  <si>
    <t>Production O&amp;M LOLP Demand Allocator</t>
  </si>
  <si>
    <t>Production Depreciation Residual LOLP Demand Allocator</t>
  </si>
  <si>
    <t xml:space="preserve">Production Depreciation LOLP Demand Costs </t>
  </si>
  <si>
    <t>Production Depreciation LOLP Demand Residual</t>
  </si>
  <si>
    <t>Production Depreciation LOLP Demand Total</t>
  </si>
  <si>
    <t>Production Depreciation LOLP Demand Allocator</t>
  </si>
  <si>
    <t>Production Prop Tax Residual LOLP Demand Allocator</t>
  </si>
  <si>
    <t xml:space="preserve">Production Prop Tax LOLP Demand Costs </t>
  </si>
  <si>
    <t>Production Prop Tax LOLP Demand Residual</t>
  </si>
  <si>
    <t>Production Prop Tax LOLP Demand Total</t>
  </si>
  <si>
    <t>Production Prop Tax LOLP Demand Allocator</t>
  </si>
  <si>
    <t>POMLOLPDRA</t>
  </si>
  <si>
    <t>POMLOLPDT</t>
  </si>
  <si>
    <t>POMLOLPDA</t>
  </si>
  <si>
    <t>PDEPLOLPDRA</t>
  </si>
  <si>
    <t>PDEPLOLPDT</t>
  </si>
  <si>
    <t>PDEPLOLPDA</t>
  </si>
  <si>
    <t>PPTLOLPDRA</t>
  </si>
  <si>
    <t>PPTLOLPDT</t>
  </si>
  <si>
    <t>PPTLOLPDA</t>
  </si>
  <si>
    <t>Meters Gross Plant Residual Allocator</t>
  </si>
  <si>
    <t xml:space="preserve">Meters Gross Plant Costs </t>
  </si>
  <si>
    <t>Meters Gross Plant Residual</t>
  </si>
  <si>
    <t>Meters Gross Plant Total</t>
  </si>
  <si>
    <t>Meters Gross Plant Allocator</t>
  </si>
  <si>
    <t>Meter Cost Allocation</t>
  </si>
  <si>
    <t>Production Demand Cost Allocation</t>
  </si>
  <si>
    <t>MGPRA</t>
  </si>
  <si>
    <t>MGPT</t>
  </si>
  <si>
    <t>MGPA</t>
  </si>
  <si>
    <t>Meters Net Plant Residual Allocator</t>
  </si>
  <si>
    <t xml:space="preserve">Meters Net Plant Costs </t>
  </si>
  <si>
    <t>Meters Net Plant Residual</t>
  </si>
  <si>
    <t>Meters Net Plant Total</t>
  </si>
  <si>
    <t>Meters Net Plant Allocator</t>
  </si>
  <si>
    <t>Meters Rate Base Residual Allocator</t>
  </si>
  <si>
    <t xml:space="preserve">Meters Rate Base Costs </t>
  </si>
  <si>
    <t>Meters Rate Base Residual</t>
  </si>
  <si>
    <t>Meters Rate Base Total</t>
  </si>
  <si>
    <t>Meters Rate Base Allocator</t>
  </si>
  <si>
    <t>MNPRA</t>
  </si>
  <si>
    <t>MNPT</t>
  </si>
  <si>
    <t>MNPA</t>
  </si>
  <si>
    <t>MRBRA</t>
  </si>
  <si>
    <t>MRBT</t>
  </si>
  <si>
    <t>MRBA</t>
  </si>
  <si>
    <t>Meters O&amp;M Residual Allocator</t>
  </si>
  <si>
    <t xml:space="preserve">Meters O&amp;M Costs </t>
  </si>
  <si>
    <t>Meters O&amp;M Residual</t>
  </si>
  <si>
    <t>Meters O&amp;M Total</t>
  </si>
  <si>
    <t>Meters O&amp;M Allocator</t>
  </si>
  <si>
    <t>Meters Depreciation Residual Allocator</t>
  </si>
  <si>
    <t xml:space="preserve">Meters Depreciation Costs </t>
  </si>
  <si>
    <t>Meters Depreciation Residual</t>
  </si>
  <si>
    <t>Meters Depreciation Total</t>
  </si>
  <si>
    <t>Meters Depreciation Allocator</t>
  </si>
  <si>
    <t>PCust05</t>
  </si>
  <si>
    <t>PCust04</t>
  </si>
  <si>
    <t>PCust01</t>
  </si>
  <si>
    <t>PCust06</t>
  </si>
  <si>
    <t>PCust07</t>
  </si>
  <si>
    <t>PCust08</t>
  </si>
  <si>
    <t>PCust09</t>
  </si>
  <si>
    <t>Average Customers</t>
  </si>
  <si>
    <t>MOMRA</t>
  </si>
  <si>
    <t>MOMT</t>
  </si>
  <si>
    <t>MOMA</t>
  </si>
  <si>
    <t>MDRA</t>
  </si>
  <si>
    <t>MDT</t>
  </si>
  <si>
    <t>MDA</t>
  </si>
  <si>
    <t>Meters Prop Tax Residual Allocator</t>
  </si>
  <si>
    <t xml:space="preserve">Meters Prop Tax Costs </t>
  </si>
  <si>
    <t>Meters Prop Tax Residual</t>
  </si>
  <si>
    <t>Meters Prop Tax Total</t>
  </si>
  <si>
    <t>Meters Prop Tax Allocator</t>
  </si>
  <si>
    <t>MPTRA</t>
  </si>
  <si>
    <t>MPTT</t>
  </si>
  <si>
    <t>MPTA</t>
  </si>
  <si>
    <t>Lighting Rate LS &amp; RLS</t>
  </si>
  <si>
    <t>Less: Misc Revenue - Transmission</t>
  </si>
  <si>
    <t>Single Phase</t>
  </si>
  <si>
    <t>Three Phase</t>
  </si>
  <si>
    <t>(28)</t>
  </si>
  <si>
    <t>KY Juris Unamort Balance</t>
  </si>
  <si>
    <t>DIRECT ASSIGN</t>
  </si>
  <si>
    <t>13mo avg</t>
  </si>
  <si>
    <t>AFUDC_FERC</t>
  </si>
  <si>
    <t>FEDERAL TAXES @ 21%</t>
  </si>
  <si>
    <t xml:space="preserve"> DISTRIBUTION LABOR</t>
  </si>
  <si>
    <t xml:space="preserve">  REFINED COAL LICENSE FEES</t>
  </si>
  <si>
    <t xml:space="preserve"> </t>
  </si>
  <si>
    <t>Revenue Adjustment for Solar Share and EV</t>
  </si>
  <si>
    <t>Changes in Miscellaneous Charges</t>
  </si>
  <si>
    <t>Current</t>
  </si>
  <si>
    <t>on Rate Base</t>
  </si>
  <si>
    <t>Changes to EVSE-R</t>
  </si>
  <si>
    <t>Proposed</t>
  </si>
  <si>
    <t>Increase %</t>
  </si>
  <si>
    <t>Overall</t>
  </si>
  <si>
    <t>Energy Related</t>
  </si>
  <si>
    <t>Existing</t>
  </si>
  <si>
    <t>AMS</t>
  </si>
  <si>
    <t>Existing Meter</t>
  </si>
  <si>
    <t>AMS Meter</t>
  </si>
  <si>
    <t xml:space="preserve">General Service </t>
  </si>
  <si>
    <t xml:space="preserve">    12 MONTHS ENDING JUNE 30, 2022</t>
  </si>
  <si>
    <t xml:space="preserve">HOLD FOR </t>
  </si>
  <si>
    <t>HOLD FOR</t>
  </si>
  <si>
    <t>FUTURE</t>
  </si>
  <si>
    <t>USE</t>
  </si>
  <si>
    <t>DIR ASSIGN AFUDC CAPITALIZED INTEREST</t>
  </si>
  <si>
    <t>AFUDC_AMI</t>
  </si>
  <si>
    <t>GENERAL PLANT</t>
  </si>
  <si>
    <t>Input Falmouth Trans Line here:</t>
  </si>
  <si>
    <t>Acct 350</t>
  </si>
  <si>
    <t>Acct 355</t>
  </si>
  <si>
    <t>Acct 356</t>
  </si>
  <si>
    <t xml:space="preserve"> GENERAL - AMI</t>
  </si>
  <si>
    <t xml:space="preserve">    TOTAL GENERAL PLT</t>
  </si>
  <si>
    <t>06/30/22 balances</t>
  </si>
  <si>
    <t xml:space="preserve">  456-SOLAR REC</t>
  </si>
  <si>
    <t>finished amortizing in June 2021</t>
  </si>
  <si>
    <t>2018 July Storm Reg Asset Amort Direct Assign to KY (END APR29) - actuals do not hit this account</t>
  </si>
  <si>
    <t>2018 July Storm Reg Asset Amort Direct Assign to KY (END APR29) - parties agreed to 10 year in 2018 case updated</t>
  </si>
  <si>
    <t>STEAM</t>
  </si>
  <si>
    <t>HYDRO</t>
  </si>
  <si>
    <t>DISTRIBUTION</t>
  </si>
  <si>
    <t>GENERAL</t>
  </si>
  <si>
    <t>INTANGIBLE</t>
  </si>
  <si>
    <t>UNPROTECTED EXCESS DEFERRED TAXES</t>
  </si>
  <si>
    <t>PROTECTED EXCESS DEFERRED TAXES</t>
  </si>
  <si>
    <t>State Unprotected</t>
  </si>
  <si>
    <t>Federal Unprotected</t>
  </si>
  <si>
    <t>PROTECTED EXCESS DEFERRED TAXES-OTHER</t>
  </si>
  <si>
    <t>IS Total Income Tax Expense</t>
  </si>
  <si>
    <t xml:space="preserve">  SOLAR REC</t>
  </si>
  <si>
    <t>DIR ASSIGN AMI CWIP (incl AFUDC)</t>
  </si>
  <si>
    <t>DIR_AMICWIP</t>
  </si>
  <si>
    <t>DIR ASSIGN AMI CWIP</t>
  </si>
  <si>
    <t>Eliminated ECR base revenues net of tax added now recovered through non-fuel base revenues - OK</t>
  </si>
  <si>
    <t>Input total KY Solar Share here (13-mo avg):</t>
  </si>
  <si>
    <t>Enter Business Solar Here (13-mo avg)</t>
  </si>
  <si>
    <t xml:space="preserve"> DISTRIBUTION - AMI CWIP</t>
  </si>
  <si>
    <t>FERC P</t>
  </si>
  <si>
    <t>FERC T</t>
  </si>
  <si>
    <t xml:space="preserve"> DISTRIBUTION - AMI AFUDC</t>
  </si>
  <si>
    <t>N/A</t>
  </si>
  <si>
    <t>Distribution AMI AFUDC</t>
  </si>
  <si>
    <t>General + Intang AMI AFUDC</t>
  </si>
  <si>
    <t xml:space="preserve"> GENERAL - AMI AFUDC</t>
  </si>
  <si>
    <t xml:space="preserve"> DISTRIBUTION AMI AFUDC</t>
  </si>
  <si>
    <t>AFUDC INTEREST</t>
  </si>
  <si>
    <t>distribution</t>
  </si>
  <si>
    <t>GENERAL AMI AFUDC</t>
  </si>
  <si>
    <t>general</t>
  </si>
  <si>
    <t>Eliminated ECR base revenues added now recovered through non-fuel base revenues - OK</t>
  </si>
  <si>
    <t xml:space="preserve">    AFUDC AMI</t>
  </si>
  <si>
    <t>acct 432 - AMI Summary</t>
  </si>
  <si>
    <t>Tax acct workpapers and acct 432</t>
  </si>
  <si>
    <t>Business Solar BS</t>
  </si>
  <si>
    <t>Business Solar</t>
  </si>
  <si>
    <t>BS</t>
  </si>
  <si>
    <t>Business Solar Rate BS</t>
  </si>
  <si>
    <t>For the 12 Months Ended June 30, 2022</t>
  </si>
  <si>
    <t>Customer Service O&amp;M Cost Allocation</t>
  </si>
  <si>
    <t>Customer Service Residual Allocator</t>
  </si>
  <si>
    <t xml:space="preserve">Customer Service O&amp;M Costs </t>
  </si>
  <si>
    <t>CSRA</t>
  </si>
  <si>
    <t>Customer Service O&amp;M Residual</t>
  </si>
  <si>
    <t>Customer Service O&amp;M Total</t>
  </si>
  <si>
    <t>Customer Service O&amp;M Allocator</t>
  </si>
  <si>
    <t>CSOT</t>
  </si>
  <si>
    <t>C10</t>
  </si>
  <si>
    <t>FERC &amp; FUTURE</t>
  </si>
  <si>
    <t>Eliminated ECR revenues and interest expense recovered through base - OK</t>
  </si>
  <si>
    <t xml:space="preserve">                          -  </t>
  </si>
  <si>
    <t>Changes in Other Service Revenues</t>
  </si>
  <si>
    <t>Residential Net Metering</t>
  </si>
  <si>
    <t>RS</t>
  </si>
  <si>
    <t xml:space="preserve">Residential Net Metering </t>
  </si>
  <si>
    <t xml:space="preserve">  Allocation of Net Metering Payback</t>
  </si>
  <si>
    <t xml:space="preserve">   Specific Assignment of Net Metering Credits</t>
  </si>
  <si>
    <t>NMS 1</t>
  </si>
  <si>
    <t>Residential Net Metering Rate NMS1</t>
  </si>
  <si>
    <t xml:space="preserve">  Specific Assignment of Net Metering Payback</t>
  </si>
  <si>
    <t>Residential Net Metering Rate NMS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</si>
</sst>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0_);_(* \(#,##0.0\);_(* &quot;-&quot;??_);_(@_)"/>
    <numFmt numFmtId="166" formatCode="_(* #,##0_);_(* \(#,##0\);_(* &quot;-&quot;??_);_(@_)"/>
    <numFmt numFmtId="167" formatCode="0.0000"/>
    <numFmt numFmtId="168" formatCode="0.000000"/>
    <numFmt numFmtId="169" formatCode="_(* #,##0.000_);_(* \(#,##0.000\);_(* &quot;-&quot;??_);_(@_)"/>
    <numFmt numFmtId="170" formatCode="_(* #,##0.0000_);_(* \(#,##0.0000\);_(* &quot;-&quot;??_);_(@_)"/>
    <numFmt numFmtId="171" formatCode="_(* #,##0.00000_);_(* \(#,##0.00000\);_(* &quot;-&quot;??_);_(@_)"/>
    <numFmt numFmtId="172" formatCode="_(* #,##0.000000_);_(* \(#,##0.000000\);_(* &quot;-&quot;??_);_(@_)"/>
    <numFmt numFmtId="173" formatCode="_(* #,##0.0000000_);_(* \(#,##0.0000000\);_(* &quot;-&quot;??_);_(@_)"/>
    <numFmt numFmtId="174" formatCode="_(&quot;$&quot;* #,##0.0000_);_(&quot;$&quot;* \(#,##0.0000\);_(&quot;$&quot;* &quot;-&quot;??_);_(@_)"/>
    <numFmt numFmtId="175" formatCode="_(&quot;$&quot;* #,##0.00000_);_(&quot;$&quot;* \(#,##0.00000\);_(&quot;$&quot;* &quot;-&quot;??_);_(@_)"/>
    <numFmt numFmtId="176" formatCode="_(&quot;$&quot;* #,##0.000000_);_(&quot;$&quot;* \(#,##0.000000\);_(&quot;$&quot;* &quot;-&quot;??_);_(@_)"/>
    <numFmt numFmtId="177" formatCode="0.000%"/>
    <numFmt numFmtId="178" formatCode="mmmm\ dd\,\ yyyy"/>
    <numFmt numFmtId="179" formatCode="_([$€-2]* #,##0.00_);_([$€-2]* \(#,##0.00\);_([$€-2]* &quot;-&quot;??_)"/>
    <numFmt numFmtId="180" formatCode="&quot;$&quot;#,##0\ ;\(&quot;$&quot;#,##0\)"/>
    <numFmt numFmtId="181" formatCode="0.000000_);[Red]\(0.000000\)"/>
    <numFmt numFmtId="182" formatCode="0.00000_)"/>
    <numFmt numFmtId="183" formatCode="0.0%"/>
    <numFmt numFmtId="184" formatCode="0.00000%"/>
    <numFmt numFmtId="185" formatCode="0.000E+00"/>
    <numFmt numFmtId="186" formatCode="[$-409]d\-mmm\-yy;@"/>
    <numFmt numFmtId="187" formatCode=";;;"/>
    <numFmt numFmtId="188" formatCode="dd\-mmm\-yy_)"/>
    <numFmt numFmtId="189" formatCode="hh:mm\ AM/PM_)"/>
    <numFmt numFmtId="190" formatCode="0.0000%"/>
    <numFmt numFmtId="191" formatCode="#,##0.00000_);\(#,##0.00000\)"/>
    <numFmt numFmtId="192" formatCode="0.000_)"/>
    <numFmt numFmtId="193" formatCode="#,##0.0_);\(#,##0.0\)"/>
    <numFmt numFmtId="194" formatCode="#,##0.0000_);\(#,##0.0000\)"/>
    <numFmt numFmtId="195" formatCode="#,##0.00;[Red]\(#,##0.00\)"/>
    <numFmt numFmtId="196" formatCode="0\ 00\ 000\ 000"/>
    <numFmt numFmtId="197" formatCode="_-* #,##0.00\ [$€]_-;\-* #,##0.00\ [$€]_-;_-* &quot;-&quot;??\ [$€]_-;_-@_-"/>
    <numFmt numFmtId="198" formatCode="[$-409]mmmm\ d\,\ yyyy;@"/>
    <numFmt numFmtId="199" formatCode="[$-409]d\-mmm\-yyyy;@"/>
    <numFmt numFmtId="200" formatCode="_(* #,##0.000000000_);_(* \(#,##0.000000000\);_(* &quot;-&quot;??_);_(@_)"/>
  </numFmts>
  <fonts count="120" x14ac:knownFonts="1">
    <font>
      <sz val="11"/>
      <name val="Times New Roman"/>
    </font>
    <font>
      <sz val="11"/>
      <color theme="1"/>
      <name val="Calibri"/>
      <family val="2"/>
      <scheme val="minor"/>
    </font>
    <font>
      <sz val="11"/>
      <color theme="1"/>
      <name val="Calibri"/>
      <family val="2"/>
      <scheme val="minor"/>
    </font>
    <font>
      <b/>
      <sz val="11"/>
      <name val="Times New Roman"/>
      <family val="1"/>
    </font>
    <font>
      <sz val="11"/>
      <name val="Times New Roman"/>
      <family val="1"/>
    </font>
    <font>
      <u/>
      <sz val="11"/>
      <name val="Times New Roman"/>
      <family val="1"/>
    </font>
    <font>
      <sz val="11"/>
      <name val="Times New Roman"/>
      <family val="1"/>
    </font>
    <font>
      <b/>
      <sz val="11"/>
      <name val="Times New Roman"/>
      <family val="1"/>
    </font>
    <font>
      <b/>
      <u/>
      <sz val="11"/>
      <name val="Times New Roman"/>
      <family val="1"/>
    </font>
    <font>
      <sz val="10"/>
      <name val="Arial"/>
      <family val="2"/>
    </font>
    <font>
      <b/>
      <sz val="10"/>
      <name val="Arial"/>
      <family val="2"/>
    </font>
    <font>
      <b/>
      <sz val="14"/>
      <name val="Times New Roman"/>
      <family val="1"/>
    </font>
    <font>
      <sz val="10"/>
      <name val="Times New Roman"/>
      <family val="1"/>
    </font>
    <font>
      <b/>
      <sz val="10"/>
      <name val="Times New Roman"/>
      <family val="1"/>
    </font>
    <font>
      <sz val="10"/>
      <name val="Arial"/>
      <family val="2"/>
    </font>
    <font>
      <sz val="12"/>
      <name val="Times New Roman"/>
      <family val="1"/>
    </font>
    <font>
      <sz val="12"/>
      <name val="Arial"/>
      <family val="2"/>
    </font>
    <font>
      <b/>
      <sz val="14"/>
      <name val="Arial"/>
      <family val="2"/>
    </font>
    <font>
      <u val="singleAccounting"/>
      <sz val="12"/>
      <name val="Arial"/>
      <family val="2"/>
    </font>
    <font>
      <sz val="8"/>
      <name val="Times New Roman"/>
      <family val="1"/>
    </font>
    <font>
      <b/>
      <sz val="12"/>
      <name val="Times New Roman"/>
      <family val="1"/>
    </font>
    <font>
      <sz val="10"/>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i/>
      <sz val="11"/>
      <color indexed="23"/>
      <name val="Calibri"/>
      <family val="2"/>
    </font>
    <font>
      <b/>
      <sz val="10"/>
      <name val="Arial"/>
      <family val="2"/>
    </font>
    <font>
      <b/>
      <sz val="14"/>
      <name val="Arial"/>
      <family val="2"/>
    </font>
    <font>
      <sz val="8"/>
      <name val="Arial"/>
      <family val="2"/>
    </font>
    <font>
      <sz val="6"/>
      <name val="Arial"/>
      <family val="2"/>
    </font>
    <font>
      <sz val="11"/>
      <color indexed="17"/>
      <name val="Calibri"/>
      <family val="2"/>
    </font>
    <font>
      <b/>
      <sz val="18"/>
      <name val="Arial"/>
      <family val="2"/>
    </font>
    <font>
      <b/>
      <sz val="12"/>
      <name val="Arial"/>
      <family val="2"/>
    </font>
    <font>
      <b/>
      <sz val="11"/>
      <color indexed="62"/>
      <name val="Calibri"/>
      <family val="2"/>
    </font>
    <font>
      <sz val="11"/>
      <color indexed="62"/>
      <name val="Calibri"/>
      <family val="2"/>
    </font>
    <font>
      <b/>
      <sz val="10"/>
      <color indexed="8"/>
      <name val="Arial"/>
      <family val="2"/>
    </font>
    <font>
      <sz val="11"/>
      <color indexed="10"/>
      <name val="Calibri"/>
      <family val="2"/>
    </font>
    <font>
      <sz val="11"/>
      <color indexed="19"/>
      <name val="Calibri"/>
      <family val="2"/>
    </font>
    <font>
      <sz val="12"/>
      <name val="Times New Roman"/>
      <family val="1"/>
    </font>
    <font>
      <b/>
      <sz val="11"/>
      <color indexed="63"/>
      <name val="Calibri"/>
      <family val="2"/>
    </font>
    <font>
      <sz val="10"/>
      <color indexed="8"/>
      <name val="Arial"/>
      <family val="2"/>
    </font>
    <font>
      <b/>
      <i/>
      <sz val="10"/>
      <color indexed="8"/>
      <name val="Arial"/>
      <family val="2"/>
    </font>
    <font>
      <b/>
      <i/>
      <sz val="22"/>
      <color indexed="8"/>
      <name val="Times New Roman"/>
      <family val="1"/>
    </font>
    <font>
      <b/>
      <sz val="12"/>
      <color indexed="8"/>
      <name val="Arial"/>
      <family val="2"/>
    </font>
    <font>
      <sz val="8"/>
      <color indexed="8"/>
      <name val="Arial"/>
      <family val="2"/>
    </font>
    <font>
      <sz val="8"/>
      <color indexed="12"/>
      <name val="Arial"/>
      <family val="2"/>
    </font>
    <font>
      <b/>
      <sz val="18"/>
      <color indexed="62"/>
      <name val="Cambria"/>
      <family val="2"/>
    </font>
    <font>
      <sz val="8"/>
      <color indexed="8"/>
      <name val="Wingdings"/>
      <charset val="2"/>
    </font>
    <font>
      <sz val="11"/>
      <name val="Arial"/>
      <family val="2"/>
    </font>
    <font>
      <i/>
      <sz val="11"/>
      <name val="Times New Roman"/>
      <family val="1"/>
    </font>
    <font>
      <b/>
      <sz val="9"/>
      <color indexed="81"/>
      <name val="Tahoma"/>
      <family val="2"/>
    </font>
    <font>
      <sz val="10"/>
      <color rgb="FF000000"/>
      <name val="Times New Roman"/>
      <family val="1"/>
    </font>
    <font>
      <sz val="9"/>
      <color theme="1"/>
      <name val="Times New Roman"/>
      <family val="2"/>
    </font>
    <font>
      <b/>
      <sz val="11"/>
      <name val="Arial"/>
      <family val="2"/>
    </font>
    <font>
      <sz val="10"/>
      <color indexed="12"/>
      <name val="Times New Roman"/>
      <family val="1"/>
    </font>
    <font>
      <sz val="10"/>
      <color rgb="FFFF0000"/>
      <name val="Times New Roman"/>
      <family val="1"/>
    </font>
    <font>
      <sz val="10"/>
      <color indexed="53"/>
      <name val="Times New Roman"/>
      <family val="1"/>
    </font>
    <font>
      <u/>
      <sz val="10"/>
      <name val="Times New Roman"/>
      <family val="1"/>
    </font>
    <font>
      <sz val="8"/>
      <color indexed="81"/>
      <name val="Tahoma"/>
      <family val="2"/>
    </font>
    <font>
      <sz val="10"/>
      <color rgb="FF0000FF"/>
      <name val="Times New Roman"/>
      <family val="1"/>
    </font>
    <font>
      <sz val="11"/>
      <color theme="1"/>
      <name val="Times New Roman"/>
      <family val="2"/>
    </font>
    <font>
      <sz val="10"/>
      <name val="Courier"/>
    </font>
    <font>
      <sz val="18"/>
      <name val="Arial"/>
      <family val="2"/>
    </font>
    <font>
      <b/>
      <u/>
      <sz val="10"/>
      <name val="Arial"/>
      <family val="2"/>
    </font>
    <font>
      <b/>
      <sz val="10"/>
      <color indexed="17"/>
      <name val="Arial"/>
      <family val="2"/>
    </font>
    <font>
      <b/>
      <sz val="10"/>
      <color indexed="13"/>
      <name val="Arial"/>
      <family val="2"/>
    </font>
    <font>
      <sz val="10"/>
      <name val="Courier"/>
      <family val="3"/>
    </font>
    <font>
      <sz val="10"/>
      <name val="Tahoma"/>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7"/>
      <name val="Arial"/>
      <family val="2"/>
    </font>
    <font>
      <sz val="10"/>
      <name val="MS Sans Serif"/>
      <family val="2"/>
    </font>
    <font>
      <b/>
      <sz val="10"/>
      <name val="MS Sans Serif"/>
      <family val="2"/>
    </font>
    <font>
      <sz val="10"/>
      <color indexed="16"/>
      <name val="Arial"/>
      <family val="2"/>
    </font>
    <font>
      <sz val="10"/>
      <color indexed="39"/>
      <name val="Arial"/>
      <family val="2"/>
    </font>
    <font>
      <sz val="19"/>
      <name val="Arial"/>
      <family val="2"/>
    </font>
    <font>
      <b/>
      <sz val="15"/>
      <color indexed="62"/>
      <name val="Calibri"/>
      <family val="2"/>
    </font>
    <font>
      <b/>
      <sz val="13"/>
      <color indexed="62"/>
      <name val="Calibri"/>
      <family val="2"/>
    </font>
    <font>
      <b/>
      <sz val="11"/>
      <color indexed="8"/>
      <name val="Calibri"/>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62"/>
      <name val="Arial"/>
      <family val="2"/>
    </font>
    <font>
      <b/>
      <sz val="13"/>
      <color indexed="62"/>
      <name val="Arial"/>
      <family val="2"/>
    </font>
    <font>
      <b/>
      <sz val="11"/>
      <color indexed="62"/>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1"/>
      <color theme="1"/>
      <name val="Calibri"/>
      <family val="2"/>
    </font>
    <font>
      <sz val="12"/>
      <color theme="1"/>
      <name val="Arial"/>
      <family val="2"/>
    </font>
    <font>
      <sz val="10"/>
      <color theme="1"/>
      <name val="Arial"/>
      <family val="2"/>
    </font>
    <font>
      <sz val="12"/>
      <color theme="1"/>
      <name val="Times New Roman"/>
      <family val="2"/>
    </font>
    <font>
      <sz val="11"/>
      <color indexed="8"/>
      <name val="Times New Roman"/>
      <family val="2"/>
    </font>
  </fonts>
  <fills count="7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2"/>
      </patternFill>
    </fill>
    <fill>
      <patternFill patternType="solid">
        <fgColor indexed="9"/>
        <bgColor indexed="64"/>
      </patternFill>
    </fill>
    <fill>
      <patternFill patternType="solid">
        <fgColor rgb="FFFFFF00"/>
        <bgColor indexed="64"/>
      </patternFill>
    </fill>
    <fill>
      <patternFill patternType="solid">
        <fgColor rgb="FFFFFF99"/>
        <bgColor indexed="64"/>
      </patternFill>
    </fill>
    <fill>
      <patternFill patternType="solid">
        <fgColor indexed="13"/>
      </patternFill>
    </fill>
    <fill>
      <patternFill patternType="solid">
        <fgColor indexed="17"/>
      </patternFill>
    </fill>
    <fill>
      <patternFill patternType="solid">
        <fgColor indexed="22"/>
        <bgColor indexed="64"/>
      </patternFill>
    </fill>
    <fill>
      <patternFill patternType="solid">
        <fgColor rgb="FFFFFFCC"/>
      </patternFill>
    </fill>
    <fill>
      <patternFill patternType="solid">
        <fgColor indexed="22"/>
      </patternFill>
    </fill>
    <fill>
      <patternFill patternType="solid">
        <fgColor indexed="11"/>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patternFill>
    </fill>
    <fill>
      <patternFill patternType="solid">
        <fgColor indexed="25"/>
      </patternFill>
    </fill>
    <fill>
      <patternFill patternType="solid">
        <fgColor indexed="24"/>
      </patternFill>
    </fill>
    <fill>
      <patternFill patternType="solid">
        <fgColor indexed="57"/>
      </patternFill>
    </fill>
    <fill>
      <patternFill patternType="solid">
        <fgColor indexed="32"/>
      </patternFill>
    </fill>
    <fill>
      <patternFill patternType="solid">
        <fgColor indexed="31"/>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double">
        <color indexed="64"/>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0"/>
      </top>
      <bottom/>
      <diagonal/>
    </border>
    <border>
      <left style="thin">
        <color rgb="FFB2B2B2"/>
      </left>
      <right style="thin">
        <color rgb="FFB2B2B2"/>
      </right>
      <top style="thin">
        <color rgb="FFB2B2B2"/>
      </top>
      <bottom style="thin">
        <color rgb="FFB2B2B2"/>
      </bottom>
      <diagonal/>
    </border>
    <border>
      <left/>
      <right/>
      <top/>
      <bottom style="dotted">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bottom style="thick">
        <color indexed="56"/>
      </bottom>
      <diagonal/>
    </border>
    <border>
      <left/>
      <right/>
      <top/>
      <bottom style="thick">
        <color indexed="27"/>
      </bottom>
      <diagonal/>
    </border>
    <border>
      <left/>
      <right/>
      <top style="thin">
        <color indexed="56"/>
      </top>
      <bottom style="double">
        <color indexed="56"/>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top/>
      <bottom style="thick">
        <color indexed="49"/>
      </bottom>
      <diagonal/>
    </border>
    <border>
      <left/>
      <right/>
      <top/>
      <bottom style="thick">
        <color indexed="25"/>
      </bottom>
      <diagonal/>
    </border>
    <border>
      <left/>
      <right/>
      <top/>
      <bottom style="medium">
        <color indexed="25"/>
      </bottom>
      <diagonal/>
    </border>
    <border>
      <left/>
      <right/>
      <top/>
      <bottom style="double">
        <color indexed="52"/>
      </bottom>
      <diagonal/>
    </border>
  </borders>
  <cellStyleXfs count="10784">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4" fillId="0" borderId="0" applyFont="0" applyFill="0" applyBorder="0" applyAlignment="0" applyProtection="0"/>
    <xf numFmtId="43" fontId="57" fillId="0" borderId="0" applyFont="0" applyFill="0" applyBorder="0" applyAlignment="0" applyProtection="0"/>
    <xf numFmtId="3" fontId="9" fillId="0" borderId="0" applyFont="0" applyFill="0" applyBorder="0" applyAlignment="0" applyProtection="0"/>
    <xf numFmtId="44" fontId="4"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0" fontId="31" fillId="0" borderId="0" applyNumberFormat="0" applyFill="0" applyBorder="0" applyAlignment="0" applyProtection="0"/>
    <xf numFmtId="0" fontId="32" fillId="0" borderId="0" applyProtection="0"/>
    <xf numFmtId="0" fontId="21" fillId="0" borderId="0" applyProtection="0"/>
    <xf numFmtId="0" fontId="33" fillId="0" borderId="0" applyProtection="0"/>
    <xf numFmtId="0" fontId="34" fillId="0" borderId="0" applyProtection="0"/>
    <xf numFmtId="0" fontId="9" fillId="0" borderId="0" applyProtection="0"/>
    <xf numFmtId="0" fontId="32" fillId="0" borderId="0" applyProtection="0"/>
    <xf numFmtId="0" fontId="35" fillId="0" borderId="0" applyProtection="0"/>
    <xf numFmtId="2" fontId="9" fillId="0" borderId="0" applyFont="0" applyFill="0" applyBorder="0" applyAlignment="0" applyProtection="0"/>
    <xf numFmtId="0" fontId="36" fillId="6" borderId="0" applyNumberFormat="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27" fillId="18" borderId="0">
      <alignment horizontal="left"/>
    </xf>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58" fillId="0" borderId="0"/>
    <xf numFmtId="0" fontId="44" fillId="4" borderId="5" applyNumberFormat="0" applyFont="0" applyAlignment="0" applyProtection="0"/>
    <xf numFmtId="0" fontId="45" fillId="16" borderId="6" applyNumberFormat="0" applyAlignment="0" applyProtection="0"/>
    <xf numFmtId="4" fontId="46" fillId="19" borderId="0">
      <alignment horizontal="right"/>
    </xf>
    <xf numFmtId="0" fontId="47" fillId="19" borderId="0">
      <alignment horizontal="center" vertical="center"/>
    </xf>
    <xf numFmtId="0" fontId="41" fillId="19" borderId="7"/>
    <xf numFmtId="0" fontId="47" fillId="19" borderId="0" applyBorder="0">
      <alignment horizontal="centerContinuous"/>
    </xf>
    <xf numFmtId="0" fontId="48" fillId="19" borderId="0" applyBorder="0">
      <alignment horizontal="centerContinuous"/>
    </xf>
    <xf numFmtId="9" fontId="4" fillId="0" borderId="0" applyFont="0" applyFill="0" applyBorder="0" applyAlignment="0" applyProtection="0"/>
    <xf numFmtId="0" fontId="41" fillId="7" borderId="0">
      <alignment horizontal="center"/>
    </xf>
    <xf numFmtId="49" fontId="49" fillId="16" borderId="0">
      <alignment horizontal="center"/>
    </xf>
    <xf numFmtId="0" fontId="28" fillId="18" borderId="0">
      <alignment horizontal="center"/>
    </xf>
    <xf numFmtId="0" fontId="28" fillId="18" borderId="0">
      <alignment horizontal="centerContinuous"/>
    </xf>
    <xf numFmtId="0" fontId="50" fillId="16" borderId="0">
      <alignment horizontal="left"/>
    </xf>
    <xf numFmtId="49" fontId="50" fillId="16" borderId="0">
      <alignment horizontal="center"/>
    </xf>
    <xf numFmtId="0" fontId="27" fillId="18" borderId="0">
      <alignment horizontal="left"/>
    </xf>
    <xf numFmtId="49" fontId="50" fillId="16" borderId="0">
      <alignment horizontal="left"/>
    </xf>
    <xf numFmtId="0" fontId="27" fillId="18" borderId="0">
      <alignment horizontal="centerContinuous"/>
    </xf>
    <xf numFmtId="0" fontId="27" fillId="18" borderId="0">
      <alignment horizontal="right"/>
    </xf>
    <xf numFmtId="49" fontId="41" fillId="16" borderId="0">
      <alignment horizontal="left"/>
    </xf>
    <xf numFmtId="0" fontId="28" fillId="18" borderId="0">
      <alignment horizontal="right"/>
    </xf>
    <xf numFmtId="0" fontId="50" fillId="5" borderId="0">
      <alignment horizontal="center"/>
    </xf>
    <xf numFmtId="0" fontId="51" fillId="5"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52" fillId="0" borderId="0" applyNumberFormat="0" applyFill="0" applyBorder="0" applyAlignment="0" applyProtection="0"/>
    <xf numFmtId="0" fontId="9" fillId="0" borderId="8" applyNumberFormat="0" applyFont="0" applyFill="0" applyAlignment="0" applyProtection="0"/>
    <xf numFmtId="0" fontId="53" fillId="16" borderId="0">
      <alignment horizontal="center"/>
    </xf>
    <xf numFmtId="0" fontId="42" fillId="0" borderId="0" applyNumberFormat="0" applyFill="0" applyBorder="0" applyAlignment="0" applyProtection="0"/>
    <xf numFmtId="9" fontId="9" fillId="0" borderId="0" applyFont="0" applyFill="0" applyBorder="0" applyAlignment="0" applyProtection="0"/>
    <xf numFmtId="0" fontId="2" fillId="0" borderId="0"/>
    <xf numFmtId="44" fontId="2" fillId="0" borderId="0" applyFont="0" applyFill="0" applyBorder="0" applyAlignment="0" applyProtection="0"/>
    <xf numFmtId="37" fontId="67" fillId="0" borderId="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43" fontId="9"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3" fontId="16"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5" fontId="16" fillId="0" borderId="0" applyFont="0" applyFill="0" applyBorder="0" applyAlignment="0" applyProtection="0"/>
    <xf numFmtId="186" fontId="16" fillId="0" borderId="0" applyFont="0" applyFill="0" applyBorder="0" applyAlignment="0" applyProtection="0"/>
    <xf numFmtId="2" fontId="16" fillId="0" borderId="0" applyFont="0" applyFill="0" applyBorder="0" applyAlignment="0" applyProtection="0"/>
    <xf numFmtId="186" fontId="68" fillId="0" borderId="0" applyNumberFormat="0" applyFont="0" applyFill="0" applyAlignment="0" applyProtection="0"/>
    <xf numFmtId="186" fontId="34" fillId="0" borderId="0" applyNumberFormat="0" applyFont="0" applyFill="0" applyAlignment="0" applyProtection="0"/>
    <xf numFmtId="186" fontId="27" fillId="18" borderId="0">
      <alignment horizontal="left"/>
    </xf>
    <xf numFmtId="186" fontId="41" fillId="16" borderId="0">
      <alignment horizontal="left"/>
    </xf>
    <xf numFmtId="186" fontId="9" fillId="0" borderId="0"/>
    <xf numFmtId="186" fontId="9" fillId="0" borderId="0"/>
    <xf numFmtId="186" fontId="9" fillId="0" borderId="0"/>
    <xf numFmtId="186" fontId="9" fillId="0" borderId="0"/>
    <xf numFmtId="195" fontId="46" fillId="16" borderId="0">
      <alignment horizontal="right"/>
    </xf>
    <xf numFmtId="186" fontId="47" fillId="22" borderId="0">
      <alignment horizontal="center"/>
    </xf>
    <xf numFmtId="186" fontId="27" fillId="23" borderId="0"/>
    <xf numFmtId="186" fontId="70" fillId="16" borderId="0" applyBorder="0">
      <alignment horizontal="centerContinuous"/>
    </xf>
    <xf numFmtId="186" fontId="71" fillId="23" borderId="0" applyBorder="0">
      <alignment horizontal="centerContinuous"/>
    </xf>
    <xf numFmtId="0" fontId="22" fillId="73" borderId="0" applyNumberFormat="0" applyBorder="0" applyAlignment="0" applyProtection="0"/>
    <xf numFmtId="186" fontId="41" fillId="7" borderId="0">
      <alignment horizontal="center"/>
    </xf>
    <xf numFmtId="186" fontId="28" fillId="18" borderId="0">
      <alignment horizontal="center"/>
    </xf>
    <xf numFmtId="186" fontId="28" fillId="18" borderId="0">
      <alignment horizontal="centerContinuous"/>
    </xf>
    <xf numFmtId="186" fontId="50" fillId="16" borderId="0">
      <alignment horizontal="left"/>
    </xf>
    <xf numFmtId="0" fontId="22" fillId="73" borderId="0" applyNumberFormat="0" applyBorder="0" applyAlignment="0" applyProtection="0"/>
    <xf numFmtId="186" fontId="27" fillId="18" borderId="0">
      <alignment horizontal="left"/>
    </xf>
    <xf numFmtId="0" fontId="22" fillId="73" borderId="0" applyNumberFormat="0" applyBorder="0" applyAlignment="0" applyProtection="0"/>
    <xf numFmtId="186" fontId="27" fillId="18" borderId="0">
      <alignment horizontal="centerContinuous"/>
    </xf>
    <xf numFmtId="186" fontId="27" fillId="18" borderId="0">
      <alignment horizontal="right"/>
    </xf>
    <xf numFmtId="186" fontId="28" fillId="18" borderId="0">
      <alignment horizontal="right"/>
    </xf>
    <xf numFmtId="186" fontId="50" fillId="5" borderId="0">
      <alignment horizontal="center"/>
    </xf>
    <xf numFmtId="186" fontId="51" fillId="5" borderId="0">
      <alignment horizontal="center"/>
    </xf>
    <xf numFmtId="186" fontId="16" fillId="0" borderId="27" applyNumberFormat="0" applyFont="0" applyBorder="0" applyAlignment="0" applyProtection="0"/>
    <xf numFmtId="186" fontId="53" fillId="16" borderId="0">
      <alignment horizontal="center"/>
    </xf>
    <xf numFmtId="0" fontId="9" fillId="0" borderId="0"/>
    <xf numFmtId="43" fontId="9" fillId="0" borderId="0" applyFont="0" applyFill="0" applyBorder="0" applyAlignment="0" applyProtection="0"/>
    <xf numFmtId="44" fontId="9" fillId="0" borderId="0" applyFont="0" applyFill="0" applyBorder="0" applyAlignment="0" applyProtection="0"/>
    <xf numFmtId="0" fontId="1" fillId="25" borderId="28" applyNumberFormat="0" applyFont="0" applyAlignment="0" applyProtection="0"/>
    <xf numFmtId="0" fontId="15" fillId="0" borderId="0"/>
    <xf numFmtId="0" fontId="9" fillId="24" borderId="0"/>
    <xf numFmtId="0" fontId="1" fillId="26" borderId="0" applyNumberFormat="0" applyBorder="0" applyAlignment="0" applyProtection="0"/>
    <xf numFmtId="196" fontId="79" fillId="0" borderId="7" applyBorder="0">
      <alignment horizontal="center" vertical="center"/>
    </xf>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15" fillId="0" borderId="0" applyFont="0" applyFill="0" applyBorder="0" applyAlignment="0" applyProtection="0"/>
    <xf numFmtId="43" fontId="9" fillId="0" borderId="0" applyFont="0" applyFill="0" applyBorder="0" applyAlignment="0" applyProtection="0"/>
    <xf numFmtId="3" fontId="16" fillId="0" borderId="0" applyFont="0" applyFill="0" applyBorder="0" applyAlignment="0" applyProtection="0"/>
    <xf numFmtId="44" fontId="15" fillId="0" borderId="0" applyFont="0" applyFill="0" applyBorder="0" applyAlignment="0" applyProtection="0"/>
    <xf numFmtId="0" fontId="9" fillId="27" borderId="29" applyNumberFormat="0" applyFont="0" applyAlignment="0">
      <protection locked="0"/>
    </xf>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0" fontId="22" fillId="73" borderId="0" applyNumberFormat="0" applyBorder="0" applyAlignment="0" applyProtection="0"/>
    <xf numFmtId="0" fontId="27" fillId="18" borderId="0">
      <alignment horizontal="left"/>
    </xf>
    <xf numFmtId="0" fontId="41" fillId="16" borderId="0">
      <alignment horizontal="left"/>
    </xf>
    <xf numFmtId="0" fontId="9" fillId="0" borderId="0"/>
    <xf numFmtId="0" fontId="9" fillId="0" borderId="0"/>
    <xf numFmtId="0" fontId="9" fillId="0" borderId="0"/>
    <xf numFmtId="4" fontId="46" fillId="19" borderId="0">
      <alignment horizontal="right"/>
    </xf>
    <xf numFmtId="40" fontId="75" fillId="19" borderId="0">
      <alignment horizontal="right"/>
    </xf>
    <xf numFmtId="40" fontId="75" fillId="19" borderId="0">
      <alignment horizontal="right"/>
    </xf>
    <xf numFmtId="0" fontId="47" fillId="19" borderId="0">
      <alignment horizontal="center" vertical="center"/>
    </xf>
    <xf numFmtId="0" fontId="76" fillId="19" borderId="0">
      <alignment horizontal="right"/>
    </xf>
    <xf numFmtId="0" fontId="76" fillId="19" borderId="0">
      <alignment horizontal="right"/>
    </xf>
    <xf numFmtId="0" fontId="41" fillId="19" borderId="7"/>
    <xf numFmtId="0" fontId="77" fillId="19" borderId="7"/>
    <xf numFmtId="0" fontId="77" fillId="19" borderId="7"/>
    <xf numFmtId="0" fontId="47" fillId="19" borderId="0" applyBorder="0">
      <alignment horizontal="centerContinuous"/>
    </xf>
    <xf numFmtId="0" fontId="77" fillId="0" borderId="0" applyBorder="0">
      <alignment horizontal="centerContinuous"/>
    </xf>
    <xf numFmtId="0" fontId="77" fillId="0" borderId="0" applyBorder="0">
      <alignment horizontal="centerContinuous"/>
    </xf>
    <xf numFmtId="0" fontId="48" fillId="19" borderId="0" applyBorder="0">
      <alignment horizontal="centerContinuous"/>
    </xf>
    <xf numFmtId="0" fontId="78" fillId="0" borderId="0" applyBorder="0">
      <alignment horizontal="centerContinuous"/>
    </xf>
    <xf numFmtId="0" fontId="78" fillId="0" borderId="0" applyBorder="0">
      <alignment horizontal="centerContinuous"/>
    </xf>
    <xf numFmtId="9" fontId="15" fillId="0" borderId="0" applyFont="0" applyFill="0" applyBorder="0" applyAlignment="0" applyProtection="0"/>
    <xf numFmtId="9" fontId="9"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3" fontId="80" fillId="0" borderId="0" applyFont="0" applyFill="0" applyBorder="0" applyAlignment="0" applyProtection="0"/>
    <xf numFmtId="0" fontId="80" fillId="28" borderId="0" applyNumberFormat="0" applyFont="0" applyBorder="0" applyAlignment="0" applyProtection="0"/>
    <xf numFmtId="0" fontId="41" fillId="7" borderId="0">
      <alignment horizontal="center"/>
    </xf>
    <xf numFmtId="0" fontId="28" fillId="18" borderId="0">
      <alignment horizontal="center"/>
    </xf>
    <xf numFmtId="0" fontId="28" fillId="18" borderId="0">
      <alignment horizontal="centerContinuous"/>
    </xf>
    <xf numFmtId="0" fontId="50" fillId="16" borderId="0">
      <alignment horizontal="left"/>
    </xf>
    <xf numFmtId="0" fontId="27" fillId="18" borderId="0">
      <alignment horizontal="left"/>
    </xf>
    <xf numFmtId="0" fontId="27" fillId="18" borderId="0">
      <alignment horizontal="centerContinuous"/>
    </xf>
    <xf numFmtId="0" fontId="27" fillId="18" borderId="0">
      <alignment horizontal="right"/>
    </xf>
    <xf numFmtId="0" fontId="28" fillId="18" borderId="0">
      <alignment horizontal="right"/>
    </xf>
    <xf numFmtId="0" fontId="50" fillId="5" borderId="0">
      <alignment horizontal="center"/>
    </xf>
    <xf numFmtId="0" fontId="51" fillId="5" borderId="0">
      <alignment horizontal="center"/>
    </xf>
    <xf numFmtId="4" fontId="10" fillId="29" borderId="30" applyNumberFormat="0" applyProtection="0">
      <alignment vertical="center"/>
    </xf>
    <xf numFmtId="4" fontId="69" fillId="29" borderId="31"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82" fillId="31" borderId="31" applyNumberFormat="0" applyProtection="0">
      <alignment horizontal="right" vertical="center"/>
    </xf>
    <xf numFmtId="4" fontId="82" fillId="32"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82" fillId="14" borderId="31" applyNumberFormat="0" applyProtection="0">
      <alignment horizontal="right" vertical="center"/>
    </xf>
    <xf numFmtId="4" fontId="82" fillId="33"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83" fillId="36" borderId="31" applyNumberFormat="0" applyProtection="0">
      <alignment vertical="center"/>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84" fillId="0" borderId="0"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72" fillId="0" borderId="0"/>
    <xf numFmtId="0" fontId="53" fillId="16" borderId="0">
      <alignment horizontal="center"/>
    </xf>
    <xf numFmtId="43" fontId="1" fillId="0" borderId="0" applyFont="0" applyFill="0" applyBorder="0" applyAlignment="0" applyProtection="0"/>
    <xf numFmtId="0" fontId="1" fillId="26" borderId="0" applyNumberFormat="0" applyBorder="0" applyAlignment="0" applyProtection="0"/>
    <xf numFmtId="0" fontId="9" fillId="0" borderId="0"/>
    <xf numFmtId="0" fontId="1" fillId="26" borderId="0" applyNumberFormat="0" applyBorder="0" applyAlignment="0" applyProtection="0"/>
    <xf numFmtId="0" fontId="9" fillId="24"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9" fillId="27" borderId="29" applyNumberFormat="0" applyFont="0" applyAlignment="0">
      <protection locked="0"/>
    </xf>
    <xf numFmtId="0" fontId="31" fillId="0" borderId="0" applyNumberFormat="0" applyFill="0" applyBorder="0" applyAlignment="0" applyProtection="0"/>
    <xf numFmtId="0" fontId="36" fillId="6" borderId="0" applyNumberFormat="0" applyBorder="0" applyAlignment="0" applyProtection="0"/>
    <xf numFmtId="0" fontId="85" fillId="0" borderId="33" applyNumberFormat="0" applyFill="0" applyAlignment="0" applyProtection="0"/>
    <xf numFmtId="0" fontId="86" fillId="0" borderId="34"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15" fillId="4" borderId="5" applyNumberFormat="0" applyFont="0" applyAlignment="0" applyProtection="0"/>
    <xf numFmtId="0" fontId="45" fillId="16" borderId="6" applyNumberFormat="0" applyAlignment="0" applyProtection="0"/>
    <xf numFmtId="0" fontId="41" fillId="7" borderId="0">
      <alignment horizontal="center"/>
    </xf>
    <xf numFmtId="49" fontId="41" fillId="16" borderId="0">
      <alignment horizontal="left"/>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52" fillId="0" borderId="0" applyNumberFormat="0" applyFill="0" applyBorder="0" applyAlignment="0" applyProtection="0"/>
    <xf numFmtId="0" fontId="87" fillId="0" borderId="35" applyNumberFormat="0" applyFill="0" applyAlignment="0" applyProtection="0"/>
    <xf numFmtId="0" fontId="42" fillId="0" borderId="0" applyNumberFormat="0" applyFill="0" applyBorder="0" applyAlignment="0" applyProtection="0"/>
    <xf numFmtId="39" fontId="74" fillId="0" borderId="0"/>
    <xf numFmtId="0" fontId="9" fillId="0" borderId="0"/>
    <xf numFmtId="0" fontId="1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4" fontId="10" fillId="29" borderId="30"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9" fillId="0" borderId="0"/>
    <xf numFmtId="43" fontId="9" fillId="0" borderId="0" applyFont="0" applyFill="0" applyBorder="0" applyAlignment="0" applyProtection="0"/>
    <xf numFmtId="43" fontId="1" fillId="0" borderId="0" applyFont="0" applyFill="0" applyBorder="0" applyAlignment="0" applyProtection="0"/>
    <xf numFmtId="0" fontId="9" fillId="0" borderId="0" applyProtection="0"/>
    <xf numFmtId="0" fontId="9" fillId="0" borderId="0"/>
    <xf numFmtId="0" fontId="9" fillId="0" borderId="0"/>
    <xf numFmtId="43" fontId="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41" fillId="19" borderId="7"/>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43" fontId="9" fillId="0" borderId="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4" fontId="10" fillId="29" borderId="30" applyNumberFormat="0" applyProtection="0">
      <alignment horizontal="left" vertical="center" indent="1"/>
    </xf>
    <xf numFmtId="4" fontId="82" fillId="31" borderId="31" applyNumberFormat="0" applyProtection="0">
      <alignment horizontal="right" vertical="center"/>
    </xf>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4" fontId="9" fillId="2" borderId="31" applyNumberFormat="0" applyProtection="0">
      <alignment horizontal="right" vertical="center"/>
    </xf>
    <xf numFmtId="0" fontId="45" fillId="16" borderId="6"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25" fillId="16" borderId="1" applyNumberFormat="0" applyAlignment="0" applyProtection="0"/>
    <xf numFmtId="0" fontId="87" fillId="0" borderId="35" applyNumberFormat="0" applyFill="0" applyAlignment="0" applyProtection="0"/>
    <xf numFmtId="0" fontId="15" fillId="4" borderId="5" applyNumberFormat="0" applyFont="0" applyAlignment="0" applyProtection="0"/>
    <xf numFmtId="4" fontId="9" fillId="29" borderId="31" applyNumberFormat="0" applyProtection="0">
      <alignment horizontal="right" vertical="center"/>
    </xf>
    <xf numFmtId="0" fontId="15" fillId="4" borderId="5" applyNumberFormat="0" applyFon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10" fillId="30" borderId="31" applyNumberFormat="0" applyProtection="0">
      <alignment horizontal="left" vertical="top" indent="1"/>
    </xf>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4" fontId="9" fillId="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 fillId="0" borderId="0"/>
    <xf numFmtId="0" fontId="1" fillId="0" borderId="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3" fontId="1" fillId="0" borderId="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9" borderId="31" applyNumberFormat="0" applyProtection="0">
      <alignment horizontal="left" vertical="center" indent="1"/>
    </xf>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9" borderId="30"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69" fillId="29" borderId="31" applyNumberFormat="0" applyProtection="0">
      <alignment vertical="center"/>
    </xf>
    <xf numFmtId="4" fontId="9" fillId="13" borderId="31" applyNumberFormat="0" applyProtection="0">
      <alignment horizontal="right" vertical="center"/>
    </xf>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37" borderId="30" applyNumberFormat="0" applyProtection="0">
      <alignment horizontal="right" vertical="center"/>
    </xf>
    <xf numFmtId="0" fontId="1" fillId="0" borderId="0"/>
    <xf numFmtId="43" fontId="1" fillId="0" borderId="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15" fillId="4" borderId="5" applyNumberFormat="0" applyFont="0" applyAlignment="0" applyProtection="0"/>
    <xf numFmtId="4" fontId="10" fillId="2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4" fontId="9" fillId="13"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4" fontId="83" fillId="36" borderId="31" applyNumberFormat="0" applyProtection="0">
      <alignment vertical="center"/>
    </xf>
    <xf numFmtId="0" fontId="87" fillId="0" borderId="35" applyNumberFormat="0" applyFill="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87" fillId="0" borderId="35" applyNumberFormat="0" applyFill="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82" fillId="14"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center" indent="1"/>
    </xf>
    <xf numFmtId="4" fontId="9" fillId="1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0" fontId="9" fillId="9" borderId="30" applyNumberFormat="0" applyProtection="0">
      <alignment horizontal="left" vertical="top" indent="1"/>
    </xf>
    <xf numFmtId="0" fontId="87" fillId="0" borderId="35" applyNumberFormat="0" applyFill="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4" fontId="9" fillId="7" borderId="31" applyNumberFormat="0" applyProtection="0">
      <alignment horizontal="right" vertical="center"/>
    </xf>
    <xf numFmtId="0" fontId="9" fillId="0" borderId="0"/>
    <xf numFmtId="43" fontId="9" fillId="0" borderId="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43" fontId="9" fillId="0" borderId="0" applyFont="0" applyFill="0" applyBorder="0" applyAlignment="0" applyProtection="0"/>
    <xf numFmtId="0" fontId="40" fillId="7" borderId="1" applyNumberFormat="0" applyAlignment="0" applyProtection="0"/>
    <xf numFmtId="0" fontId="9" fillId="0" borderId="0"/>
    <xf numFmtId="0" fontId="9" fillId="0" borderId="0"/>
    <xf numFmtId="43" fontId="9"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82" fillId="32"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45" fillId="16" borderId="6"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4" fontId="9" fillId="9" borderId="31"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8" borderId="31" applyNumberFormat="0" applyProtection="0">
      <alignment horizontal="right" vertical="center"/>
    </xf>
    <xf numFmtId="4" fontId="10" fillId="29" borderId="30" applyNumberFormat="0" applyProtection="0">
      <alignment horizontal="left" vertical="center"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9" borderId="30" applyNumberFormat="0" applyProtection="0">
      <alignment horizontal="left" vertical="center" indent="1"/>
    </xf>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15" fillId="4" borderId="5" applyNumberFormat="0" applyFont="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37"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7"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4" fontId="10" fillId="29" borderId="30" applyNumberFormat="0" applyProtection="0">
      <alignmen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0" applyNumberFormat="0" applyProtection="0">
      <alignment horizontal="left" vertical="center" indent="1"/>
    </xf>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4" fontId="9" fillId="29"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4" fontId="9" fillId="29"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0" fontId="1" fillId="26" borderId="0" applyNumberFormat="0" applyBorder="0" applyAlignment="0" applyProtection="0"/>
    <xf numFmtId="0" fontId="10" fillId="30" borderId="31" applyNumberFormat="0" applyProtection="0">
      <alignment horizontal="left" vertical="top" indent="1"/>
    </xf>
    <xf numFmtId="4" fontId="10" fillId="29" borderId="30" applyNumberFormat="0" applyProtection="0">
      <alignment horizontal="left" vertical="center" indent="1"/>
    </xf>
    <xf numFmtId="4" fontId="10" fillId="29" borderId="30" applyNumberFormat="0" applyProtection="0">
      <alignmen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37" borderId="30" applyNumberFormat="0" applyProtection="0">
      <alignment horizontal="right" vertical="center"/>
    </xf>
    <xf numFmtId="4" fontId="10"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0" borderId="31" applyNumberFormat="0" applyProtection="0">
      <alignment horizontal="right" vertical="center"/>
    </xf>
    <xf numFmtId="4" fontId="9" fillId="37" borderId="30" applyNumberFormat="0" applyProtection="0">
      <alignment horizontal="righ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 fontId="9" fillId="9" borderId="30"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4" fontId="9" fillId="13" borderId="31" applyNumberFormat="0" applyProtection="0">
      <alignment horizontal="right" vertical="center"/>
    </xf>
    <xf numFmtId="4" fontId="9" fillId="2" borderId="31" applyNumberFormat="0" applyProtection="0">
      <alignment horizontal="right" vertical="center"/>
    </xf>
    <xf numFmtId="4" fontId="82" fillId="31" borderId="31" applyNumberFormat="0" applyProtection="0">
      <alignment horizontal="right" vertical="center"/>
    </xf>
    <xf numFmtId="0" fontId="1" fillId="0" borderId="0"/>
    <xf numFmtId="0" fontId="1" fillId="0" borderId="0"/>
    <xf numFmtId="0" fontId="40" fillId="7" borderId="1" applyNumberForma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25" fillId="16" borderId="1" applyNumberFormat="0" applyAlignment="0" applyProtection="0"/>
    <xf numFmtId="43" fontId="1" fillId="0" borderId="0" applyFont="0" applyFill="0" applyBorder="0" applyAlignment="0" applyProtection="0"/>
    <xf numFmtId="0" fontId="40" fillId="7" borderId="1" applyNumberFormat="0" applyAlignment="0" applyProtection="0"/>
    <xf numFmtId="0" fontId="25" fillId="16" borderId="1" applyNumberForma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83" fillId="36" borderId="31" applyNumberFormat="0" applyProtection="0">
      <alignment vertical="center"/>
    </xf>
    <xf numFmtId="4" fontId="69" fillId="29" borderId="31" applyNumberFormat="0" applyProtection="0">
      <alignmen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13" borderId="31"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9" borderId="30" applyNumberFormat="0" applyProtection="0">
      <alignment horizontal="left" vertical="center" indent="1"/>
    </xf>
    <xf numFmtId="0" fontId="15" fillId="4" borderId="5" applyNumberFormat="0" applyFont="0" applyAlignment="0" applyProtection="0"/>
    <xf numFmtId="4" fontId="9" fillId="8" borderId="31" applyNumberFormat="0" applyProtection="0">
      <alignment horizontal="right" vertical="center"/>
    </xf>
    <xf numFmtId="0" fontId="10" fillId="30" borderId="31" applyNumberFormat="0" applyProtection="0">
      <alignment horizontal="left" vertical="top" indent="1"/>
    </xf>
    <xf numFmtId="0" fontId="25" fillId="16" borderId="1" applyNumberFormat="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37" borderId="30"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83"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9" fillId="0" borderId="32" applyNumberFormat="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10" fillId="29" borderId="30" applyNumberFormat="0" applyProtection="0">
      <alignment vertical="center"/>
    </xf>
    <xf numFmtId="4" fontId="9" fillId="9" borderId="30" applyNumberFormat="0" applyProtection="0">
      <alignment horizontal="right" vertical="center"/>
    </xf>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10" fillId="29" borderId="30" applyNumberFormat="0" applyProtection="0">
      <alignment vertical="center"/>
    </xf>
    <xf numFmtId="0" fontId="9" fillId="9" borderId="30" applyNumberFormat="0" applyProtection="0">
      <alignment horizontal="left" vertical="center" indent="1"/>
    </xf>
    <xf numFmtId="4" fontId="10" fillId="29" borderId="30" applyNumberFormat="0" applyProtection="0">
      <alignment horizontal="left" vertical="center" indent="1"/>
    </xf>
    <xf numFmtId="4" fontId="82" fillId="14" borderId="31" applyNumberFormat="0" applyProtection="0">
      <alignment horizontal="right" vertical="center"/>
    </xf>
    <xf numFmtId="4" fontId="9" fillId="7" borderId="31"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4" fontId="82" fillId="33"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left" vertical="center" indent="1"/>
    </xf>
    <xf numFmtId="4" fontId="82" fillId="31"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45" fillId="16" borderId="6" applyNumberFormat="0" applyAlignment="0" applyProtection="0"/>
    <xf numFmtId="4" fontId="10" fillId="2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4" fontId="10" fillId="29" borderId="30" applyNumberFormat="0" applyProtection="0">
      <alignmen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46" fillId="36" borderId="31" applyNumberFormat="0" applyProtection="0">
      <alignment vertical="center"/>
    </xf>
    <xf numFmtId="0" fontId="9" fillId="9" borderId="31" applyNumberFormat="0" applyProtection="0">
      <alignment horizontal="left" vertical="top"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0" fontId="9" fillId="9" borderId="31" applyNumberFormat="0" applyProtection="0">
      <alignment horizontal="left" vertical="top" indent="1"/>
    </xf>
    <xf numFmtId="4"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40" fillId="7"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1"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40" fillId="7" borderId="1" applyNumberFormat="0" applyAlignment="0" applyProtection="0"/>
    <xf numFmtId="4" fontId="9" fillId="37" borderId="30" applyNumberFormat="0" applyProtection="0">
      <alignment horizontal="right" vertical="center"/>
    </xf>
    <xf numFmtId="4" fontId="9" fillId="9" borderId="30" applyNumberFormat="0" applyProtection="0">
      <alignment horizontal="left" vertical="center" indent="1"/>
    </xf>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0" fillId="30"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37" borderId="30" applyNumberFormat="0" applyProtection="0">
      <alignment horizontal="right" vertical="center"/>
    </xf>
    <xf numFmtId="0" fontId="40" fillId="7" borderId="1" applyNumberFormat="0" applyAlignment="0" applyProtection="0"/>
    <xf numFmtId="4" fontId="10" fillId="29" borderId="30" applyNumberFormat="0" applyProtection="0">
      <alignmen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4" fontId="9" fillId="29"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40" fillId="7" borderId="1" applyNumberForma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1" applyNumberFormat="0" applyProtection="0">
      <alignment horizontal="left" vertical="top" indent="1"/>
    </xf>
    <xf numFmtId="4" fontId="82" fillId="32"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10" fillId="29" borderId="30" applyNumberFormat="0" applyProtection="0">
      <alignment vertical="center"/>
    </xf>
    <xf numFmtId="0" fontId="25" fillId="16" borderId="1" applyNumberFormat="0" applyAlignment="0" applyProtection="0"/>
    <xf numFmtId="0" fontId="15" fillId="4" borderId="5" applyNumberFormat="0" applyFont="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4" fontId="83" fillId="36" borderId="31" applyNumberFormat="0" applyProtection="0">
      <alignment vertical="center"/>
    </xf>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10" fillId="29" borderId="30" applyNumberFormat="0" applyProtection="0">
      <alignment horizontal="left" vertical="center" indent="1"/>
    </xf>
    <xf numFmtId="4" fontId="9" fillId="0"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25" fillId="16"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46" fillId="36" borderId="31" applyNumberFormat="0" applyProtection="0">
      <alignment vertical="center"/>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46" fillId="36" borderId="31" applyNumberFormat="0" applyProtection="0">
      <alignmen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9" fillId="37" borderId="30" applyNumberFormat="0" applyProtection="0">
      <alignment horizontal="right" vertical="center"/>
    </xf>
    <xf numFmtId="0" fontId="25" fillId="16" borderId="1" applyNumberFormat="0" applyAlignment="0" applyProtection="0"/>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3" borderId="31" applyNumberFormat="0" applyProtection="0">
      <alignment horizontal="right" vertical="center"/>
    </xf>
    <xf numFmtId="0" fontId="25" fillId="16" borderId="1" applyNumberFormat="0" applyAlignment="0" applyProtection="0"/>
    <xf numFmtId="4" fontId="69" fillId="29" borderId="31" applyNumberFormat="0" applyProtection="0">
      <alignmen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horizontal="left" vertical="center" indent="1"/>
    </xf>
    <xf numFmtId="4" fontId="10" fillId="29" borderId="30" applyNumberFormat="0" applyProtection="0">
      <alignment horizontal="left" vertical="center" indent="1"/>
    </xf>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4" fontId="82" fillId="32" borderId="31" applyNumberFormat="0" applyProtection="0">
      <alignment horizontal="right" vertical="center"/>
    </xf>
    <xf numFmtId="4" fontId="82" fillId="14" borderId="31" applyNumberFormat="0" applyProtection="0">
      <alignment horizontal="righ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45" fillId="16" borderId="6"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1"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right" vertical="center"/>
    </xf>
    <xf numFmtId="4" fontId="9" fillId="13" borderId="31" applyNumberFormat="0" applyProtection="0">
      <alignment horizontal="right" vertical="center"/>
    </xf>
    <xf numFmtId="4" fontId="10" fillId="29" borderId="30" applyNumberFormat="0" applyProtection="0">
      <alignment vertical="center"/>
    </xf>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87" fillId="0" borderId="35" applyNumberFormat="0" applyFill="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15" fillId="4" borderId="5" applyNumberFormat="0" applyFont="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4" fontId="9" fillId="29" borderId="31" applyNumberFormat="0" applyProtection="0">
      <alignment horizontal="right" vertical="center"/>
    </xf>
    <xf numFmtId="0" fontId="9" fillId="0" borderId="32" applyNumberFormat="0" applyFont="0" applyFill="0" applyBorder="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8" borderId="31" applyNumberFormat="0" applyProtection="0">
      <alignment horizontal="right" vertical="center"/>
    </xf>
    <xf numFmtId="0" fontId="10" fillId="30"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9" borderId="30" applyNumberFormat="0" applyProtection="0">
      <alignment horizontal="left" vertical="center" indent="1"/>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4" fontId="9" fillId="29" borderId="31" applyNumberFormat="0" applyProtection="0">
      <alignment horizontal="right" vertical="center"/>
    </xf>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4" fontId="9" fillId="8"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25" fillId="16" borderId="1" applyNumberFormat="0" applyAlignment="0" applyProtection="0"/>
    <xf numFmtId="0" fontId="40" fillId="7" borderId="1" applyNumberFormat="0" applyAlignment="0" applyProtection="0"/>
    <xf numFmtId="4" fontId="10" fillId="29" borderId="30" applyNumberFormat="0" applyProtection="0">
      <alignment horizontal="left" vertical="center" indent="1"/>
    </xf>
    <xf numFmtId="4" fontId="82" fillId="31" borderId="31" applyNumberFormat="0" applyProtection="0">
      <alignment horizontal="right" vertical="center"/>
    </xf>
    <xf numFmtId="0" fontId="9" fillId="9" borderId="31" applyNumberFormat="0" applyProtection="0">
      <alignment horizontal="left" vertical="top" indent="1"/>
    </xf>
    <xf numFmtId="0" fontId="15" fillId="4" borderId="5" applyNumberFormat="0" applyFon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0" fillId="30" borderId="31" applyNumberFormat="0" applyProtection="0">
      <alignment horizontal="left" vertical="top"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9" fillId="9" borderId="30"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4" fontId="46"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9"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4" fontId="82" fillId="33" borderId="31" applyNumberFormat="0" applyProtection="0">
      <alignment horizontal="right" vertical="center"/>
    </xf>
    <xf numFmtId="0" fontId="15" fillId="4" borderId="5" applyNumberFormat="0" applyFont="0" applyAlignment="0" applyProtection="0"/>
    <xf numFmtId="4" fontId="9" fillId="9" borderId="31" applyNumberFormat="0" applyProtection="0">
      <alignment horizontal="left" vertical="center" indent="1"/>
    </xf>
    <xf numFmtId="0" fontId="40" fillId="7"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2" fillId="40" borderId="0" applyNumberFormat="0" applyBorder="0" applyAlignment="0" applyProtection="0"/>
    <xf numFmtId="0" fontId="93" fillId="41" borderId="37" applyNumberFormat="0" applyAlignment="0" applyProtection="0"/>
    <xf numFmtId="0" fontId="94" fillId="42" borderId="38" applyNumberFormat="0" applyAlignment="0" applyProtection="0"/>
    <xf numFmtId="0" fontId="95" fillId="42" borderId="37" applyNumberFormat="0" applyAlignment="0" applyProtection="0"/>
    <xf numFmtId="0" fontId="96" fillId="0" borderId="39" applyNumberFormat="0" applyFill="0" applyAlignment="0" applyProtection="0"/>
    <xf numFmtId="0" fontId="97" fillId="43" borderId="40"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00" fillId="55" borderId="0" applyNumberFormat="0" applyBorder="0" applyAlignment="0" applyProtection="0"/>
    <xf numFmtId="0" fontId="100"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00" fillId="59" borderId="0" applyNumberFormat="0" applyBorder="0" applyAlignment="0" applyProtection="0"/>
    <xf numFmtId="0" fontId="100"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00" fillId="67" borderId="0" applyNumberFormat="0" applyBorder="0" applyAlignment="0" applyProtection="0"/>
    <xf numFmtId="0" fontId="1" fillId="0" borderId="0"/>
    <xf numFmtId="0" fontId="101" fillId="0" borderId="41" applyNumberFormat="0" applyFill="0" applyAlignment="0" applyProtection="0"/>
    <xf numFmtId="0" fontId="102" fillId="0" borderId="42" applyNumberFormat="0" applyFill="0" applyAlignment="0" applyProtection="0"/>
    <xf numFmtId="0" fontId="1" fillId="25" borderId="28" applyNumberFormat="0" applyFont="0" applyAlignment="0" applyProtection="0"/>
    <xf numFmtId="0" fontId="103" fillId="0" borderId="43" applyNumberFormat="0" applyFill="0" applyAlignment="0" applyProtection="0"/>
    <xf numFmtId="0" fontId="1" fillId="0" borderId="0"/>
    <xf numFmtId="43" fontId="1" fillId="0" borderId="0" applyFont="0" applyFill="0" applyBorder="0" applyAlignment="0" applyProtection="0"/>
    <xf numFmtId="0" fontId="9" fillId="0" borderId="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66" fillId="45" borderId="0" applyNumberFormat="0" applyBorder="0" applyAlignment="0" applyProtection="0"/>
    <xf numFmtId="0" fontId="66" fillId="49" borderId="0" applyNumberFormat="0" applyBorder="0" applyAlignment="0" applyProtection="0"/>
    <xf numFmtId="0" fontId="66" fillId="53" borderId="0" applyNumberFormat="0" applyBorder="0" applyAlignment="0" applyProtection="0"/>
    <xf numFmtId="0" fontId="66" fillId="61" borderId="0" applyNumberFormat="0" applyBorder="0" applyAlignment="0" applyProtection="0"/>
    <xf numFmtId="0" fontId="66" fillId="65" borderId="0" applyNumberFormat="0" applyBorder="0" applyAlignment="0" applyProtection="0"/>
    <xf numFmtId="0" fontId="66" fillId="46" borderId="0" applyNumberFormat="0" applyBorder="0" applyAlignment="0" applyProtection="0"/>
    <xf numFmtId="0" fontId="66" fillId="50" borderId="0" applyNumberFormat="0" applyBorder="0" applyAlignment="0" applyProtection="0"/>
    <xf numFmtId="0" fontId="66" fillId="54" borderId="0" applyNumberFormat="0" applyBorder="0" applyAlignment="0" applyProtection="0"/>
    <xf numFmtId="0" fontId="66" fillId="58" borderId="0" applyNumberFormat="0" applyBorder="0" applyAlignment="0" applyProtection="0"/>
    <xf numFmtId="0" fontId="66" fillId="62" borderId="0" applyNumberFormat="0" applyBorder="0" applyAlignment="0" applyProtection="0"/>
    <xf numFmtId="0" fontId="66" fillId="66" borderId="0" applyNumberFormat="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6"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5" fillId="8" borderId="0" applyNumberFormat="0" applyBorder="0" applyAlignment="0" applyProtection="0"/>
    <xf numFmtId="198" fontId="105" fillId="8" borderId="0" applyNumberFormat="0" applyBorder="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27" fillId="17" borderId="2" applyNumberFormat="0" applyAlignment="0" applyProtection="0"/>
    <xf numFmtId="198" fontId="27" fillId="17" borderId="2" applyNumberFormat="0" applyAlignment="0" applyProtection="0"/>
    <xf numFmtId="198" fontId="27" fillId="18" borderId="0">
      <alignment horizontal="left"/>
    </xf>
    <xf numFmtId="198" fontId="28" fillId="18" borderId="0">
      <alignment horizontal="right"/>
    </xf>
    <xf numFmtId="198" fontId="29" fillId="16" borderId="0">
      <alignment horizontal="center"/>
    </xf>
    <xf numFmtId="198" fontId="28" fillId="18" borderId="0">
      <alignment horizontal="right"/>
    </xf>
    <xf numFmtId="198" fontId="30" fillId="16" borderId="0">
      <alignment horizontal="left"/>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107" fillId="0" borderId="0" applyNumberFormat="0" applyFill="0" applyBorder="0" applyAlignment="0" applyProtection="0"/>
    <xf numFmtId="198" fontId="107" fillId="0" borderId="0" applyNumberFormat="0" applyFill="0" applyBorder="0" applyAlignment="0" applyProtection="0"/>
    <xf numFmtId="198" fontId="10" fillId="0" borderId="0" applyProtection="0"/>
    <xf numFmtId="198" fontId="12" fillId="0" borderId="0" applyProtection="0"/>
    <xf numFmtId="198" fontId="17" fillId="0" borderId="0" applyProtection="0"/>
    <xf numFmtId="198" fontId="34" fillId="0" borderId="0" applyProtection="0"/>
    <xf numFmtId="198" fontId="34" fillId="0" borderId="0" applyProtection="0"/>
    <xf numFmtId="198" fontId="9" fillId="0" borderId="0" applyProtection="0"/>
    <xf numFmtId="198" fontId="9" fillId="0" borderId="0" applyProtection="0"/>
    <xf numFmtId="198" fontId="10" fillId="0" borderId="0" applyProtection="0"/>
    <xf numFmtId="198" fontId="35" fillId="0" borderId="0" applyProtection="0"/>
    <xf numFmtId="2" fontId="9" fillId="0" borderId="0" applyFont="0" applyFill="0" applyBorder="0" applyAlignment="0" applyProtection="0"/>
    <xf numFmtId="2" fontId="9" fillId="0" borderId="0" applyFont="0" applyFill="0" applyBorder="0" applyAlignment="0" applyProtection="0"/>
    <xf numFmtId="198" fontId="79" fillId="68" borderId="0" applyNumberFormat="0" applyBorder="0" applyAlignment="0" applyProtection="0"/>
    <xf numFmtId="198" fontId="79" fillId="68" borderId="0" applyNumberFormat="0" applyBorder="0" applyAlignment="0" applyProtection="0"/>
    <xf numFmtId="198" fontId="108" fillId="0" borderId="44" applyNumberFormat="0" applyFill="0" applyAlignment="0" applyProtection="0"/>
    <xf numFmtId="198" fontId="108" fillId="0" borderId="44" applyNumberFormat="0" applyFill="0" applyAlignment="0" applyProtection="0"/>
    <xf numFmtId="198" fontId="109" fillId="0" borderId="45" applyNumberFormat="0" applyFill="0" applyAlignment="0" applyProtection="0"/>
    <xf numFmtId="198" fontId="109" fillId="0" borderId="45"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0" applyNumberFormat="0" applyFill="0" applyBorder="0" applyAlignment="0" applyProtection="0"/>
    <xf numFmtId="198" fontId="110" fillId="0" borderId="0" applyNumberFormat="0" applyFill="0" applyBorder="0" applyAlignment="0" applyProtection="0"/>
    <xf numFmtId="186" fontId="111" fillId="0" borderId="0" applyNumberFormat="0" applyFill="0" applyBorder="0" applyAlignment="0" applyProtection="0">
      <alignment vertical="top"/>
      <protection locked="0"/>
    </xf>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27" fillId="18" borderId="0">
      <alignment horizontal="left"/>
    </xf>
    <xf numFmtId="198" fontId="41" fillId="16" borderId="0">
      <alignment horizontal="left"/>
    </xf>
    <xf numFmtId="198" fontId="113" fillId="0" borderId="47" applyNumberFormat="0" applyFill="0" applyAlignment="0" applyProtection="0"/>
    <xf numFmtId="198" fontId="113" fillId="0" borderId="47" applyNumberFormat="0" applyFill="0" applyAlignment="0" applyProtection="0"/>
    <xf numFmtId="198" fontId="114" fillId="7" borderId="0" applyNumberFormat="0" applyBorder="0" applyAlignment="0" applyProtection="0"/>
    <xf numFmtId="198" fontId="114" fillId="7" borderId="0" applyNumberFormat="0" applyBorder="0" applyAlignment="0" applyProtection="0"/>
    <xf numFmtId="19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9" fontId="9" fillId="0" borderId="0"/>
    <xf numFmtId="198" fontId="9" fillId="0" borderId="0"/>
    <xf numFmtId="19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9" fillId="0" borderId="0"/>
    <xf numFmtId="198"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199" fontId="9" fillId="0" borderId="0"/>
    <xf numFmtId="0"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0" fontId="9" fillId="0" borderId="0"/>
    <xf numFmtId="0" fontId="9" fillId="0" borderId="0"/>
    <xf numFmtId="0" fontId="1" fillId="0" borderId="0"/>
    <xf numFmtId="0" fontId="1" fillId="0" borderId="0"/>
    <xf numFmtId="198" fontId="9" fillId="0" borderId="0"/>
    <xf numFmtId="37" fontId="12"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73"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1" fillId="0" borderId="0"/>
    <xf numFmtId="186" fontId="9"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9" fillId="0" borderId="0"/>
    <xf numFmtId="198" fontId="9" fillId="0" borderId="0"/>
    <xf numFmtId="198" fontId="9" fillId="0" borderId="0"/>
    <xf numFmtId="0" fontId="115" fillId="0" borderId="0"/>
    <xf numFmtId="0" fontId="116" fillId="0" borderId="0"/>
    <xf numFmtId="0" fontId="1" fillId="0" borderId="0"/>
    <xf numFmtId="44" fontId="116" fillId="0" borderId="0" applyFont="0" applyFill="0" applyBorder="0" applyAlignment="0" applyProtection="0"/>
    <xf numFmtId="9" fontId="116" fillId="0" borderId="0" applyFont="0" applyFill="0" applyBorder="0" applyAlignment="0" applyProtection="0"/>
    <xf numFmtId="43" fontId="117" fillId="0" borderId="0" applyFont="0" applyFill="0" applyBorder="0" applyAlignment="0" applyProtection="0"/>
    <xf numFmtId="0" fontId="117" fillId="0" borderId="0"/>
    <xf numFmtId="0" fontId="1" fillId="0" borderId="0"/>
    <xf numFmtId="43" fontId="115" fillId="0" borderId="0" applyFont="0" applyFill="0" applyBorder="0" applyAlignment="0" applyProtection="0"/>
    <xf numFmtId="9" fontId="115" fillId="0" borderId="0" applyFont="0" applyFill="0" applyBorder="0" applyAlignment="0" applyProtection="0"/>
    <xf numFmtId="0" fontId="115" fillId="0" borderId="0"/>
    <xf numFmtId="0" fontId="1" fillId="0" borderId="0"/>
    <xf numFmtId="0" fontId="1" fillId="0" borderId="0"/>
    <xf numFmtId="0" fontId="1" fillId="0" borderId="0"/>
    <xf numFmtId="0" fontId="115" fillId="0" borderId="0"/>
    <xf numFmtId="0" fontId="1" fillId="0" borderId="0"/>
    <xf numFmtId="0" fontId="22" fillId="0" borderId="0"/>
    <xf numFmtId="0" fontId="1" fillId="0" borderId="0"/>
    <xf numFmtId="0" fontId="1" fillId="0" borderId="0"/>
    <xf numFmtId="0" fontId="1" fillId="0" borderId="0"/>
    <xf numFmtId="43" fontId="116" fillId="0" borderId="0" applyFont="0" applyFill="0" applyBorder="0" applyAlignment="0" applyProtection="0"/>
    <xf numFmtId="43" fontId="1" fillId="0" borderId="0" applyFont="0" applyFill="0" applyBorder="0" applyAlignment="0" applyProtection="0"/>
    <xf numFmtId="0" fontId="118" fillId="0" borderId="0"/>
    <xf numFmtId="43" fontId="118" fillId="0" borderId="0" applyFont="0" applyFill="0" applyBorder="0" applyAlignment="0" applyProtection="0"/>
    <xf numFmtId="43" fontId="1" fillId="0" borderId="0" applyFont="0" applyFill="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119"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119"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119"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119"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1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119"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19"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19"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19"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5" fontId="16" fillId="0" borderId="0" applyFont="0" applyFill="0" applyBorder="0" applyAlignment="0" applyProtection="0"/>
    <xf numFmtId="186" fontId="16" fillId="0" borderId="0" applyFont="0" applyFill="0" applyBorder="0" applyAlignment="0" applyProtection="0"/>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cellStyleXfs>
  <cellXfs count="527">
    <xf numFmtId="0" fontId="0" fillId="0" borderId="0" xfId="0"/>
    <xf numFmtId="164" fontId="0" fillId="0" borderId="0" xfId="0" applyNumberFormat="1"/>
    <xf numFmtId="166" fontId="0" fillId="0" borderId="0" xfId="33" applyNumberFormat="1" applyFont="1"/>
    <xf numFmtId="0" fontId="7" fillId="0" borderId="0" xfId="0" applyFont="1"/>
    <xf numFmtId="0" fontId="11" fillId="0" borderId="0" xfId="0" applyFont="1"/>
    <xf numFmtId="166" fontId="0" fillId="0" borderId="0" xfId="33" applyNumberFormat="1" applyFont="1" applyBorder="1"/>
    <xf numFmtId="0" fontId="16" fillId="0" borderId="0" xfId="0" applyFont="1"/>
    <xf numFmtId="0" fontId="7" fillId="0" borderId="0" xfId="0" applyFont="1" applyFill="1" applyAlignment="1">
      <alignment horizontal="left"/>
    </xf>
    <xf numFmtId="0" fontId="17" fillId="0" borderId="0" xfId="0" applyFont="1"/>
    <xf numFmtId="0" fontId="16" fillId="0" borderId="0" xfId="0" applyFont="1" applyAlignment="1">
      <alignment horizontal="center"/>
    </xf>
    <xf numFmtId="166" fontId="16" fillId="0" borderId="0" xfId="33" applyNumberFormat="1" applyFont="1"/>
    <xf numFmtId="43" fontId="16" fillId="0" borderId="0" xfId="33" applyNumberFormat="1" applyFont="1"/>
    <xf numFmtId="44" fontId="16" fillId="0" borderId="0" xfId="36" applyFont="1"/>
    <xf numFmtId="10" fontId="16" fillId="0" borderId="0" xfId="67" applyNumberFormat="1" applyFont="1"/>
    <xf numFmtId="0" fontId="16" fillId="0" borderId="0" xfId="0" applyFont="1" applyFill="1" applyAlignment="1">
      <alignment horizontal="left"/>
    </xf>
    <xf numFmtId="0" fontId="16" fillId="0" borderId="0" xfId="0" applyFont="1" applyFill="1"/>
    <xf numFmtId="166" fontId="18" fillId="0" borderId="0" xfId="33" applyNumberFormat="1" applyFont="1"/>
    <xf numFmtId="166" fontId="16" fillId="0" borderId="0" xfId="33" applyNumberFormat="1" applyFont="1" applyFill="1" applyAlignment="1">
      <alignment horizontal="left"/>
    </xf>
    <xf numFmtId="166" fontId="16" fillId="0" borderId="0" xfId="33" applyNumberFormat="1" applyFont="1" applyFill="1"/>
    <xf numFmtId="0" fontId="0" fillId="0" borderId="9" xfId="0" applyBorder="1"/>
    <xf numFmtId="0" fontId="7" fillId="0" borderId="10" xfId="0" applyFont="1" applyFill="1" applyBorder="1" applyAlignment="1">
      <alignment horizontal="left"/>
    </xf>
    <xf numFmtId="0" fontId="7" fillId="0" borderId="9" xfId="0" applyFont="1" applyFill="1" applyBorder="1" applyAlignment="1">
      <alignment horizontal="right"/>
    </xf>
    <xf numFmtId="0" fontId="8" fillId="0" borderId="0" xfId="0" applyFont="1" applyFill="1"/>
    <xf numFmtId="0" fontId="7" fillId="0" borderId="0" xfId="0" applyFont="1" applyFill="1"/>
    <xf numFmtId="44" fontId="16" fillId="0" borderId="0" xfId="36" applyFont="1" applyFill="1"/>
    <xf numFmtId="0" fontId="0" fillId="0" borderId="0" xfId="0" applyBorder="1"/>
    <xf numFmtId="0" fontId="15" fillId="0" borderId="0" xfId="0" applyFont="1"/>
    <xf numFmtId="0" fontId="7" fillId="0" borderId="0" xfId="0" applyFont="1" applyFill="1" applyBorder="1" applyAlignment="1">
      <alignment horizontal="right" wrapText="1"/>
    </xf>
    <xf numFmtId="0" fontId="7" fillId="0" borderId="9" xfId="0" applyFont="1" applyFill="1" applyBorder="1"/>
    <xf numFmtId="0" fontId="7" fillId="0" borderId="9" xfId="0" applyFont="1" applyFill="1" applyBorder="1" applyAlignment="1">
      <alignment horizontal="center"/>
    </xf>
    <xf numFmtId="0" fontId="7" fillId="0" borderId="9" xfId="0" applyFont="1" applyFill="1" applyBorder="1" applyAlignment="1">
      <alignment horizontal="left"/>
    </xf>
    <xf numFmtId="0" fontId="15" fillId="0" borderId="0" xfId="0" applyFont="1" applyFill="1" applyAlignment="1" applyProtection="1">
      <alignment horizontal="left"/>
    </xf>
    <xf numFmtId="0" fontId="15" fillId="0" borderId="0" xfId="0" applyFont="1" applyFill="1"/>
    <xf numFmtId="178" fontId="15" fillId="0" borderId="0" xfId="0" quotePrefix="1" applyNumberFormat="1" applyFont="1" applyAlignment="1">
      <alignment horizontal="left"/>
    </xf>
    <xf numFmtId="0" fontId="16" fillId="0" borderId="0" xfId="0" applyFont="1" applyBorder="1"/>
    <xf numFmtId="0" fontId="7" fillId="0" borderId="0" xfId="0" applyFont="1" applyFill="1" applyAlignment="1">
      <alignment horizontal="right"/>
    </xf>
    <xf numFmtId="0" fontId="5" fillId="0" borderId="0" xfId="0" applyFont="1" applyFill="1" applyAlignment="1">
      <alignment horizontal="right"/>
    </xf>
    <xf numFmtId="0" fontId="14" fillId="0" borderId="0" xfId="0" applyFont="1" applyFill="1"/>
    <xf numFmtId="0" fontId="10" fillId="0" borderId="0" xfId="0" applyFont="1"/>
    <xf numFmtId="0" fontId="21" fillId="0" borderId="0" xfId="0" applyFont="1"/>
    <xf numFmtId="168" fontId="0" fillId="0" borderId="0" xfId="0" applyNumberFormat="1"/>
    <xf numFmtId="168" fontId="0" fillId="0" borderId="0" xfId="0" quotePrefix="1" applyNumberFormat="1" applyAlignment="1">
      <alignment horizontal="left"/>
    </xf>
    <xf numFmtId="168" fontId="7" fillId="0" borderId="0" xfId="0" applyNumberFormat="1" applyFont="1" applyBorder="1" applyAlignment="1">
      <alignment horizontal="center"/>
    </xf>
    <xf numFmtId="168" fontId="0" fillId="0" borderId="0" xfId="67" applyNumberFormat="1" applyFont="1"/>
    <xf numFmtId="0" fontId="13" fillId="0" borderId="0" xfId="0" applyFont="1"/>
    <xf numFmtId="0" fontId="12" fillId="0" borderId="0" xfId="0" applyFont="1"/>
    <xf numFmtId="0" fontId="13" fillId="0" borderId="0" xfId="0" applyFont="1" applyBorder="1" applyAlignment="1">
      <alignment horizontal="center"/>
    </xf>
    <xf numFmtId="0" fontId="13" fillId="0" borderId="9" xfId="0" applyFont="1" applyBorder="1" applyAlignment="1">
      <alignment horizontal="center"/>
    </xf>
    <xf numFmtId="0" fontId="13" fillId="0" borderId="0" xfId="0" applyFont="1" applyFill="1" applyAlignment="1">
      <alignment horizontal="left"/>
    </xf>
    <xf numFmtId="164" fontId="12" fillId="0" borderId="0" xfId="0" applyNumberFormat="1" applyFont="1"/>
    <xf numFmtId="166" fontId="12" fillId="0" borderId="0" xfId="33" applyNumberFormat="1" applyFont="1"/>
    <xf numFmtId="166" fontId="12" fillId="0" borderId="10" xfId="33" applyNumberFormat="1" applyFont="1" applyBorder="1"/>
    <xf numFmtId="0" fontId="13" fillId="0" borderId="0" xfId="0" applyFont="1" applyFill="1" applyBorder="1" applyAlignment="1">
      <alignment horizontal="center"/>
    </xf>
    <xf numFmtId="0" fontId="12" fillId="0" borderId="0" xfId="0" applyFont="1" applyFill="1"/>
    <xf numFmtId="168" fontId="12" fillId="0" borderId="0" xfId="0" applyNumberFormat="1" applyFont="1" applyFill="1"/>
    <xf numFmtId="172" fontId="12" fillId="0" borderId="0" xfId="33" applyNumberFormat="1" applyFont="1" applyFill="1"/>
    <xf numFmtId="168" fontId="12" fillId="0" borderId="0" xfId="67" applyNumberFormat="1" applyFont="1"/>
    <xf numFmtId="0" fontId="13" fillId="0" borderId="0" xfId="0" applyFont="1" applyFill="1" applyBorder="1" applyAlignment="1">
      <alignment horizontal="right"/>
    </xf>
    <xf numFmtId="171" fontId="12" fillId="0" borderId="0" xfId="33" applyNumberFormat="1" applyFont="1" applyFill="1"/>
    <xf numFmtId="0" fontId="12" fillId="0" borderId="0" xfId="0" applyFont="1" applyFill="1" applyAlignment="1">
      <alignment horizontal="center"/>
    </xf>
    <xf numFmtId="164" fontId="12" fillId="0" borderId="0" xfId="0" applyNumberFormat="1" applyFont="1" applyFill="1"/>
    <xf numFmtId="0" fontId="13" fillId="0" borderId="0" xfId="0" applyFont="1" applyFill="1" applyAlignment="1">
      <alignment horizontal="center"/>
    </xf>
    <xf numFmtId="0" fontId="13" fillId="0" borderId="0" xfId="0" applyFont="1" applyAlignment="1">
      <alignment horizontal="center"/>
    </xf>
    <xf numFmtId="168" fontId="12" fillId="0" borderId="0" xfId="0" applyNumberFormat="1" applyFont="1"/>
    <xf numFmtId="168" fontId="21" fillId="0" borderId="0" xfId="0" applyNumberFormat="1" applyFont="1"/>
    <xf numFmtId="168" fontId="13" fillId="0" borderId="0" xfId="0" applyNumberFormat="1" applyFont="1" applyBorder="1" applyAlignment="1">
      <alignment horizontal="center"/>
    </xf>
    <xf numFmtId="0" fontId="10" fillId="0" borderId="9" xfId="0" applyFont="1" applyBorder="1" applyAlignment="1">
      <alignment horizontal="center"/>
    </xf>
    <xf numFmtId="168" fontId="13" fillId="0" borderId="9" xfId="0" applyNumberFormat="1" applyFont="1" applyBorder="1" applyAlignment="1">
      <alignment horizontal="center"/>
    </xf>
    <xf numFmtId="166" fontId="14" fillId="0" borderId="0" xfId="33" applyNumberFormat="1" applyFont="1"/>
    <xf numFmtId="168" fontId="21" fillId="0" borderId="0" xfId="67" applyNumberFormat="1" applyFont="1"/>
    <xf numFmtId="0" fontId="10" fillId="0" borderId="0" xfId="0" applyFont="1" applyBorder="1" applyAlignment="1">
      <alignment horizontal="center"/>
    </xf>
    <xf numFmtId="166" fontId="12" fillId="0" borderId="0" xfId="33" applyNumberFormat="1" applyFont="1" applyFill="1"/>
    <xf numFmtId="166" fontId="12" fillId="0" borderId="0" xfId="33" applyNumberFormat="1" applyFont="1" applyBorder="1"/>
    <xf numFmtId="0" fontId="13" fillId="0" borderId="9" xfId="0" applyFont="1" applyFill="1" applyBorder="1" applyAlignment="1">
      <alignment horizontal="center"/>
    </xf>
    <xf numFmtId="164" fontId="12" fillId="0" borderId="0" xfId="0" applyNumberFormat="1" applyFont="1" applyFill="1" applyBorder="1"/>
    <xf numFmtId="0" fontId="7" fillId="0" borderId="0" xfId="0" applyFont="1" applyFill="1" applyBorder="1" applyAlignment="1">
      <alignment horizontal="centerContinuous"/>
    </xf>
    <xf numFmtId="0" fontId="7" fillId="0" borderId="0" xfId="0" applyFont="1" applyFill="1" applyBorder="1" applyAlignment="1"/>
    <xf numFmtId="0" fontId="7" fillId="0" borderId="11" xfId="0" applyFont="1" applyFill="1" applyBorder="1" applyAlignment="1">
      <alignment horizontal="right" wrapText="1"/>
    </xf>
    <xf numFmtId="0" fontId="7" fillId="0" borderId="0" xfId="0" applyFont="1" applyFill="1" applyBorder="1" applyAlignment="1">
      <alignment horizontal="right"/>
    </xf>
    <xf numFmtId="0" fontId="8" fillId="0" borderId="9" xfId="0" applyFont="1" applyFill="1" applyBorder="1" applyAlignment="1">
      <alignment horizontal="right"/>
    </xf>
    <xf numFmtId="0" fontId="5" fillId="0" borderId="0" xfId="0" applyFont="1" applyFill="1" applyAlignment="1">
      <alignment horizontal="centerContinuous"/>
    </xf>
    <xf numFmtId="0" fontId="8" fillId="0" borderId="0" xfId="0" applyFont="1" applyFill="1" applyBorder="1"/>
    <xf numFmtId="0" fontId="7" fillId="0" borderId="0" xfId="0" quotePrefix="1" applyFont="1" applyFill="1"/>
    <xf numFmtId="0" fontId="20" fillId="0" borderId="0" xfId="0" applyFont="1" applyFill="1" applyAlignment="1" applyProtection="1">
      <alignment horizontal="left"/>
    </xf>
    <xf numFmtId="0" fontId="4" fillId="0" borderId="0" xfId="0" applyFont="1" applyFill="1" applyAlignment="1">
      <alignment horizontal="centerContinuous"/>
    </xf>
    <xf numFmtId="0" fontId="4" fillId="0" borderId="0" xfId="0" applyFont="1" applyFill="1" applyAlignment="1"/>
    <xf numFmtId="0" fontId="4" fillId="0" borderId="0" xfId="0" applyFont="1" applyFill="1"/>
    <xf numFmtId="0" fontId="4" fillId="0" borderId="0" xfId="0" applyFont="1" applyFill="1" applyAlignment="1">
      <alignment horizontal="center"/>
    </xf>
    <xf numFmtId="2" fontId="4" fillId="0" borderId="0" xfId="0" applyNumberFormat="1" applyFont="1" applyFill="1"/>
    <xf numFmtId="164" fontId="4" fillId="0" borderId="0" xfId="36" applyNumberFormat="1" applyFont="1" applyFill="1"/>
    <xf numFmtId="166" fontId="4" fillId="0" borderId="0" xfId="33" applyNumberFormat="1" applyFont="1" applyFill="1"/>
    <xf numFmtId="164" fontId="4" fillId="0" borderId="0" xfId="0" applyNumberFormat="1" applyFont="1" applyFill="1"/>
    <xf numFmtId="2" fontId="4" fillId="0" borderId="0" xfId="0" applyNumberFormat="1" applyFont="1" applyFill="1" applyAlignment="1">
      <alignment horizontal="center"/>
    </xf>
    <xf numFmtId="0" fontId="4" fillId="0" borderId="0" xfId="0" applyFont="1" applyFill="1" applyAlignment="1" applyProtection="1">
      <alignment horizontal="left"/>
    </xf>
    <xf numFmtId="166" fontId="4" fillId="0" borderId="0" xfId="0" applyNumberFormat="1" applyFont="1" applyFill="1"/>
    <xf numFmtId="43" fontId="4" fillId="0" borderId="0" xfId="33" applyFont="1" applyFill="1"/>
    <xf numFmtId="0" fontId="4" fillId="0" borderId="0" xfId="0" quotePrefix="1" applyFont="1" applyFill="1"/>
    <xf numFmtId="0" fontId="4" fillId="0" borderId="0" xfId="0" quotePrefix="1" applyFont="1" applyFill="1" applyBorder="1"/>
    <xf numFmtId="43" fontId="4" fillId="0" borderId="0" xfId="0" applyNumberFormat="1" applyFont="1" applyFill="1"/>
    <xf numFmtId="0" fontId="15" fillId="0" borderId="0" xfId="0" applyFont="1" applyFill="1" applyProtection="1">
      <protection locked="0"/>
    </xf>
    <xf numFmtId="0" fontId="4" fillId="0" borderId="0" xfId="33" applyNumberFormat="1" applyFont="1" applyFill="1"/>
    <xf numFmtId="0" fontId="4" fillId="0" borderId="0" xfId="0" applyFont="1" applyFill="1" applyBorder="1"/>
    <xf numFmtId="0" fontId="4" fillId="0" borderId="0" xfId="33" applyNumberFormat="1" applyFont="1" applyFill="1" applyBorder="1"/>
    <xf numFmtId="168" fontId="4" fillId="0" borderId="0" xfId="0" applyNumberFormat="1" applyFont="1" applyFill="1"/>
    <xf numFmtId="168" fontId="4" fillId="0" borderId="0" xfId="33" applyNumberFormat="1" applyFont="1" applyFill="1"/>
    <xf numFmtId="166" fontId="4" fillId="0" borderId="0" xfId="33" applyNumberFormat="1" applyFont="1" applyFill="1" applyAlignment="1">
      <alignment horizontal="right"/>
    </xf>
    <xf numFmtId="171" fontId="4" fillId="0" borderId="0" xfId="33" applyNumberFormat="1" applyFont="1" applyFill="1"/>
    <xf numFmtId="172" fontId="4" fillId="0" borderId="0" xfId="33" applyNumberFormat="1" applyFont="1" applyFill="1"/>
    <xf numFmtId="173" fontId="4" fillId="0" borderId="0" xfId="33" applyNumberFormat="1" applyFont="1" applyFill="1"/>
    <xf numFmtId="0" fontId="9" fillId="0" borderId="0" xfId="0" applyFont="1" applyFill="1"/>
    <xf numFmtId="0" fontId="4" fillId="0" borderId="0" xfId="0" applyFont="1"/>
    <xf numFmtId="0" fontId="7" fillId="0" borderId="0" xfId="0" applyFont="1" applyFill="1" applyBorder="1" applyAlignment="1">
      <alignment horizontal="center"/>
    </xf>
    <xf numFmtId="0" fontId="7" fillId="0" borderId="0" xfId="0" applyFont="1" applyFill="1" applyBorder="1" applyAlignment="1">
      <alignment horizontal="left"/>
    </xf>
    <xf numFmtId="168" fontId="0" fillId="0" borderId="0" xfId="67" applyNumberFormat="1" applyFont="1" applyBorder="1"/>
    <xf numFmtId="164" fontId="4" fillId="0" borderId="0" xfId="0" applyNumberFormat="1" applyFont="1"/>
    <xf numFmtId="164" fontId="4" fillId="0" borderId="0" xfId="0" applyNumberFormat="1" applyFont="1" applyBorder="1"/>
    <xf numFmtId="0" fontId="13" fillId="0" borderId="0" xfId="0" applyFont="1" applyFill="1"/>
    <xf numFmtId="0" fontId="0" fillId="0" borderId="0" xfId="0" applyFill="1"/>
    <xf numFmtId="0" fontId="13" fillId="0" borderId="0" xfId="0" applyFont="1" applyFill="1" applyBorder="1"/>
    <xf numFmtId="0" fontId="12" fillId="0" borderId="0" xfId="0" applyFont="1" applyFill="1" applyBorder="1"/>
    <xf numFmtId="0" fontId="12" fillId="0" borderId="0" xfId="0" applyFont="1" applyFill="1" applyBorder="1" applyAlignment="1">
      <alignment horizontal="center"/>
    </xf>
    <xf numFmtId="168" fontId="13" fillId="0" borderId="0" xfId="0" applyNumberFormat="1" applyFont="1" applyFill="1" applyBorder="1"/>
    <xf numFmtId="0" fontId="13" fillId="0" borderId="0" xfId="0" applyFont="1" applyFill="1" applyBorder="1" applyAlignment="1">
      <alignment horizontal="left"/>
    </xf>
    <xf numFmtId="168" fontId="12" fillId="0" borderId="0" xfId="67" applyNumberFormat="1" applyFont="1" applyFill="1" applyBorder="1"/>
    <xf numFmtId="172" fontId="12" fillId="0" borderId="0" xfId="33" applyNumberFormat="1" applyFont="1" applyFill="1" applyBorder="1"/>
    <xf numFmtId="181" fontId="12" fillId="0" borderId="0" xfId="0" applyNumberFormat="1" applyFont="1" applyFill="1" applyBorder="1"/>
    <xf numFmtId="10" fontId="12" fillId="0" borderId="0" xfId="0" applyNumberFormat="1" applyFont="1" applyFill="1" applyBorder="1"/>
    <xf numFmtId="171" fontId="12" fillId="0" borderId="0" xfId="33" applyNumberFormat="1" applyFont="1" applyFill="1" applyBorder="1"/>
    <xf numFmtId="0" fontId="0" fillId="0" borderId="0" xfId="0" applyFill="1" applyBorder="1"/>
    <xf numFmtId="44" fontId="0" fillId="0" borderId="0" xfId="0" applyNumberFormat="1" applyBorder="1"/>
    <xf numFmtId="0" fontId="4" fillId="0" borderId="0" xfId="0" quotePrefix="1" applyFont="1" applyBorder="1"/>
    <xf numFmtId="0" fontId="4" fillId="0" borderId="0" xfId="0" applyFont="1" applyBorder="1"/>
    <xf numFmtId="168" fontId="0" fillId="0" borderId="0" xfId="0" applyNumberFormat="1" applyBorder="1"/>
    <xf numFmtId="164" fontId="0" fillId="0" borderId="0" xfId="0" applyNumberFormat="1" applyFill="1"/>
    <xf numFmtId="166" fontId="0" fillId="0" borderId="0" xfId="33" applyNumberFormat="1" applyFont="1" applyFill="1"/>
    <xf numFmtId="164" fontId="6" fillId="0" borderId="0" xfId="0" applyNumberFormat="1" applyFont="1" applyFill="1"/>
    <xf numFmtId="164" fontId="6" fillId="0" borderId="0" xfId="0" applyNumberFormat="1" applyFont="1" applyFill="1" applyBorder="1"/>
    <xf numFmtId="0" fontId="0" fillId="0" borderId="10" xfId="0" applyBorder="1"/>
    <xf numFmtId="164" fontId="0" fillId="0" borderId="10" xfId="0" applyNumberFormat="1" applyFill="1" applyBorder="1"/>
    <xf numFmtId="166" fontId="0" fillId="0" borderId="10" xfId="33" applyNumberFormat="1" applyFont="1" applyFill="1" applyBorder="1"/>
    <xf numFmtId="166" fontId="4" fillId="0" borderId="0" xfId="33" applyNumberFormat="1" applyFont="1"/>
    <xf numFmtId="10" fontId="12" fillId="0" borderId="0" xfId="67" applyNumberFormat="1" applyFont="1" applyFill="1" applyBorder="1"/>
    <xf numFmtId="168" fontId="12" fillId="0" borderId="0" xfId="0" applyNumberFormat="1" applyFont="1" applyFill="1" applyBorder="1"/>
    <xf numFmtId="164" fontId="13" fillId="0" borderId="0" xfId="0" applyNumberFormat="1" applyFont="1" applyFill="1" applyBorder="1"/>
    <xf numFmtId="168" fontId="13" fillId="0" borderId="0" xfId="67" applyNumberFormat="1" applyFont="1" applyFill="1" applyBorder="1"/>
    <xf numFmtId="172" fontId="13" fillId="0" borderId="0" xfId="33" applyNumberFormat="1" applyFont="1" applyFill="1" applyBorder="1"/>
    <xf numFmtId="181" fontId="13" fillId="0" borderId="0" xfId="0" applyNumberFormat="1" applyFont="1" applyFill="1" applyBorder="1"/>
    <xf numFmtId="44" fontId="0" fillId="0" borderId="0" xfId="0" applyNumberFormat="1" applyFill="1"/>
    <xf numFmtId="44" fontId="0" fillId="0" borderId="0" xfId="0" applyNumberFormat="1" applyFill="1" applyBorder="1"/>
    <xf numFmtId="44" fontId="0" fillId="0" borderId="10" xfId="0" applyNumberFormat="1" applyFill="1" applyBorder="1"/>
    <xf numFmtId="0" fontId="16" fillId="0" borderId="0" xfId="0" applyFont="1" applyFill="1" applyAlignment="1">
      <alignment horizontal="center"/>
    </xf>
    <xf numFmtId="166" fontId="16" fillId="0" borderId="0" xfId="33" applyNumberFormat="1" applyFont="1" applyFill="1" applyAlignment="1">
      <alignment horizontal="center"/>
    </xf>
    <xf numFmtId="166" fontId="16" fillId="0" borderId="0" xfId="33" applyNumberFormat="1" applyFont="1" applyFill="1" applyAlignment="1">
      <alignment horizontal="right"/>
    </xf>
    <xf numFmtId="166" fontId="16" fillId="0" borderId="0" xfId="0" applyNumberFormat="1" applyFont="1" applyFill="1"/>
    <xf numFmtId="10" fontId="16" fillId="0" borderId="0" xfId="67" applyNumberFormat="1" applyFont="1" applyFill="1" applyAlignment="1">
      <alignment horizontal="right"/>
    </xf>
    <xf numFmtId="9" fontId="16" fillId="0" borderId="0" xfId="67" applyFont="1" applyFill="1" applyAlignment="1">
      <alignment horizontal="right"/>
    </xf>
    <xf numFmtId="10" fontId="16" fillId="0" borderId="0" xfId="67" applyNumberFormat="1" applyFont="1" applyFill="1"/>
    <xf numFmtId="43" fontId="16" fillId="0" borderId="0" xfId="33" applyNumberFormat="1" applyFont="1" applyFill="1"/>
    <xf numFmtId="166" fontId="16" fillId="0" borderId="0" xfId="33" applyNumberFormat="1" applyFont="1" applyFill="1" applyBorder="1"/>
    <xf numFmtId="166" fontId="16" fillId="0" borderId="0" xfId="0" applyNumberFormat="1" applyFont="1" applyFill="1" applyBorder="1"/>
    <xf numFmtId="10" fontId="16" fillId="0" borderId="0" xfId="67" applyNumberFormat="1" applyFont="1" applyFill="1" applyBorder="1"/>
    <xf numFmtId="43" fontId="16" fillId="0" borderId="0" xfId="33" applyNumberFormat="1" applyFont="1" applyFill="1" applyBorder="1"/>
    <xf numFmtId="43" fontId="16" fillId="0" borderId="0" xfId="33" applyFont="1" applyFill="1"/>
    <xf numFmtId="1" fontId="16" fillId="0" borderId="0" xfId="0" applyNumberFormat="1" applyFont="1" applyFill="1"/>
    <xf numFmtId="165" fontId="16" fillId="0" borderId="0" xfId="33" applyNumberFormat="1" applyFont="1" applyFill="1" applyAlignment="1">
      <alignment horizontal="right"/>
    </xf>
    <xf numFmtId="1" fontId="16" fillId="0" borderId="0" xfId="0" applyNumberFormat="1" applyFont="1" applyFill="1" applyBorder="1"/>
    <xf numFmtId="0" fontId="16" fillId="0" borderId="0" xfId="0" applyFont="1" applyFill="1" applyBorder="1"/>
    <xf numFmtId="0" fontId="7" fillId="0" borderId="0" xfId="0" applyFont="1" applyAlignment="1">
      <alignment horizontal="right"/>
    </xf>
    <xf numFmtId="0" fontId="7" fillId="0" borderId="0" xfId="0" applyFont="1" applyAlignment="1">
      <alignment horizontal="center"/>
    </xf>
    <xf numFmtId="0" fontId="3" fillId="0" borderId="0" xfId="0" applyFont="1" applyAlignment="1">
      <alignment horizontal="right"/>
    </xf>
    <xf numFmtId="0" fontId="3" fillId="0" borderId="9" xfId="0" applyFont="1" applyFill="1" applyBorder="1" applyAlignment="1">
      <alignment horizontal="right"/>
    </xf>
    <xf numFmtId="174" fontId="16" fillId="0" borderId="0" xfId="36" applyNumberFormat="1" applyFont="1" applyFill="1"/>
    <xf numFmtId="169" fontId="16" fillId="0" borderId="0" xfId="33" applyNumberFormat="1" applyFont="1" applyFill="1"/>
    <xf numFmtId="166" fontId="0" fillId="0" borderId="0" xfId="33" applyNumberFormat="1" applyFont="1" applyFill="1" applyBorder="1"/>
    <xf numFmtId="168" fontId="4" fillId="0" borderId="0" xfId="0" applyNumberFormat="1" applyFont="1" applyFill="1" applyBorder="1"/>
    <xf numFmtId="168" fontId="12" fillId="0" borderId="10" xfId="0" applyNumberFormat="1" applyFont="1" applyFill="1" applyBorder="1"/>
    <xf numFmtId="0" fontId="16" fillId="0" borderId="0" xfId="0" quotePrefix="1" applyFont="1" applyAlignment="1">
      <alignment horizontal="right"/>
    </xf>
    <xf numFmtId="0" fontId="16" fillId="0" borderId="0" xfId="0" quotePrefix="1" applyFont="1" applyAlignment="1">
      <alignment horizontal="left"/>
    </xf>
    <xf numFmtId="0" fontId="16" fillId="0" borderId="0" xfId="33" applyNumberFormat="1" applyFont="1"/>
    <xf numFmtId="166" fontId="16" fillId="0" borderId="0" xfId="33" applyNumberFormat="1" applyFont="1" applyAlignment="1">
      <alignment wrapText="1"/>
    </xf>
    <xf numFmtId="166" fontId="16" fillId="0" borderId="0" xfId="33" quotePrefix="1" applyNumberFormat="1" applyFont="1" applyAlignment="1">
      <alignment horizontal="left"/>
    </xf>
    <xf numFmtId="43" fontId="0" fillId="0" borderId="0" xfId="33" applyFont="1"/>
    <xf numFmtId="172" fontId="0" fillId="0" borderId="0" xfId="33" applyNumberFormat="1" applyFont="1"/>
    <xf numFmtId="172" fontId="0" fillId="0" borderId="0" xfId="33" applyNumberFormat="1" applyFont="1" applyAlignment="1">
      <alignment horizontal="right"/>
    </xf>
    <xf numFmtId="0" fontId="0" fillId="0" borderId="0" xfId="0" applyAlignment="1">
      <alignment horizontal="right"/>
    </xf>
    <xf numFmtId="164" fontId="0" fillId="0" borderId="0" xfId="36" applyNumberFormat="1" applyFont="1"/>
    <xf numFmtId="10" fontId="0" fillId="0" borderId="0" xfId="67" applyNumberFormat="1" applyFont="1"/>
    <xf numFmtId="10" fontId="0" fillId="0" borderId="0" xfId="67" applyNumberFormat="1" applyFont="1" applyBorder="1"/>
    <xf numFmtId="0" fontId="10" fillId="0" borderId="10" xfId="0" applyFont="1" applyBorder="1"/>
    <xf numFmtId="166" fontId="0" fillId="0" borderId="10" xfId="33" applyNumberFormat="1" applyFont="1" applyBorder="1"/>
    <xf numFmtId="10" fontId="0" fillId="0" borderId="10" xfId="67" applyNumberFormat="1" applyFont="1" applyBorder="1"/>
    <xf numFmtId="0" fontId="15" fillId="0" borderId="0" xfId="0" applyFont="1" applyBorder="1"/>
    <xf numFmtId="0" fontId="20" fillId="0" borderId="0" xfId="0" applyFont="1" applyBorder="1" applyAlignment="1">
      <alignment horizontal="center"/>
    </xf>
    <xf numFmtId="0" fontId="20" fillId="0" borderId="0" xfId="0" applyFont="1" applyBorder="1"/>
    <xf numFmtId="164" fontId="4" fillId="0" borderId="0" xfId="0" applyNumberFormat="1" applyFont="1" applyFill="1" applyBorder="1"/>
    <xf numFmtId="166" fontId="4" fillId="0" borderId="0" xfId="0" applyNumberFormat="1" applyFont="1" applyFill="1" applyBorder="1"/>
    <xf numFmtId="10" fontId="4" fillId="0" borderId="0" xfId="67" applyNumberFormat="1" applyFont="1" applyFill="1"/>
    <xf numFmtId="0" fontId="55" fillId="0" borderId="0" xfId="0" applyFont="1" applyFill="1"/>
    <xf numFmtId="0" fontId="7" fillId="0" borderId="0" xfId="0" applyFont="1" applyFill="1" applyAlignment="1">
      <alignment wrapText="1"/>
    </xf>
    <xf numFmtId="0" fontId="7" fillId="0" borderId="0" xfId="0" applyFont="1" applyFill="1" applyAlignment="1">
      <alignment horizontal="right" wrapText="1"/>
    </xf>
    <xf numFmtId="0" fontId="7" fillId="0" borderId="0" xfId="0" applyFont="1" applyFill="1" applyAlignment="1">
      <alignment horizontal="left" wrapText="1"/>
    </xf>
    <xf numFmtId="0" fontId="7" fillId="0" borderId="0" xfId="0" applyFont="1" applyFill="1" applyAlignment="1">
      <alignment horizontal="center" wrapText="1"/>
    </xf>
    <xf numFmtId="0" fontId="4" fillId="0" borderId="0" xfId="0" applyFont="1" applyFill="1" applyAlignment="1">
      <alignment wrapText="1"/>
    </xf>
    <xf numFmtId="44" fontId="4" fillId="0" borderId="0" xfId="0" applyNumberFormat="1" applyFont="1" applyFill="1"/>
    <xf numFmtId="183" fontId="4" fillId="0" borderId="0" xfId="67" applyNumberFormat="1" applyFont="1" applyFill="1"/>
    <xf numFmtId="0" fontId="4" fillId="0" borderId="0" xfId="0" quotePrefix="1" applyFont="1" applyFill="1" applyAlignment="1">
      <alignment horizontal="left"/>
    </xf>
    <xf numFmtId="0" fontId="4" fillId="0" borderId="0" xfId="0" applyFont="1" applyFill="1" applyAlignment="1">
      <alignment horizontal="left"/>
    </xf>
    <xf numFmtId="0" fontId="4" fillId="0" borderId="0" xfId="0" applyFont="1" applyFill="1" applyBorder="1" applyAlignment="1">
      <alignment horizontal="center"/>
    </xf>
    <xf numFmtId="170" fontId="4" fillId="0" borderId="0" xfId="33" applyNumberFormat="1" applyFont="1" applyFill="1"/>
    <xf numFmtId="43" fontId="4" fillId="0" borderId="0" xfId="0" applyNumberFormat="1" applyFont="1" applyFill="1" applyAlignment="1">
      <alignment horizontal="right"/>
    </xf>
    <xf numFmtId="167" fontId="4" fillId="0" borderId="0" xfId="0" applyNumberFormat="1" applyFont="1" applyFill="1"/>
    <xf numFmtId="164" fontId="4" fillId="0" borderId="10" xfId="0" applyNumberFormat="1" applyFont="1" applyFill="1" applyBorder="1"/>
    <xf numFmtId="164" fontId="4" fillId="0" borderId="10" xfId="36" applyNumberFormat="1" applyFont="1" applyFill="1" applyBorder="1"/>
    <xf numFmtId="0" fontId="4" fillId="0" borderId="0" xfId="0" applyFont="1" applyFill="1" applyAlignment="1">
      <alignment horizontal="right"/>
    </xf>
    <xf numFmtId="164" fontId="4" fillId="0" borderId="0" xfId="0" applyNumberFormat="1" applyFont="1" applyFill="1" applyAlignment="1">
      <alignment horizontal="right"/>
    </xf>
    <xf numFmtId="175" fontId="4" fillId="0" borderId="0" xfId="0" applyNumberFormat="1" applyFont="1" applyFill="1"/>
    <xf numFmtId="44" fontId="4" fillId="0" borderId="0" xfId="36" applyFont="1" applyFill="1"/>
    <xf numFmtId="164" fontId="4" fillId="0" borderId="0" xfId="0" applyNumberFormat="1" applyFont="1" applyFill="1" applyAlignment="1">
      <alignment horizontal="center"/>
    </xf>
    <xf numFmtId="177" fontId="4" fillId="0" borderId="0" xfId="67" applyNumberFormat="1" applyFont="1" applyFill="1"/>
    <xf numFmtId="177" fontId="4" fillId="0" borderId="0" xfId="0" applyNumberFormat="1" applyFont="1" applyFill="1"/>
    <xf numFmtId="166" fontId="4" fillId="0" borderId="0" xfId="33" quotePrefix="1" applyNumberFormat="1" applyFont="1" applyFill="1"/>
    <xf numFmtId="43" fontId="4" fillId="0" borderId="0" xfId="33" applyNumberFormat="1" applyFont="1" applyFill="1"/>
    <xf numFmtId="43" fontId="4" fillId="0" borderId="0" xfId="0" applyNumberFormat="1" applyFont="1" applyFill="1" applyAlignment="1">
      <alignment horizontal="center"/>
    </xf>
    <xf numFmtId="166" fontId="4" fillId="0" borderId="0" xfId="0" applyNumberFormat="1" applyFont="1" applyFill="1" applyAlignment="1">
      <alignment horizontal="center"/>
    </xf>
    <xf numFmtId="176" fontId="4" fillId="0" borderId="0" xfId="0" applyNumberFormat="1" applyFont="1" applyFill="1"/>
    <xf numFmtId="0" fontId="7" fillId="0" borderId="9" xfId="0" quotePrefix="1" applyFont="1" applyFill="1" applyBorder="1" applyAlignment="1">
      <alignment horizontal="center"/>
    </xf>
    <xf numFmtId="0" fontId="20" fillId="0" borderId="14" xfId="0" applyFont="1" applyBorder="1"/>
    <xf numFmtId="0" fontId="20" fillId="0" borderId="15" xfId="0" applyFont="1" applyBorder="1"/>
    <xf numFmtId="0" fontId="20" fillId="0" borderId="16" xfId="0" applyFont="1" applyBorder="1"/>
    <xf numFmtId="0" fontId="20" fillId="0" borderId="11" xfId="0" applyFont="1" applyBorder="1" applyAlignment="1">
      <alignment horizontal="center"/>
    </xf>
    <xf numFmtId="0" fontId="15" fillId="0" borderId="16" xfId="0" applyFont="1" applyBorder="1"/>
    <xf numFmtId="0" fontId="20" fillId="0" borderId="17" xfId="0" applyFont="1" applyBorder="1"/>
    <xf numFmtId="0" fontId="20" fillId="0" borderId="18" xfId="0" applyFont="1" applyBorder="1"/>
    <xf numFmtId="0" fontId="20" fillId="0" borderId="19" xfId="0" applyFont="1" applyBorder="1"/>
    <xf numFmtId="0" fontId="15" fillId="0" borderId="19" xfId="0" applyFont="1" applyBorder="1"/>
    <xf numFmtId="0" fontId="20" fillId="0" borderId="20" xfId="0" applyFont="1" applyBorder="1"/>
    <xf numFmtId="0" fontId="20" fillId="0" borderId="21" xfId="0" applyFont="1" applyBorder="1"/>
    <xf numFmtId="0" fontId="20" fillId="0" borderId="22" xfId="0" applyFont="1" applyBorder="1" applyAlignment="1">
      <alignment horizontal="center"/>
    </xf>
    <xf numFmtId="0" fontId="20" fillId="0" borderId="22" xfId="0" applyFont="1" applyFill="1" applyBorder="1" applyAlignment="1">
      <alignment horizontal="center"/>
    </xf>
    <xf numFmtId="0" fontId="15" fillId="0" borderId="14" xfId="0" applyFont="1" applyBorder="1"/>
    <xf numFmtId="0" fontId="15" fillId="0" borderId="15" xfId="0" applyFont="1" applyBorder="1"/>
    <xf numFmtId="0" fontId="15" fillId="0" borderId="16" xfId="0" applyFont="1" applyBorder="1" applyAlignment="1">
      <alignment horizontal="center"/>
    </xf>
    <xf numFmtId="0" fontId="15" fillId="0" borderId="14" xfId="0" applyFont="1" applyBorder="1" applyAlignment="1">
      <alignment horizontal="center"/>
    </xf>
    <xf numFmtId="0" fontId="15" fillId="0" borderId="23" xfId="0" applyFont="1" applyBorder="1"/>
    <xf numFmtId="0" fontId="15" fillId="0" borderId="18" xfId="0" applyFont="1" applyBorder="1"/>
    <xf numFmtId="0" fontId="15" fillId="0" borderId="19" xfId="0" applyFont="1" applyBorder="1" applyAlignment="1">
      <alignment horizontal="center"/>
    </xf>
    <xf numFmtId="164" fontId="15" fillId="0" borderId="17" xfId="36" applyNumberFormat="1" applyFont="1" applyBorder="1"/>
    <xf numFmtId="164" fontId="15" fillId="0" borderId="17" xfId="36" applyNumberFormat="1" applyFont="1" applyBorder="1" applyAlignment="1">
      <alignment horizontal="center"/>
    </xf>
    <xf numFmtId="164" fontId="15" fillId="0" borderId="0" xfId="36" applyNumberFormat="1" applyFont="1" applyBorder="1" applyAlignment="1">
      <alignment horizontal="center"/>
    </xf>
    <xf numFmtId="164" fontId="15" fillId="0" borderId="19" xfId="0" applyNumberFormat="1" applyFont="1" applyBorder="1" applyAlignment="1">
      <alignment horizontal="center"/>
    </xf>
    <xf numFmtId="0" fontId="15" fillId="0" borderId="19" xfId="0" applyFont="1" applyFill="1" applyBorder="1" applyAlignment="1">
      <alignment horizontal="center"/>
    </xf>
    <xf numFmtId="166" fontId="15" fillId="0" borderId="17" xfId="33" applyNumberFormat="1" applyFont="1" applyFill="1" applyBorder="1"/>
    <xf numFmtId="166" fontId="15" fillId="0" borderId="0" xfId="33" applyNumberFormat="1" applyFont="1" applyFill="1" applyBorder="1"/>
    <xf numFmtId="164" fontId="15" fillId="0" borderId="17" xfId="0" applyNumberFormat="1" applyFont="1" applyBorder="1" applyAlignment="1">
      <alignment horizontal="center"/>
    </xf>
    <xf numFmtId="164" fontId="15" fillId="0" borderId="0" xfId="0" applyNumberFormat="1" applyFont="1" applyBorder="1" applyAlignment="1">
      <alignment horizontal="center"/>
    </xf>
    <xf numFmtId="0" fontId="15" fillId="0" borderId="17" xfId="0" applyFont="1" applyBorder="1" applyAlignment="1">
      <alignment horizontal="center"/>
    </xf>
    <xf numFmtId="0" fontId="15" fillId="0" borderId="17" xfId="0" applyFont="1" applyBorder="1"/>
    <xf numFmtId="164" fontId="15" fillId="0" borderId="19" xfId="36" applyNumberFormat="1" applyFont="1" applyBorder="1"/>
    <xf numFmtId="10" fontId="15" fillId="0" borderId="17" xfId="67" applyNumberFormat="1" applyFont="1" applyBorder="1" applyAlignment="1">
      <alignment horizontal="right"/>
    </xf>
    <xf numFmtId="10" fontId="15" fillId="0" borderId="0" xfId="67" applyNumberFormat="1" applyFont="1" applyBorder="1" applyAlignment="1">
      <alignment horizontal="right"/>
    </xf>
    <xf numFmtId="164" fontId="15" fillId="0" borderId="19" xfId="36" applyNumberFormat="1" applyFont="1" applyBorder="1" applyAlignment="1">
      <alignment horizontal="center"/>
    </xf>
    <xf numFmtId="44" fontId="15" fillId="0" borderId="17" xfId="36" applyFont="1" applyBorder="1" applyAlignment="1">
      <alignment horizontal="center"/>
    </xf>
    <xf numFmtId="166" fontId="15" fillId="0" borderId="0" xfId="0" applyNumberFormat="1" applyFont="1" applyFill="1"/>
    <xf numFmtId="166" fontId="15" fillId="0" borderId="17" xfId="0" applyNumberFormat="1" applyFont="1" applyBorder="1" applyAlignment="1">
      <alignment horizontal="center"/>
    </xf>
    <xf numFmtId="166" fontId="15" fillId="0" borderId="17" xfId="33" applyNumberFormat="1" applyFont="1" applyBorder="1"/>
    <xf numFmtId="166" fontId="15" fillId="0" borderId="0" xfId="33" applyNumberFormat="1" applyFont="1" applyBorder="1"/>
    <xf numFmtId="0" fontId="15" fillId="0" borderId="21" xfId="0" applyFont="1" applyBorder="1"/>
    <xf numFmtId="0" fontId="15" fillId="0" borderId="22" xfId="0" applyFont="1" applyBorder="1" applyAlignment="1">
      <alignment horizontal="center"/>
    </xf>
    <xf numFmtId="0" fontId="15" fillId="0" borderId="20" xfId="0" applyFont="1" applyBorder="1" applyAlignment="1">
      <alignment horizontal="center"/>
    </xf>
    <xf numFmtId="0" fontId="15" fillId="0" borderId="20" xfId="0" applyFont="1" applyBorder="1"/>
    <xf numFmtId="0" fontId="15" fillId="0" borderId="9" xfId="0" applyFont="1" applyBorder="1"/>
    <xf numFmtId="44" fontId="15" fillId="0" borderId="9" xfId="36" applyFont="1" applyBorder="1"/>
    <xf numFmtId="44" fontId="15" fillId="0" borderId="11" xfId="36" applyFont="1" applyBorder="1"/>
    <xf numFmtId="164" fontId="15" fillId="0" borderId="22" xfId="36" applyNumberFormat="1" applyFont="1" applyBorder="1"/>
    <xf numFmtId="164" fontId="15" fillId="0" borderId="0" xfId="0" applyNumberFormat="1" applyFont="1"/>
    <xf numFmtId="0" fontId="7" fillId="0" borderId="0" xfId="0" quotePrefix="1" applyFont="1" applyFill="1" applyAlignment="1">
      <alignment horizontal="center" wrapText="1"/>
    </xf>
    <xf numFmtId="0" fontId="7" fillId="0" borderId="0" xfId="0" applyFont="1" applyBorder="1" applyAlignment="1">
      <alignment horizontal="right"/>
    </xf>
    <xf numFmtId="15" fontId="7" fillId="0" borderId="9" xfId="0" applyNumberFormat="1" applyFont="1" applyBorder="1" applyAlignment="1">
      <alignment horizontal="right"/>
    </xf>
    <xf numFmtId="10" fontId="0" fillId="0" borderId="0" xfId="67" applyNumberFormat="1" applyFont="1" applyFill="1" applyBorder="1"/>
    <xf numFmtId="43" fontId="15" fillId="0" borderId="0" xfId="33" applyFont="1"/>
    <xf numFmtId="164" fontId="0" fillId="0" borderId="0" xfId="36" applyNumberFormat="1" applyFont="1" applyFill="1"/>
    <xf numFmtId="37" fontId="12" fillId="0" borderId="0" xfId="0" applyNumberFormat="1" applyFont="1" applyFill="1"/>
    <xf numFmtId="2" fontId="15" fillId="0" borderId="17" xfId="0" quotePrefix="1" applyNumberFormat="1" applyFont="1" applyBorder="1"/>
    <xf numFmtId="2" fontId="15" fillId="0" borderId="17" xfId="0" applyNumberFormat="1" applyFont="1" applyBorder="1"/>
    <xf numFmtId="2" fontId="15" fillId="0" borderId="17" xfId="0" quotePrefix="1" applyNumberFormat="1" applyFont="1" applyFill="1" applyBorder="1"/>
    <xf numFmtId="2" fontId="15" fillId="0" borderId="20" xfId="0" quotePrefix="1" applyNumberFormat="1" applyFont="1" applyBorder="1"/>
    <xf numFmtId="168" fontId="4" fillId="20" borderId="0" xfId="33" applyNumberFormat="1" applyFont="1" applyFill="1"/>
    <xf numFmtId="0" fontId="4" fillId="0" borderId="0" xfId="0" applyFont="1" applyFill="1" applyBorder="1" applyAlignment="1"/>
    <xf numFmtId="0" fontId="3" fillId="0" borderId="0" xfId="0" applyFont="1" applyFill="1"/>
    <xf numFmtId="172" fontId="15" fillId="0" borderId="0" xfId="33" applyNumberFormat="1" applyFont="1"/>
    <xf numFmtId="166" fontId="15" fillId="0" borderId="0" xfId="33" applyNumberFormat="1" applyFont="1"/>
    <xf numFmtId="2" fontId="15" fillId="0" borderId="0" xfId="0" applyNumberFormat="1" applyFont="1"/>
    <xf numFmtId="171" fontId="15" fillId="0" borderId="0" xfId="0" applyNumberFormat="1" applyFont="1" applyBorder="1"/>
    <xf numFmtId="0" fontId="15" fillId="0" borderId="0" xfId="0" applyFont="1" applyFill="1" applyBorder="1"/>
    <xf numFmtId="44" fontId="15" fillId="0" borderId="0" xfId="36" applyFont="1" applyBorder="1"/>
    <xf numFmtId="164" fontId="15" fillId="0" borderId="0" xfId="36" applyNumberFormat="1" applyFont="1" applyBorder="1"/>
    <xf numFmtId="185" fontId="15" fillId="0" borderId="0" xfId="0" applyNumberFormat="1" applyFont="1"/>
    <xf numFmtId="171" fontId="15" fillId="0" borderId="0" xfId="0" applyNumberFormat="1" applyFont="1"/>
    <xf numFmtId="164" fontId="4" fillId="0" borderId="0" xfId="67" applyNumberFormat="1" applyFont="1" applyFill="1" applyBorder="1"/>
    <xf numFmtId="0" fontId="20" fillId="0" borderId="0" xfId="0" applyFont="1" applyBorder="1" applyAlignment="1">
      <alignment horizontal="center"/>
    </xf>
    <xf numFmtId="171" fontId="0" fillId="0" borderId="0" xfId="33" applyNumberFormat="1" applyFont="1"/>
    <xf numFmtId="0" fontId="15" fillId="0" borderId="0" xfId="0" applyFont="1" applyBorder="1" applyAlignment="1">
      <alignment horizontal="center"/>
    </xf>
    <xf numFmtId="44" fontId="15" fillId="0" borderId="17" xfId="0" applyNumberFormat="1" applyFont="1" applyBorder="1" applyAlignment="1">
      <alignment horizontal="center"/>
    </xf>
    <xf numFmtId="44" fontId="15" fillId="0" borderId="0" xfId="0" applyNumberFormat="1" applyFont="1" applyBorder="1" applyAlignment="1">
      <alignment horizontal="center"/>
    </xf>
    <xf numFmtId="0" fontId="12" fillId="0" borderId="0" xfId="0" applyFont="1" applyFill="1" applyBorder="1" applyAlignment="1">
      <alignment horizontal="center"/>
    </xf>
    <xf numFmtId="0" fontId="7" fillId="0" borderId="13" xfId="0" applyFont="1" applyFill="1" applyBorder="1" applyAlignment="1"/>
    <xf numFmtId="0" fontId="7" fillId="0" borderId="24" xfId="0" applyFont="1" applyFill="1" applyBorder="1" applyAlignment="1"/>
    <xf numFmtId="0" fontId="7" fillId="0" borderId="11" xfId="0" applyFont="1" applyFill="1" applyBorder="1" applyAlignment="1">
      <alignment horizontal="right"/>
    </xf>
    <xf numFmtId="0" fontId="12" fillId="0" borderId="0" xfId="0" applyFont="1" applyFill="1" applyAlignment="1" applyProtection="1">
      <alignment horizontal="left"/>
    </xf>
    <xf numFmtId="0" fontId="60" fillId="0" borderId="0" xfId="0" applyFont="1" applyFill="1" applyProtection="1">
      <protection locked="0"/>
    </xf>
    <xf numFmtId="0" fontId="12" fillId="0" borderId="0" xfId="0" applyNumberFormat="1" applyFont="1" applyFill="1"/>
    <xf numFmtId="0" fontId="12" fillId="0" borderId="0" xfId="0" applyFont="1" applyFill="1" applyProtection="1"/>
    <xf numFmtId="0" fontId="60" fillId="0" borderId="0" xfId="0" applyFont="1" applyProtection="1">
      <protection locked="0"/>
    </xf>
    <xf numFmtId="0" fontId="12" fillId="0" borderId="0" xfId="0" applyFont="1" applyProtection="1"/>
    <xf numFmtId="37" fontId="12" fillId="0" borderId="0" xfId="0" applyNumberFormat="1" applyFont="1" applyProtection="1"/>
    <xf numFmtId="0" fontId="12" fillId="0" borderId="0" xfId="0" applyFont="1" applyProtection="1">
      <protection locked="0"/>
    </xf>
    <xf numFmtId="0" fontId="12" fillId="0" borderId="0" xfId="0" quotePrefix="1" applyFont="1" applyFill="1" applyAlignment="1" applyProtection="1">
      <alignment horizontal="left"/>
    </xf>
    <xf numFmtId="0" fontId="12" fillId="0" borderId="0" xfId="0" quotePrefix="1" applyFont="1" applyFill="1" applyAlignment="1">
      <alignment horizontal="left"/>
    </xf>
    <xf numFmtId="0" fontId="12" fillId="0" borderId="0" xfId="0" quotePrefix="1" applyFont="1" applyFill="1"/>
    <xf numFmtId="0" fontId="12" fillId="0" borderId="0" xfId="0" applyFont="1" applyFill="1" applyAlignment="1" applyProtection="1">
      <alignment horizontal="fill"/>
    </xf>
    <xf numFmtId="0" fontId="12" fillId="0" borderId="0" xfId="0" applyFont="1" applyFill="1" applyProtection="1">
      <protection locked="0"/>
    </xf>
    <xf numFmtId="37" fontId="12" fillId="0" borderId="0" xfId="0" applyNumberFormat="1" applyFont="1" applyFill="1" applyProtection="1"/>
    <xf numFmtId="182" fontId="12" fillId="0" borderId="0" xfId="0" applyNumberFormat="1" applyFont="1" applyProtection="1"/>
    <xf numFmtId="10" fontId="12" fillId="0" borderId="0" xfId="0" applyNumberFormat="1" applyFont="1" applyProtection="1"/>
    <xf numFmtId="192" fontId="12" fillId="0" borderId="0" xfId="0" applyNumberFormat="1" applyFont="1" applyProtection="1"/>
    <xf numFmtId="0" fontId="12" fillId="0" borderId="0" xfId="0" applyFont="1" applyFill="1" applyAlignment="1" applyProtection="1">
      <alignment horizontal="left"/>
      <protection locked="0"/>
    </xf>
    <xf numFmtId="0" fontId="62" fillId="0" borderId="0" xfId="0" applyFont="1"/>
    <xf numFmtId="0" fontId="12" fillId="0" borderId="0" xfId="0" applyFont="1" applyFill="1" applyAlignment="1" applyProtection="1">
      <alignment horizontal="center"/>
      <protection locked="0"/>
    </xf>
    <xf numFmtId="0" fontId="12" fillId="0" borderId="25" xfId="0" applyFont="1" applyFill="1" applyBorder="1" applyAlignment="1" applyProtection="1">
      <alignment horizontal="center"/>
      <protection locked="0"/>
    </xf>
    <xf numFmtId="0" fontId="12" fillId="0" borderId="0" xfId="0" applyFont="1" applyFill="1" applyAlignment="1">
      <alignment horizontal="right"/>
    </xf>
    <xf numFmtId="0" fontId="12" fillId="0" borderId="25" xfId="0" applyFont="1" applyFill="1" applyBorder="1" applyAlignment="1">
      <alignment horizontal="center"/>
    </xf>
    <xf numFmtId="43" fontId="12" fillId="0" borderId="0" xfId="33" applyFont="1" applyFill="1" applyProtection="1">
      <protection locked="0"/>
    </xf>
    <xf numFmtId="39" fontId="12" fillId="0" borderId="0" xfId="0" applyNumberFormat="1" applyFont="1" applyFill="1" applyProtection="1">
      <protection locked="0"/>
    </xf>
    <xf numFmtId="191" fontId="12" fillId="0" borderId="0" xfId="0" applyNumberFormat="1" applyFont="1" applyFill="1"/>
    <xf numFmtId="39" fontId="12" fillId="0" borderId="0" xfId="0" applyNumberFormat="1" applyFont="1" applyFill="1"/>
    <xf numFmtId="177" fontId="12" fillId="0" borderId="0" xfId="67" applyNumberFormat="1" applyFont="1" applyFill="1" applyAlignment="1">
      <alignment horizontal="center"/>
    </xf>
    <xf numFmtId="0" fontId="12" fillId="0" borderId="0" xfId="0" applyNumberFormat="1" applyFont="1" applyFill="1" applyAlignment="1">
      <alignment horizontal="left"/>
    </xf>
    <xf numFmtId="37" fontId="12" fillId="0" borderId="0" xfId="0" applyNumberFormat="1" applyFont="1" applyFill="1" applyAlignment="1">
      <alignment horizontal="center"/>
    </xf>
    <xf numFmtId="186" fontId="12" fillId="0" borderId="0" xfId="0" quotePrefix="1" applyNumberFormat="1" applyFont="1" applyFill="1" applyAlignment="1" applyProtection="1">
      <alignment horizontal="left"/>
      <protection locked="0"/>
    </xf>
    <xf numFmtId="0" fontId="63" fillId="0" borderId="0" xfId="0" quotePrefix="1" applyFont="1" applyFill="1" applyAlignment="1">
      <alignment horizontal="left"/>
    </xf>
    <xf numFmtId="194" fontId="12" fillId="0" borderId="0" xfId="0" applyNumberFormat="1" applyFont="1" applyFill="1"/>
    <xf numFmtId="2" fontId="12" fillId="0" borderId="0" xfId="33" applyNumberFormat="1" applyFont="1" applyFill="1"/>
    <xf numFmtId="0" fontId="12" fillId="0" borderId="0" xfId="0" applyFont="1" applyFill="1" applyBorder="1" applyAlignment="1" applyProtection="1">
      <alignment horizontal="center"/>
      <protection locked="0"/>
    </xf>
    <xf numFmtId="9" fontId="12" fillId="0" borderId="0" xfId="92" applyFont="1" applyFill="1"/>
    <xf numFmtId="0" fontId="12" fillId="0" borderId="0" xfId="0" applyFont="1" applyFill="1" applyAlignment="1" applyProtection="1">
      <alignment horizontal="right"/>
    </xf>
    <xf numFmtId="0" fontId="12" fillId="0" borderId="0" xfId="0" applyFont="1" applyFill="1" applyAlignment="1" applyProtection="1">
      <alignment horizontal="right"/>
      <protection locked="0"/>
    </xf>
    <xf numFmtId="184" fontId="12" fillId="0" borderId="0" xfId="67" applyNumberFormat="1" applyFont="1" applyFill="1"/>
    <xf numFmtId="10" fontId="12" fillId="0" borderId="0" xfId="67" applyNumberFormat="1" applyFont="1" applyFill="1"/>
    <xf numFmtId="166" fontId="12" fillId="0" borderId="0" xfId="33" applyNumberFormat="1" applyFont="1" applyProtection="1"/>
    <xf numFmtId="39" fontId="12" fillId="0" borderId="0" xfId="0" applyNumberFormat="1" applyFont="1" applyFill="1" applyAlignment="1">
      <alignment horizontal="center"/>
    </xf>
    <xf numFmtId="0" fontId="12" fillId="0" borderId="0" xfId="0" quotePrefix="1" applyFont="1" applyFill="1" applyAlignment="1">
      <alignment horizontal="right"/>
    </xf>
    <xf numFmtId="0" fontId="13" fillId="0" borderId="0" xfId="0" applyFont="1" applyFill="1" applyAlignment="1" applyProtection="1">
      <alignment horizontal="center"/>
      <protection locked="0"/>
    </xf>
    <xf numFmtId="39" fontId="13" fillId="0" borderId="25" xfId="0" applyNumberFormat="1" applyFont="1" applyFill="1" applyBorder="1" applyAlignment="1">
      <alignment horizontal="center"/>
    </xf>
    <xf numFmtId="10" fontId="12" fillId="0" borderId="0" xfId="0" applyNumberFormat="1" applyFont="1" applyProtection="1">
      <protection locked="0"/>
    </xf>
    <xf numFmtId="193" fontId="12" fillId="0" borderId="0" xfId="0" applyNumberFormat="1" applyFont="1" applyFill="1"/>
    <xf numFmtId="0" fontId="12" fillId="0" borderId="0" xfId="0" quotePrefix="1" applyFont="1" applyFill="1" applyAlignment="1" applyProtection="1">
      <alignment horizontal="left"/>
      <protection locked="0"/>
    </xf>
    <xf numFmtId="39" fontId="12" fillId="0" borderId="11" xfId="0" applyNumberFormat="1" applyFont="1" applyFill="1" applyBorder="1" applyAlignment="1">
      <alignment horizontal="center"/>
    </xf>
    <xf numFmtId="177" fontId="12" fillId="0" borderId="0" xfId="67" applyNumberFormat="1" applyFont="1" applyFill="1"/>
    <xf numFmtId="0" fontId="12" fillId="0" borderId="0" xfId="0" applyFont="1" applyFill="1" applyAlignment="1">
      <alignment horizontal="left"/>
    </xf>
    <xf numFmtId="165" fontId="12" fillId="0" borderId="0" xfId="33" applyNumberFormat="1" applyFont="1" applyFill="1" applyProtection="1">
      <protection locked="0"/>
    </xf>
    <xf numFmtId="37" fontId="12" fillId="0" borderId="0" xfId="0" applyNumberFormat="1" applyFont="1" applyFill="1" applyAlignment="1" applyProtection="1">
      <alignment horizontal="center"/>
      <protection locked="0"/>
    </xf>
    <xf numFmtId="0" fontId="12" fillId="0" borderId="0" xfId="0" quotePrefix="1" applyFont="1" applyFill="1" applyAlignment="1" applyProtection="1">
      <alignment horizontal="center"/>
      <protection locked="0"/>
    </xf>
    <xf numFmtId="193" fontId="12" fillId="0" borderId="0" xfId="0" applyNumberFormat="1" applyFont="1" applyFill="1" applyProtection="1">
      <protection locked="0"/>
    </xf>
    <xf numFmtId="0" fontId="12" fillId="0" borderId="0" xfId="0" quotePrefix="1" applyFont="1" applyFill="1" applyBorder="1" applyAlignment="1">
      <alignment horizontal="left"/>
    </xf>
    <xf numFmtId="0" fontId="12" fillId="0" borderId="0" xfId="0" applyFont="1" applyFill="1" applyBorder="1" applyProtection="1">
      <protection locked="0"/>
    </xf>
    <xf numFmtId="190" fontId="12" fillId="0" borderId="0" xfId="67" applyNumberFormat="1" applyFont="1" applyFill="1"/>
    <xf numFmtId="187" fontId="12" fillId="0" borderId="0" xfId="0" applyNumberFormat="1" applyFont="1" applyFill="1" applyProtection="1">
      <protection locked="0"/>
    </xf>
    <xf numFmtId="187" fontId="12" fillId="0" borderId="0" xfId="0" applyNumberFormat="1" applyFont="1" applyFill="1" applyAlignment="1" applyProtection="1">
      <alignment horizontal="left"/>
    </xf>
    <xf numFmtId="187" fontId="12" fillId="0" borderId="0" xfId="0" applyNumberFormat="1" applyFont="1" applyFill="1" applyProtection="1"/>
    <xf numFmtId="187" fontId="12" fillId="0" borderId="0" xfId="0" applyNumberFormat="1" applyFont="1" applyFill="1" applyAlignment="1" applyProtection="1">
      <alignment horizontal="left"/>
      <protection locked="0"/>
    </xf>
    <xf numFmtId="0" fontId="12" fillId="0" borderId="0" xfId="0" applyFont="1" applyFill="1" applyAlignment="1" applyProtection="1">
      <alignment horizontal="center"/>
    </xf>
    <xf numFmtId="166" fontId="12" fillId="0" borderId="0" xfId="33" applyNumberFormat="1" applyFont="1" applyFill="1" applyProtection="1"/>
    <xf numFmtId="0" fontId="13" fillId="0" borderId="10" xfId="0" applyFont="1" applyFill="1" applyBorder="1"/>
    <xf numFmtId="0" fontId="13" fillId="0" borderId="26" xfId="0" applyFont="1" applyFill="1" applyBorder="1"/>
    <xf numFmtId="166" fontId="60" fillId="21" borderId="0" xfId="33" applyNumberFormat="1" applyFont="1" applyFill="1" applyProtection="1">
      <protection locked="0"/>
    </xf>
    <xf numFmtId="166" fontId="60" fillId="0" borderId="0" xfId="33" applyNumberFormat="1" applyFont="1" applyFill="1" applyProtection="1">
      <protection locked="0"/>
    </xf>
    <xf numFmtId="166" fontId="12" fillId="0" borderId="0" xfId="33" applyNumberFormat="1" applyFont="1" applyProtection="1">
      <protection locked="0"/>
    </xf>
    <xf numFmtId="166" fontId="61" fillId="0" borderId="0" xfId="33" applyNumberFormat="1" applyFont="1" applyFill="1" applyProtection="1">
      <protection locked="0"/>
    </xf>
    <xf numFmtId="166" fontId="12" fillId="0" borderId="0" xfId="33" applyNumberFormat="1" applyFont="1" applyFill="1" applyProtection="1">
      <protection locked="0"/>
    </xf>
    <xf numFmtId="166" fontId="60" fillId="0" borderId="0" xfId="33" applyNumberFormat="1" applyFont="1" applyProtection="1">
      <protection locked="0"/>
    </xf>
    <xf numFmtId="166" fontId="61" fillId="0" borderId="0" xfId="33" applyNumberFormat="1" applyFont="1" applyFill="1"/>
    <xf numFmtId="166" fontId="60" fillId="0" borderId="0" xfId="33" applyNumberFormat="1" applyFont="1" applyFill="1" applyProtection="1"/>
    <xf numFmtId="166" fontId="60" fillId="0" borderId="0" xfId="33" applyNumberFormat="1" applyFont="1" applyFill="1"/>
    <xf numFmtId="166" fontId="61" fillId="0" borderId="0" xfId="33" applyNumberFormat="1" applyFont="1" applyFill="1" applyProtection="1"/>
    <xf numFmtId="166" fontId="60" fillId="21" borderId="0" xfId="33" applyNumberFormat="1" applyFont="1" applyFill="1" applyProtection="1"/>
    <xf numFmtId="166" fontId="12" fillId="0" borderId="0" xfId="33" applyNumberFormat="1" applyFont="1" applyFill="1" applyAlignment="1">
      <alignment horizontal="center"/>
    </xf>
    <xf numFmtId="168" fontId="54" fillId="0" borderId="0" xfId="33" applyNumberFormat="1" applyFont="1" applyFill="1"/>
    <xf numFmtId="0" fontId="59" fillId="0" borderId="0" xfId="0" applyFont="1" applyFill="1" applyAlignment="1">
      <alignment horizontal="right"/>
    </xf>
    <xf numFmtId="0" fontId="3" fillId="0" borderId="0" xfId="0" applyFont="1" applyFill="1" applyBorder="1"/>
    <xf numFmtId="10" fontId="3" fillId="0" borderId="0" xfId="67" applyNumberFormat="1" applyFont="1" applyFill="1" applyBorder="1"/>
    <xf numFmtId="0" fontId="3" fillId="0" borderId="0" xfId="0" applyFont="1"/>
    <xf numFmtId="0" fontId="3" fillId="0" borderId="12" xfId="0" applyFont="1" applyFill="1" applyBorder="1"/>
    <xf numFmtId="0" fontId="3" fillId="0" borderId="13" xfId="0" applyFont="1" applyFill="1" applyBorder="1"/>
    <xf numFmtId="10" fontId="3" fillId="0" borderId="11" xfId="67" applyNumberFormat="1" applyFont="1" applyFill="1" applyBorder="1"/>
    <xf numFmtId="0" fontId="3" fillId="0" borderId="0" xfId="0" applyFont="1" applyFill="1" applyAlignment="1">
      <alignment horizontal="left"/>
    </xf>
    <xf numFmtId="0" fontId="59" fillId="0" borderId="0" xfId="0" applyFont="1" applyFill="1" applyBorder="1" applyAlignment="1">
      <alignment horizontal="right"/>
    </xf>
    <xf numFmtId="0" fontId="59" fillId="0" borderId="10" xfId="0" applyFont="1" applyFill="1" applyBorder="1" applyAlignment="1">
      <alignment horizontal="right"/>
    </xf>
    <xf numFmtId="0" fontId="16" fillId="0" borderId="9" xfId="0" applyFont="1" applyFill="1" applyBorder="1" applyAlignment="1">
      <alignment horizontal="center"/>
    </xf>
    <xf numFmtId="166" fontId="16" fillId="0" borderId="0" xfId="33" applyNumberFormat="1" applyFont="1" applyBorder="1"/>
    <xf numFmtId="10" fontId="16" fillId="0" borderId="0" xfId="67" applyNumberFormat="1" applyFont="1" applyBorder="1"/>
    <xf numFmtId="43" fontId="16" fillId="0" borderId="0" xfId="33" applyNumberFormat="1" applyFont="1" applyBorder="1"/>
    <xf numFmtId="44" fontId="16" fillId="0" borderId="0" xfId="36" applyFont="1" applyBorder="1"/>
    <xf numFmtId="0" fontId="3" fillId="0" borderId="9" xfId="0" applyFont="1" applyFill="1" applyBorder="1" applyAlignment="1">
      <alignment horizontal="center"/>
    </xf>
    <xf numFmtId="166" fontId="54" fillId="0" borderId="0" xfId="33" applyNumberFormat="1" applyFont="1" applyFill="1" applyAlignment="1">
      <alignment horizontal="right"/>
    </xf>
    <xf numFmtId="166" fontId="54" fillId="0" borderId="0" xfId="33" applyNumberFormat="1" applyFont="1" applyFill="1"/>
    <xf numFmtId="166" fontId="54" fillId="0" borderId="0" xfId="0" applyNumberFormat="1" applyFont="1" applyFill="1"/>
    <xf numFmtId="173" fontId="54" fillId="0" borderId="0" xfId="33" applyNumberFormat="1" applyFont="1" applyFill="1" applyBorder="1"/>
    <xf numFmtId="166" fontId="54" fillId="0" borderId="0" xfId="33" applyNumberFormat="1" applyFont="1" applyFill="1" applyBorder="1"/>
    <xf numFmtId="164" fontId="54" fillId="0" borderId="0" xfId="36" applyNumberFormat="1" applyFont="1" applyFill="1"/>
    <xf numFmtId="166" fontId="54" fillId="0" borderId="10" xfId="33" applyNumberFormat="1" applyFont="1" applyFill="1" applyBorder="1" applyAlignment="1">
      <alignment horizontal="right"/>
    </xf>
    <xf numFmtId="166" fontId="54" fillId="0" borderId="10" xfId="33" applyNumberFormat="1" applyFont="1" applyFill="1" applyBorder="1"/>
    <xf numFmtId="166" fontId="54" fillId="0" borderId="10" xfId="0" applyNumberFormat="1" applyFont="1" applyFill="1" applyBorder="1"/>
    <xf numFmtId="44" fontId="4" fillId="0" borderId="0" xfId="36" applyNumberFormat="1" applyFont="1" applyFill="1"/>
    <xf numFmtId="0" fontId="10" fillId="0" borderId="0" xfId="0" applyFont="1" applyBorder="1"/>
    <xf numFmtId="10" fontId="4" fillId="0" borderId="0" xfId="67" applyNumberFormat="1" applyFont="1" applyFill="1" applyBorder="1"/>
    <xf numFmtId="0" fontId="15" fillId="0" borderId="0" xfId="0" applyFont="1" applyAlignment="1">
      <alignment horizontal="right"/>
    </xf>
    <xf numFmtId="183" fontId="15" fillId="0" borderId="0" xfId="67" applyNumberFormat="1" applyFont="1"/>
    <xf numFmtId="10" fontId="15" fillId="0" borderId="0" xfId="67" applyNumberFormat="1" applyFont="1"/>
    <xf numFmtId="44" fontId="15" fillId="0" borderId="0" xfId="0" applyNumberFormat="1" applyFont="1"/>
    <xf numFmtId="10" fontId="15" fillId="0" borderId="0" xfId="0" applyNumberFormat="1" applyFont="1"/>
    <xf numFmtId="43" fontId="15" fillId="0" borderId="0" xfId="33" applyNumberFormat="1" applyFont="1"/>
    <xf numFmtId="0" fontId="20" fillId="0" borderId="0" xfId="0" applyFont="1" applyBorder="1" applyAlignment="1">
      <alignment horizontal="center"/>
    </xf>
    <xf numFmtId="10" fontId="12" fillId="0" borderId="0" xfId="67" applyNumberFormat="1" applyFont="1" applyProtection="1"/>
    <xf numFmtId="0" fontId="60" fillId="0" borderId="0" xfId="0" applyFont="1" applyFill="1" applyAlignment="1" applyProtection="1">
      <alignment horizontal="left"/>
      <protection locked="0"/>
    </xf>
    <xf numFmtId="0" fontId="12" fillId="0" borderId="0" xfId="0" applyFont="1" applyAlignment="1" applyProtection="1">
      <alignment horizontal="left"/>
    </xf>
    <xf numFmtId="0" fontId="60" fillId="0" borderId="0" xfId="0" applyFont="1" applyAlignment="1" applyProtection="1">
      <alignment horizontal="left"/>
      <protection locked="0"/>
    </xf>
    <xf numFmtId="0" fontId="60" fillId="0" borderId="0" xfId="0" applyFont="1" applyAlignment="1" applyProtection="1">
      <alignment horizontal="center"/>
      <protection locked="0"/>
    </xf>
    <xf numFmtId="0" fontId="12" fillId="0" borderId="0" xfId="0" quotePrefix="1" applyFont="1" applyAlignment="1" applyProtection="1">
      <alignment horizontal="left"/>
    </xf>
    <xf numFmtId="0" fontId="60" fillId="0" borderId="0" xfId="0" quotePrefix="1" applyFont="1" applyAlignment="1" applyProtection="1">
      <alignment horizontal="left"/>
      <protection locked="0"/>
    </xf>
    <xf numFmtId="0" fontId="60" fillId="0" borderId="0" xfId="0" quotePrefix="1" applyFont="1" applyFill="1" applyAlignment="1" applyProtection="1">
      <alignment horizontal="left"/>
      <protection locked="0"/>
    </xf>
    <xf numFmtId="0" fontId="60" fillId="0" borderId="0" xfId="0" applyFont="1" applyFill="1" applyAlignment="1" applyProtection="1">
      <alignment horizontal="center"/>
      <protection locked="0"/>
    </xf>
    <xf numFmtId="0" fontId="12" fillId="0" borderId="0" xfId="0" applyFont="1" applyAlignment="1" applyProtection="1">
      <alignment horizontal="fill"/>
    </xf>
    <xf numFmtId="37" fontId="60" fillId="0" borderId="0" xfId="0" applyNumberFormat="1" applyFont="1" applyAlignment="1" applyProtection="1">
      <alignment horizontal="center"/>
      <protection locked="0"/>
    </xf>
    <xf numFmtId="0" fontId="12" fillId="0" borderId="0" xfId="0" quotePrefix="1" applyFont="1" applyAlignment="1">
      <alignment horizontal="left"/>
    </xf>
    <xf numFmtId="188" fontId="12" fillId="0" borderId="0" xfId="0" applyNumberFormat="1" applyFont="1" applyProtection="1"/>
    <xf numFmtId="0" fontId="12" fillId="0" borderId="0" xfId="0" applyFont="1" applyAlignment="1" applyProtection="1">
      <alignment horizontal="center"/>
    </xf>
    <xf numFmtId="0" fontId="60" fillId="0" borderId="0" xfId="0" quotePrefix="1" applyFont="1" applyAlignment="1" applyProtection="1">
      <alignment horizontal="center"/>
      <protection locked="0"/>
    </xf>
    <xf numFmtId="0" fontId="12" fillId="0" borderId="0" xfId="0" applyFont="1" applyAlignment="1" applyProtection="1">
      <alignment horizontal="left"/>
      <protection locked="0"/>
    </xf>
    <xf numFmtId="0" fontId="60" fillId="0" borderId="0" xfId="0" applyFont="1"/>
    <xf numFmtId="0" fontId="12" fillId="0" borderId="0" xfId="0" applyFont="1" applyAlignment="1">
      <alignment horizontal="left"/>
    </xf>
    <xf numFmtId="10" fontId="12" fillId="0" borderId="0" xfId="67" applyNumberFormat="1" applyFont="1"/>
    <xf numFmtId="10" fontId="60" fillId="0" borderId="0" xfId="67" applyNumberFormat="1" applyFont="1" applyProtection="1">
      <protection locked="0"/>
    </xf>
    <xf numFmtId="0" fontId="3" fillId="0" borderId="0" xfId="0" applyFont="1" applyFill="1" applyAlignment="1">
      <alignment horizontal="center"/>
    </xf>
    <xf numFmtId="0" fontId="3" fillId="0" borderId="0" xfId="0" applyFont="1" applyFill="1" applyAlignment="1">
      <alignment horizontal="right"/>
    </xf>
    <xf numFmtId="166" fontId="16" fillId="0" borderId="0" xfId="33" quotePrefix="1" applyNumberFormat="1" applyFont="1" applyFill="1" applyAlignment="1">
      <alignment horizontal="left"/>
    </xf>
    <xf numFmtId="44" fontId="15" fillId="0" borderId="0" xfId="36" applyFont="1"/>
    <xf numFmtId="43" fontId="15" fillId="0" borderId="20" xfId="33" applyFont="1" applyBorder="1"/>
    <xf numFmtId="43" fontId="15" fillId="0" borderId="9" xfId="33" applyFont="1" applyBorder="1"/>
    <xf numFmtId="43" fontId="3" fillId="0" borderId="9" xfId="33" applyFont="1" applyBorder="1" applyAlignment="1">
      <alignment horizontal="right"/>
    </xf>
    <xf numFmtId="166" fontId="3" fillId="0" borderId="0" xfId="33" applyNumberFormat="1" applyFont="1" applyAlignment="1">
      <alignment horizontal="right"/>
    </xf>
    <xf numFmtId="44" fontId="15" fillId="0" borderId="20" xfId="36" applyFont="1" applyBorder="1"/>
    <xf numFmtId="0" fontId="15" fillId="0" borderId="17" xfId="0" applyFont="1" applyFill="1" applyBorder="1"/>
    <xf numFmtId="10" fontId="0" fillId="0" borderId="0" xfId="0" applyNumberFormat="1"/>
    <xf numFmtId="44" fontId="2" fillId="0" borderId="0" xfId="94" applyFont="1" applyBorder="1"/>
    <xf numFmtId="43" fontId="16" fillId="0" borderId="0" xfId="0" applyNumberFormat="1" applyFont="1" applyFill="1"/>
    <xf numFmtId="37" fontId="12" fillId="0" borderId="0" xfId="0" applyNumberFormat="1" applyFont="1"/>
    <xf numFmtId="0" fontId="61" fillId="0" borderId="0" xfId="0" applyFont="1" applyProtection="1">
      <protection locked="0"/>
    </xf>
    <xf numFmtId="37" fontId="60" fillId="0" borderId="0" xfId="0" applyNumberFormat="1" applyFont="1" applyProtection="1">
      <protection locked="0"/>
    </xf>
    <xf numFmtId="37" fontId="12" fillId="20" borderId="0" xfId="0" applyNumberFormat="1" applyFont="1" applyFill="1" applyProtection="1"/>
    <xf numFmtId="0" fontId="65" fillId="21" borderId="0" xfId="0" applyFont="1" applyFill="1" applyProtection="1">
      <protection locked="0"/>
    </xf>
    <xf numFmtId="166" fontId="54" fillId="0" borderId="0" xfId="33" applyNumberFormat="1" applyFont="1" applyFill="1" applyBorder="1" applyAlignment="1">
      <alignment horizontal="right"/>
    </xf>
    <xf numFmtId="166" fontId="54" fillId="0" borderId="0" xfId="0" applyNumberFormat="1" applyFont="1" applyFill="1" applyBorder="1"/>
    <xf numFmtId="0" fontId="3" fillId="0" borderId="0" xfId="0" quotePrefix="1" applyFont="1" applyFill="1" applyAlignment="1">
      <alignment horizontal="center" wrapText="1"/>
    </xf>
    <xf numFmtId="166" fontId="4" fillId="0" borderId="0" xfId="33" quotePrefix="1" applyNumberFormat="1" applyFont="1" applyFill="1" applyBorder="1"/>
    <xf numFmtId="166" fontId="4" fillId="0" borderId="0" xfId="33" applyNumberFormat="1" applyFont="1" applyFill="1" applyBorder="1"/>
    <xf numFmtId="0" fontId="3" fillId="0" borderId="10" xfId="0" applyFont="1" applyFill="1" applyBorder="1" applyAlignment="1">
      <alignment horizontal="left"/>
    </xf>
    <xf numFmtId="183" fontId="0" fillId="0" borderId="0" xfId="67" applyNumberFormat="1" applyFont="1"/>
    <xf numFmtId="43" fontId="3" fillId="0" borderId="0" xfId="33" applyFont="1"/>
    <xf numFmtId="166" fontId="3" fillId="0" borderId="0" xfId="33" applyNumberFormat="1" applyFont="1"/>
    <xf numFmtId="0" fontId="3" fillId="0" borderId="0" xfId="0" applyFont="1" applyAlignment="1">
      <alignment horizontal="left"/>
    </xf>
    <xf numFmtId="43" fontId="3" fillId="0" borderId="0" xfId="33" applyFont="1" applyAlignment="1">
      <alignment horizontal="right"/>
    </xf>
    <xf numFmtId="0" fontId="3" fillId="0" borderId="9" xfId="0" applyFont="1" applyBorder="1"/>
    <xf numFmtId="0" fontId="3" fillId="0" borderId="9" xfId="0" applyFont="1" applyBorder="1" applyAlignment="1">
      <alignment horizontal="left" wrapText="1"/>
    </xf>
    <xf numFmtId="172" fontId="3" fillId="0" borderId="9" xfId="33" applyNumberFormat="1" applyFont="1" applyBorder="1" applyAlignment="1">
      <alignment horizontal="right"/>
    </xf>
    <xf numFmtId="0" fontId="3" fillId="0" borderId="10" xfId="0" applyFont="1" applyBorder="1" applyAlignment="1">
      <alignment horizontal="left"/>
    </xf>
    <xf numFmtId="44" fontId="15" fillId="0" borderId="22" xfId="36" applyFont="1" applyBorder="1"/>
    <xf numFmtId="37" fontId="67" fillId="0" borderId="0" xfId="95"/>
    <xf numFmtId="37" fontId="12" fillId="0" borderId="0" xfId="95" applyFont="1" applyAlignment="1" applyProtection="1">
      <alignment horizontal="left"/>
    </xf>
    <xf numFmtId="37" fontId="60" fillId="0" borderId="0" xfId="95" applyFont="1" applyAlignment="1" applyProtection="1">
      <alignment horizontal="left"/>
      <protection locked="0"/>
    </xf>
    <xf numFmtId="37" fontId="60" fillId="0" borderId="0" xfId="95" quotePrefix="1" applyFont="1" applyAlignment="1" applyProtection="1">
      <alignment horizontal="left"/>
      <protection locked="0"/>
    </xf>
    <xf numFmtId="37" fontId="12" fillId="0" borderId="0" xfId="95" applyFont="1" applyAlignment="1" applyProtection="1">
      <alignment horizontal="center"/>
    </xf>
    <xf numFmtId="37" fontId="12" fillId="0" borderId="0" xfId="95" applyFont="1" applyProtection="1"/>
    <xf numFmtId="188" fontId="12" fillId="0" borderId="0" xfId="95" applyNumberFormat="1" applyFont="1" applyAlignment="1" applyProtection="1">
      <alignment horizontal="left"/>
    </xf>
    <xf numFmtId="189" fontId="12" fillId="0" borderId="0" xfId="95" applyNumberFormat="1" applyFont="1" applyAlignment="1" applyProtection="1">
      <alignment horizontal="left"/>
    </xf>
    <xf numFmtId="37" fontId="60" fillId="0" borderId="0" xfId="95" quotePrefix="1" applyFont="1" applyAlignment="1" applyProtection="1">
      <alignment horizontal="center"/>
      <protection locked="0"/>
    </xf>
    <xf numFmtId="37" fontId="60" fillId="0" borderId="0" xfId="95" applyFont="1" applyAlignment="1" applyProtection="1">
      <alignment horizontal="center"/>
      <protection locked="0"/>
    </xf>
    <xf numFmtId="37" fontId="12" fillId="0" borderId="0" xfId="95" applyNumberFormat="1" applyFont="1" applyProtection="1"/>
    <xf numFmtId="37" fontId="12" fillId="0" borderId="0" xfId="95" quotePrefix="1" applyFont="1" applyAlignment="1">
      <alignment horizontal="left"/>
    </xf>
    <xf numFmtId="37" fontId="12" fillId="0" borderId="0" xfId="95" applyNumberFormat="1" applyFont="1" applyAlignment="1" applyProtection="1">
      <alignment horizontal="center"/>
    </xf>
    <xf numFmtId="37" fontId="12" fillId="0" borderId="0" xfId="95" applyFont="1" applyAlignment="1" applyProtection="1">
      <alignment horizontal="center"/>
      <protection locked="0"/>
    </xf>
    <xf numFmtId="37" fontId="12" fillId="0" borderId="0" xfId="95" applyNumberFormat="1" applyFont="1" applyAlignment="1">
      <alignment horizontal="center"/>
    </xf>
    <xf numFmtId="3" fontId="12" fillId="0" borderId="0" xfId="0" applyNumberFormat="1" applyFont="1" applyFill="1"/>
    <xf numFmtId="3" fontId="12" fillId="0" borderId="0" xfId="0" applyNumberFormat="1" applyFont="1"/>
    <xf numFmtId="4" fontId="12" fillId="0" borderId="0" xfId="0" applyNumberFormat="1" applyFont="1" applyFill="1"/>
    <xf numFmtId="10" fontId="12" fillId="0" borderId="0" xfId="0" applyNumberFormat="1" applyFont="1"/>
    <xf numFmtId="3" fontId="12" fillId="0" borderId="0" xfId="0" quotePrefix="1" applyNumberFormat="1" applyFont="1" applyFill="1"/>
    <xf numFmtId="3" fontId="12" fillId="0" borderId="0" xfId="0" applyNumberFormat="1" applyFont="1" applyFill="1" applyProtection="1">
      <protection locked="0"/>
    </xf>
    <xf numFmtId="4" fontId="12" fillId="0" borderId="0" xfId="0" applyNumberFormat="1" applyFont="1" applyFill="1" applyProtection="1">
      <protection locked="0"/>
    </xf>
    <xf numFmtId="3" fontId="12" fillId="0" borderId="0" xfId="0" quotePrefix="1" applyNumberFormat="1" applyFont="1" applyFill="1" applyAlignment="1" applyProtection="1">
      <alignment horizontal="center"/>
      <protection locked="0"/>
    </xf>
    <xf numFmtId="3" fontId="12" fillId="0" borderId="0" xfId="0" applyNumberFormat="1" applyFont="1" applyFill="1" applyAlignment="1" applyProtection="1">
      <alignment horizontal="center"/>
      <protection locked="0"/>
    </xf>
    <xf numFmtId="10" fontId="12" fillId="0" borderId="0" xfId="0" applyNumberFormat="1" applyFont="1" applyFill="1" applyProtection="1">
      <protection locked="0"/>
    </xf>
    <xf numFmtId="10" fontId="12" fillId="0" borderId="0" xfId="0" applyNumberFormat="1" applyFont="1" applyFill="1" applyAlignment="1" applyProtection="1">
      <alignment horizontal="center"/>
      <protection locked="0"/>
    </xf>
    <xf numFmtId="3" fontId="12" fillId="0" borderId="0" xfId="0" applyNumberFormat="1" applyFont="1" applyProtection="1"/>
    <xf numFmtId="0" fontId="54" fillId="0" borderId="0" xfId="0" applyFont="1" applyAlignment="1">
      <alignment horizontal="right"/>
    </xf>
    <xf numFmtId="10" fontId="54" fillId="0" borderId="0" xfId="67" applyNumberFormat="1" applyFont="1" applyFill="1" applyBorder="1"/>
    <xf numFmtId="164" fontId="54" fillId="0" borderId="0" xfId="0" applyNumberFormat="1" applyFont="1" applyAlignment="1">
      <alignment horizontal="right"/>
    </xf>
    <xf numFmtId="171" fontId="54" fillId="0" borderId="0" xfId="33" applyNumberFormat="1" applyFont="1" applyFill="1"/>
    <xf numFmtId="0" fontId="54" fillId="0" borderId="0" xfId="0" applyFont="1"/>
    <xf numFmtId="200" fontId="54" fillId="0" borderId="0" xfId="33" applyNumberFormat="1" applyFont="1" applyFill="1" applyBorder="1"/>
    <xf numFmtId="0" fontId="3" fillId="0" borderId="0" xfId="0" applyFont="1" applyBorder="1" applyAlignment="1">
      <alignment horizontal="left"/>
    </xf>
    <xf numFmtId="0" fontId="3" fillId="0" borderId="0" xfId="0" applyFont="1" applyFill="1" applyAlignment="1">
      <alignment horizontal="center" wrapText="1"/>
    </xf>
    <xf numFmtId="0" fontId="7" fillId="0" borderId="12" xfId="0" applyFont="1" applyFill="1" applyBorder="1" applyAlignment="1">
      <alignment horizontal="center" wrapText="1"/>
    </xf>
    <xf numFmtId="0" fontId="4" fillId="0" borderId="24" xfId="0" applyFont="1" applyFill="1" applyBorder="1" applyAlignment="1">
      <alignment horizontal="center" wrapText="1"/>
    </xf>
    <xf numFmtId="0" fontId="7" fillId="0" borderId="12" xfId="0" applyFont="1" applyFill="1" applyBorder="1" applyAlignment="1">
      <alignment horizontal="right"/>
    </xf>
    <xf numFmtId="0" fontId="7" fillId="0" borderId="13" xfId="0" applyFont="1" applyFill="1" applyBorder="1" applyAlignment="1">
      <alignment horizontal="right"/>
    </xf>
    <xf numFmtId="0" fontId="7" fillId="0" borderId="24" xfId="0" applyFont="1" applyFill="1" applyBorder="1" applyAlignment="1">
      <alignment horizontal="right"/>
    </xf>
    <xf numFmtId="0" fontId="7" fillId="0" borderId="12" xfId="0" applyFont="1" applyFill="1" applyBorder="1" applyAlignment="1">
      <alignment horizontal="center"/>
    </xf>
    <xf numFmtId="0" fontId="7" fillId="0" borderId="13" xfId="0" applyFont="1" applyFill="1" applyBorder="1" applyAlignment="1">
      <alignment horizontal="center"/>
    </xf>
    <xf numFmtId="0" fontId="4" fillId="0" borderId="24" xfId="0" applyFont="1" applyFill="1" applyBorder="1" applyAlignment="1">
      <alignment horizontal="center"/>
    </xf>
    <xf numFmtId="166" fontId="3" fillId="0" borderId="0" xfId="33" applyNumberFormat="1" applyFont="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24" xfId="0" applyFont="1" applyBorder="1" applyAlignment="1">
      <alignment horizontal="center"/>
    </xf>
    <xf numFmtId="0" fontId="20" fillId="0" borderId="12" xfId="0" applyFont="1" applyBorder="1" applyAlignment="1">
      <alignment horizontal="center"/>
    </xf>
    <xf numFmtId="0" fontId="20" fillId="0" borderId="24" xfId="0" applyFont="1" applyBorder="1" applyAlignment="1">
      <alignment horizontal="center"/>
    </xf>
    <xf numFmtId="0" fontId="20" fillId="0" borderId="0" xfId="0" applyFont="1" applyBorder="1" applyAlignment="1">
      <alignment horizontal="center"/>
    </xf>
    <xf numFmtId="0" fontId="12" fillId="0" borderId="0" xfId="0" applyFont="1" applyFill="1" applyBorder="1" applyAlignment="1">
      <alignment horizontal="center"/>
    </xf>
  </cellXfs>
  <cellStyles count="10784">
    <cellStyle name="_Row1" xfId="143" xr:uid="{441CE5C0-DDEF-45F2-A71C-A5692665B660}"/>
    <cellStyle name="_Row1 2" xfId="246" xr:uid="{39CDD27E-1965-4444-9372-CAAC708ECF8E}"/>
    <cellStyle name="20% - Accent1" xfId="1" builtinId="30" customBuiltin="1"/>
    <cellStyle name="20% - Accent1 10" xfId="3244" xr:uid="{DB359D1D-D380-41DA-BAD4-9088448A69F3}"/>
    <cellStyle name="20% - Accent1 10 2" xfId="3245" xr:uid="{78368B2C-30C2-443C-AE4A-8CA440F16B60}"/>
    <cellStyle name="20% - Accent1 10 2 2" xfId="3246" xr:uid="{1BA4547C-FA57-496E-B87C-F629C4EE5280}"/>
    <cellStyle name="20% - Accent1 10 2_Jurisdictional Study" xfId="128" xr:uid="{7990A9F2-CD69-4177-B4B5-159355CB32A6}"/>
    <cellStyle name="20% - Accent1 10 3" xfId="3247" xr:uid="{056DD855-7354-470A-9F7F-DBA6A3A6C6CA}"/>
    <cellStyle name="20% - Accent1 10_Jurisdictional Study" xfId="130" xr:uid="{59B392CF-32F6-467E-9393-BE26ED59AF67}"/>
    <cellStyle name="20% - Accent1 11" xfId="3248" xr:uid="{C182458F-1054-4C34-9FD8-E3B118ABF7FB}"/>
    <cellStyle name="20% - Accent1 11 2" xfId="3249" xr:uid="{5F07EEB2-6C5C-4A9B-941A-231752E5A585}"/>
    <cellStyle name="20% - Accent1 11 2 2" xfId="3250" xr:uid="{5D2A1292-E3C1-4020-9A83-FE8E404BB229}"/>
    <cellStyle name="20% - Accent1 11 2_Jurisdictional Study" xfId="161" xr:uid="{45D2669A-7BBF-45A3-8D82-705FBC0191AA}"/>
    <cellStyle name="20% - Accent1 11 3" xfId="3251" xr:uid="{27F051C4-FFD5-46FB-843A-D9484F941E82}"/>
    <cellStyle name="20% - Accent1 11_Jurisdictional Study" xfId="123" xr:uid="{E45D68D0-92BD-4A96-AAF2-E0A14C058A1A}"/>
    <cellStyle name="20% - Accent1 12" xfId="3252" xr:uid="{63C09755-96FD-4532-B19F-72FA9EC13C52}"/>
    <cellStyle name="20% - Accent1 12 2" xfId="3253" xr:uid="{7088B461-ADD8-4CFE-8CE2-2EA22AFB744C}"/>
    <cellStyle name="20% - Accent1 12_Jurisdictional Study" xfId="8373" xr:uid="{887C8D56-842C-4DDA-A1B2-2E2DA91F2A39}"/>
    <cellStyle name="20% - Accent1 13" xfId="3254" xr:uid="{1A555E98-C380-4582-A62D-8AEA90522AAB}"/>
    <cellStyle name="20% - Accent1 14" xfId="3170" xr:uid="{317154B6-EE29-456D-851E-8B69623E7431}"/>
    <cellStyle name="20% - Accent1 2" xfId="247" xr:uid="{E49E46A6-F70E-4106-8918-4B8C93A0EE11}"/>
    <cellStyle name="20% - Accent1 2 2" xfId="3256" xr:uid="{BD8B5265-67F2-4E7C-89DA-50E503E23581}"/>
    <cellStyle name="20% - Accent1 2 2 2" xfId="3257" xr:uid="{FE23E6FD-3040-4E01-B236-E8E818882ED4}"/>
    <cellStyle name="20% - Accent1 2 2 2 2" xfId="3258" xr:uid="{789056DF-E658-480D-8663-645203544041}"/>
    <cellStyle name="20% - Accent1 2 2 2 2 2" xfId="3259" xr:uid="{4EBE11E1-9F20-404F-AFEF-1BCA27F27977}"/>
    <cellStyle name="20% - Accent1 2 2 2 2 2 2" xfId="3260" xr:uid="{AF87CF2F-61B0-4384-9F5F-DA2B1BFCD4DE}"/>
    <cellStyle name="20% - Accent1 2 2 2 2 2 2 2" xfId="3261" xr:uid="{53CB4ED0-1789-48B9-87C4-E70419A6E50B}"/>
    <cellStyle name="20% - Accent1 2 2 2 2 2 2_Jurisdictional Study" xfId="8378" xr:uid="{449F4C07-EDE8-4628-8D6D-B77E922AAE7A}"/>
    <cellStyle name="20% - Accent1 2 2 2 2 2 3" xfId="3262" xr:uid="{DC950CDE-4213-4A8F-9A33-B47F3AB691F2}"/>
    <cellStyle name="20% - Accent1 2 2 2 2 2_Jurisdictional Study" xfId="8377" xr:uid="{2A674F69-8C96-4FE0-8B8D-319BD9258340}"/>
    <cellStyle name="20% - Accent1 2 2 2 2 3" xfId="3263" xr:uid="{836ABABB-7904-4283-A6DF-82CAED0DE25A}"/>
    <cellStyle name="20% - Accent1 2 2 2 2 3 2" xfId="3264" xr:uid="{ED13ECB8-711E-47C2-A846-A22EC9EDAFC5}"/>
    <cellStyle name="20% - Accent1 2 2 2 2 3_Jurisdictional Study" xfId="8379" xr:uid="{19D8737C-1F95-4AA2-A8F7-6FBB19DAFEB1}"/>
    <cellStyle name="20% - Accent1 2 2 2 2 4" xfId="3265" xr:uid="{6353B655-6B46-44E7-84BE-256068557B5A}"/>
    <cellStyle name="20% - Accent1 2 2 2 2_Jurisdictional Study" xfId="8376" xr:uid="{9C862B5E-12B1-4B3B-A695-F35B8D3BF1E1}"/>
    <cellStyle name="20% - Accent1 2 2 2 3" xfId="3266" xr:uid="{5AB4D255-516C-4D01-8334-57B39DE7DBC1}"/>
    <cellStyle name="20% - Accent1 2 2 2 3 2" xfId="3267" xr:uid="{6D3C7D81-9D5A-48C0-9C8D-1C29E97A0CC7}"/>
    <cellStyle name="20% - Accent1 2 2 2 3 2 2" xfId="3268" xr:uid="{DC120533-9368-4F16-8C92-F060351F9CFC}"/>
    <cellStyle name="20% - Accent1 2 2 2 3 2_Jurisdictional Study" xfId="8381" xr:uid="{77F64069-9EAD-4BBF-AC26-CA407BADE82B}"/>
    <cellStyle name="20% - Accent1 2 2 2 3 3" xfId="3269" xr:uid="{036FD188-B380-4438-9CCF-9B723BD3EEA8}"/>
    <cellStyle name="20% - Accent1 2 2 2 3_Jurisdictional Study" xfId="8380" xr:uid="{F1AE80AC-E735-41AB-A02B-FDBA9AAF88CF}"/>
    <cellStyle name="20% - Accent1 2 2 2 4" xfId="3270" xr:uid="{351B1DAB-0947-45BE-B649-BB24ED200400}"/>
    <cellStyle name="20% - Accent1 2 2 2 4 2" xfId="3271" xr:uid="{7A35BC39-0B23-4C61-8727-EBDCE1971E60}"/>
    <cellStyle name="20% - Accent1 2 2 2 4_Jurisdictional Study" xfId="8382" xr:uid="{7103B589-B599-4957-BE1D-8308BF8DEC2B}"/>
    <cellStyle name="20% - Accent1 2 2 2 5" xfId="3272" xr:uid="{DF77F0C4-3932-4A44-83F6-C8A6A2F864B1}"/>
    <cellStyle name="20% - Accent1 2 2 2_Jurisdictional Study" xfId="8375" xr:uid="{F5636BF6-733A-438F-AD5D-077571380423}"/>
    <cellStyle name="20% - Accent1 2 2 3" xfId="3273" xr:uid="{A418C77E-3EB6-4DB5-B105-2DEDB6C56AD9}"/>
    <cellStyle name="20% - Accent1 2 2 3 2" xfId="3274" xr:uid="{C88D8BBC-66A2-47A3-8F02-42E2B79755F7}"/>
    <cellStyle name="20% - Accent1 2 2 3 2 2" xfId="3275" xr:uid="{4ECE551D-FCE1-487F-B018-60F11E539200}"/>
    <cellStyle name="20% - Accent1 2 2 3 2 2 2" xfId="3276" xr:uid="{D3ACE54B-686F-4DF5-ACF0-76B18F423A3E}"/>
    <cellStyle name="20% - Accent1 2 2 3 2 2_Jurisdictional Study" xfId="8385" xr:uid="{184484F2-7561-41C7-9A7C-AC33BB9ED63D}"/>
    <cellStyle name="20% - Accent1 2 2 3 2 3" xfId="3277" xr:uid="{7A188582-5F90-460F-89DB-86FB195C95AD}"/>
    <cellStyle name="20% - Accent1 2 2 3 2_Jurisdictional Study" xfId="8384" xr:uid="{C11240A1-A61B-473F-AF39-C84B428753FA}"/>
    <cellStyle name="20% - Accent1 2 2 3 3" xfId="3278" xr:uid="{7D242E6E-3469-49A2-A28B-04780ABBFC5F}"/>
    <cellStyle name="20% - Accent1 2 2 3 3 2" xfId="3279" xr:uid="{F2969D76-64B2-46FB-A19A-63FD096B5717}"/>
    <cellStyle name="20% - Accent1 2 2 3 3_Jurisdictional Study" xfId="8386" xr:uid="{D62BDECD-171C-4F07-9066-B60DF8A8723A}"/>
    <cellStyle name="20% - Accent1 2 2 3 4" xfId="3280" xr:uid="{C8C3056B-0E3D-4DB8-ACA9-B26DD628E965}"/>
    <cellStyle name="20% - Accent1 2 2 3_Jurisdictional Study" xfId="8383" xr:uid="{11896192-5284-48A9-8DB5-CC4D813188D1}"/>
    <cellStyle name="20% - Accent1 2 2 4" xfId="3281" xr:uid="{57AA3B44-2641-4467-8473-66DCA268F74D}"/>
    <cellStyle name="20% - Accent1 2 2 4 2" xfId="3282" xr:uid="{E16E10BA-87AF-4CE9-B92C-7843CDD10765}"/>
    <cellStyle name="20% - Accent1 2 2 4 2 2" xfId="3283" xr:uid="{9BE4C58F-04A0-4575-9EA7-DE4F02E2C441}"/>
    <cellStyle name="20% - Accent1 2 2 4 2_Jurisdictional Study" xfId="8388" xr:uid="{20E638F1-F523-46AF-9288-714032978EE4}"/>
    <cellStyle name="20% - Accent1 2 2 4 3" xfId="3284" xr:uid="{70D0CF12-168B-44D1-9E4B-E97F3213B0B7}"/>
    <cellStyle name="20% - Accent1 2 2 4_Jurisdictional Study" xfId="8387" xr:uid="{E7535580-F5B8-4579-80C0-25C2AADA5B68}"/>
    <cellStyle name="20% - Accent1 2 2 5" xfId="3285" xr:uid="{0B97BD53-02A5-46BB-BD98-FCD309DA22EF}"/>
    <cellStyle name="20% - Accent1 2 2 5 2" xfId="3286" xr:uid="{CBED4BE4-3EF4-4C18-8724-CD9D34BE3738}"/>
    <cellStyle name="20% - Accent1 2 2 5_Jurisdictional Study" xfId="8389" xr:uid="{D3B2B82F-3D89-4153-B6CD-F0F5B33A62D1}"/>
    <cellStyle name="20% - Accent1 2 2 6" xfId="3287" xr:uid="{EBD54CCD-F33D-4ECA-A363-9DE2FA362C93}"/>
    <cellStyle name="20% - Accent1 2 2_Jurisdictional Study" xfId="8374" xr:uid="{2486F23E-8AE5-4312-B81E-DCEE49D17EE7}"/>
    <cellStyle name="20% - Accent1 2 3" xfId="3288" xr:uid="{4B3879B0-B27E-42AC-87F6-087F621E1D73}"/>
    <cellStyle name="20% - Accent1 2 3 2" xfId="3289" xr:uid="{7ECA34A8-7EA1-451F-9510-8D8939421E25}"/>
    <cellStyle name="20% - Accent1 2 3 2 2" xfId="3290" xr:uid="{A8CE5241-7102-40DA-AC99-1E4A4DF4CB6F}"/>
    <cellStyle name="20% - Accent1 2 3 2 2 2" xfId="3291" xr:uid="{4E9D9C8E-4DA8-4CD8-BA3B-5763F0EF8344}"/>
    <cellStyle name="20% - Accent1 2 3 2 2 2 2" xfId="3292" xr:uid="{2F7F721C-6DAA-4840-A794-6364164F6FCC}"/>
    <cellStyle name="20% - Accent1 2 3 2 2 2_Jurisdictional Study" xfId="8393" xr:uid="{4BB0ADD6-C719-4932-AB99-7D799FD91D65}"/>
    <cellStyle name="20% - Accent1 2 3 2 2 3" xfId="3293" xr:uid="{4DF07353-BF68-4A34-9A07-8A9EB52F246C}"/>
    <cellStyle name="20% - Accent1 2 3 2 2_Jurisdictional Study" xfId="8392" xr:uid="{A056DF61-54EB-412C-BDD3-6E74E60B0728}"/>
    <cellStyle name="20% - Accent1 2 3 2 3" xfId="3294" xr:uid="{3E68A486-FBDC-4A51-A222-84717E5A07D8}"/>
    <cellStyle name="20% - Accent1 2 3 2 3 2" xfId="3295" xr:uid="{BA257350-8CCA-4D65-810A-F66127318776}"/>
    <cellStyle name="20% - Accent1 2 3 2 3_Jurisdictional Study" xfId="8394" xr:uid="{7BF34331-687D-461A-8A9E-8F197D675605}"/>
    <cellStyle name="20% - Accent1 2 3 2 4" xfId="3296" xr:uid="{3ACD7D5A-180D-4D38-B172-539BCFCE4C9B}"/>
    <cellStyle name="20% - Accent1 2 3 2_Jurisdictional Study" xfId="8391" xr:uid="{EAB2EFF1-C33F-4743-961B-D8C2E820EC1C}"/>
    <cellStyle name="20% - Accent1 2 3 3" xfId="3297" xr:uid="{7CCB9226-0FA9-438E-8202-81F4D61D324B}"/>
    <cellStyle name="20% - Accent1 2 3 3 2" xfId="3298" xr:uid="{3A6C177A-ED5C-4F7F-8896-11662C48802E}"/>
    <cellStyle name="20% - Accent1 2 3 3 2 2" xfId="3299" xr:uid="{92361BAD-8621-409A-8B41-9450F53C1A0D}"/>
    <cellStyle name="20% - Accent1 2 3 3 2_Jurisdictional Study" xfId="8396" xr:uid="{149DE863-9640-4D13-B527-48F16D34BC4C}"/>
    <cellStyle name="20% - Accent1 2 3 3 3" xfId="3300" xr:uid="{EC3C844F-9F48-41AE-8377-46E2C8BAA14C}"/>
    <cellStyle name="20% - Accent1 2 3 3_Jurisdictional Study" xfId="8395" xr:uid="{A32CA8EB-4DE5-45A4-921C-267FF7060699}"/>
    <cellStyle name="20% - Accent1 2 3 4" xfId="3301" xr:uid="{43AC5E93-DC8B-4013-9047-AC988FF1C28C}"/>
    <cellStyle name="20% - Accent1 2 3 4 2" xfId="3302" xr:uid="{2A746767-FFA2-4E2D-BEB2-D3BE112243C2}"/>
    <cellStyle name="20% - Accent1 2 3 4_Jurisdictional Study" xfId="8397" xr:uid="{9F928509-1BB8-4961-A621-C984A6A52220}"/>
    <cellStyle name="20% - Accent1 2 3 5" xfId="3303" xr:uid="{9E287A99-5276-447E-AF23-9188056C222C}"/>
    <cellStyle name="20% - Accent1 2 3_Jurisdictional Study" xfId="8390" xr:uid="{489C230D-BEBA-42AA-8071-5F61197601A9}"/>
    <cellStyle name="20% - Accent1 2 4" xfId="3304" xr:uid="{603B7BB4-3CB1-43D7-98C1-9325E90B92F1}"/>
    <cellStyle name="20% - Accent1 2 4 2" xfId="3305" xr:uid="{6850533F-65A7-43B1-98A2-F322A202A4D9}"/>
    <cellStyle name="20% - Accent1 2 4 2 2" xfId="3306" xr:uid="{E2CBB651-E6EB-4139-9378-486A7F6CCE1A}"/>
    <cellStyle name="20% - Accent1 2 4 2 2 2" xfId="3307" xr:uid="{A5B6530E-80CA-4314-BFFA-23C8035E8278}"/>
    <cellStyle name="20% - Accent1 2 4 2 2_Jurisdictional Study" xfId="8400" xr:uid="{33033283-D036-48BC-B4AC-1E6604BADC2E}"/>
    <cellStyle name="20% - Accent1 2 4 2 3" xfId="3308" xr:uid="{7331F7B7-E44C-47FB-AC87-FE96E4A8CE94}"/>
    <cellStyle name="20% - Accent1 2 4 2_Jurisdictional Study" xfId="8399" xr:uid="{A3F6C259-DCF9-4546-AD11-F04B6ABFF479}"/>
    <cellStyle name="20% - Accent1 2 4 3" xfId="3309" xr:uid="{A634C7AE-DD9E-44EE-9062-A1333FB677FE}"/>
    <cellStyle name="20% - Accent1 2 4 3 2" xfId="3310" xr:uid="{E13700B9-6E7C-4857-BA0C-DC34A2134912}"/>
    <cellStyle name="20% - Accent1 2 4 3_Jurisdictional Study" xfId="8401" xr:uid="{BF7A3680-529F-431C-AD43-C402753E0938}"/>
    <cellStyle name="20% - Accent1 2 4 4" xfId="3311" xr:uid="{F6A597E1-3477-46AE-A6F9-D9D20E4A9E1C}"/>
    <cellStyle name="20% - Accent1 2 4_Jurisdictional Study" xfId="8398" xr:uid="{7CA55472-CA99-45D3-BDD1-CA1CAF7E6481}"/>
    <cellStyle name="20% - Accent1 2 5" xfId="3312" xr:uid="{1E1B2A11-1144-4165-AE15-636225B7A1BC}"/>
    <cellStyle name="20% - Accent1 2 5 2" xfId="3313" xr:uid="{26C1C48B-59DE-4D78-B7B3-503556AD6D75}"/>
    <cellStyle name="20% - Accent1 2 5 2 2" xfId="3314" xr:uid="{E8E6802A-19BC-4E97-9772-0D66492EC398}"/>
    <cellStyle name="20% - Accent1 2 5 2_Jurisdictional Study" xfId="8403" xr:uid="{1E9156D8-6442-4F08-9EB3-7400421742C0}"/>
    <cellStyle name="20% - Accent1 2 5 3" xfId="3315" xr:uid="{AFA8BCF3-C5B4-49AB-A7AD-572F67471E63}"/>
    <cellStyle name="20% - Accent1 2 5_Jurisdictional Study" xfId="8402" xr:uid="{92ED489B-6374-432B-8863-64C30F6757EB}"/>
    <cellStyle name="20% - Accent1 2 6" xfId="3316" xr:uid="{30BAC2F5-8742-4E87-86F1-C134759BC1B6}"/>
    <cellStyle name="20% - Accent1 2 6 2" xfId="3317" xr:uid="{244FF259-BE33-4D02-94AD-50CD30EFAC4D}"/>
    <cellStyle name="20% - Accent1 2 6_Jurisdictional Study" xfId="8404" xr:uid="{4A8A26E2-C9FA-4505-9927-85411A181A26}"/>
    <cellStyle name="20% - Accent1 2 7" xfId="3318" xr:uid="{4AA020A9-0FA5-4446-8260-717187A66B77}"/>
    <cellStyle name="20% - Accent1 2 8" xfId="3255" xr:uid="{9862DE34-EB00-4C99-AAB2-5BD0EC787E6C}"/>
    <cellStyle name="20% - Accent1 3" xfId="3205" xr:uid="{383DB237-BE5B-49A9-83E8-E206B45128DA}"/>
    <cellStyle name="20% - Accent1 3 2" xfId="3320" xr:uid="{FC56F279-784E-4E1E-B5B0-A5E5846C54DE}"/>
    <cellStyle name="20% - Accent1 3 2 2" xfId="3321" xr:uid="{B94C7E0B-1927-43C4-89EC-36FB6847BC74}"/>
    <cellStyle name="20% - Accent1 3 2 2 2" xfId="3322" xr:uid="{42BD7BD1-FCF0-4DEE-9AEB-2060C77EDFF9}"/>
    <cellStyle name="20% - Accent1 3 2 2 2 2" xfId="3323" xr:uid="{2F99B319-5F1D-435D-A153-F17295FCD02D}"/>
    <cellStyle name="20% - Accent1 3 2 2 2 2 2" xfId="3324" xr:uid="{E7D2C977-157C-4A06-9755-89F734F275E3}"/>
    <cellStyle name="20% - Accent1 3 2 2 2 2 2 2" xfId="3325" xr:uid="{2806C11B-CA08-4DF0-948C-60C28F7F7E48}"/>
    <cellStyle name="20% - Accent1 3 2 2 2 2 2_Jurisdictional Study" xfId="8410" xr:uid="{07AE8863-9C46-49DF-A0B5-0E5A0719C073}"/>
    <cellStyle name="20% - Accent1 3 2 2 2 2 3" xfId="3326" xr:uid="{470C3742-646A-4D9D-A118-ACFD7DCF2F3F}"/>
    <cellStyle name="20% - Accent1 3 2 2 2 2_Jurisdictional Study" xfId="8409" xr:uid="{3BA49B51-1A20-45A9-8BB9-363E8AB844E9}"/>
    <cellStyle name="20% - Accent1 3 2 2 2 3" xfId="3327" xr:uid="{EF272D00-D42C-4384-A882-06E04469F72F}"/>
    <cellStyle name="20% - Accent1 3 2 2 2 3 2" xfId="3328" xr:uid="{568D12D7-321D-4ABD-84C1-731371C503E5}"/>
    <cellStyle name="20% - Accent1 3 2 2 2 3_Jurisdictional Study" xfId="8411" xr:uid="{CC73CEAF-526F-4519-A35A-7A5DD3CCF6D8}"/>
    <cellStyle name="20% - Accent1 3 2 2 2 4" xfId="3329" xr:uid="{0B9EB3EE-0E5A-445D-9F48-F82CAE7C3459}"/>
    <cellStyle name="20% - Accent1 3 2 2 2_Jurisdictional Study" xfId="8408" xr:uid="{9C8785A3-34C7-47C7-850B-F2F7FEC06557}"/>
    <cellStyle name="20% - Accent1 3 2 2 3" xfId="3330" xr:uid="{67AC76E7-9512-4D36-A062-E46124234839}"/>
    <cellStyle name="20% - Accent1 3 2 2 3 2" xfId="3331" xr:uid="{C78480DB-295B-4914-AF77-84E0A843AC99}"/>
    <cellStyle name="20% - Accent1 3 2 2 3 2 2" xfId="3332" xr:uid="{83C250CC-77C6-46B8-B29B-58987FCE2E88}"/>
    <cellStyle name="20% - Accent1 3 2 2 3 2_Jurisdictional Study" xfId="8413" xr:uid="{53728894-27A0-4C3A-9616-4875CBA6CA23}"/>
    <cellStyle name="20% - Accent1 3 2 2 3 3" xfId="3333" xr:uid="{997CA94E-EE88-4467-AC3A-1EFB749BC0A7}"/>
    <cellStyle name="20% - Accent1 3 2 2 3_Jurisdictional Study" xfId="8412" xr:uid="{9DF2F918-A561-43E2-99F8-157CF50C018F}"/>
    <cellStyle name="20% - Accent1 3 2 2 4" xfId="3334" xr:uid="{4599DFE0-732E-418E-8FCE-506CCFB13A79}"/>
    <cellStyle name="20% - Accent1 3 2 2 4 2" xfId="3335" xr:uid="{6E8BD91C-B1FE-4256-AE12-28E42C11DFD1}"/>
    <cellStyle name="20% - Accent1 3 2 2 4_Jurisdictional Study" xfId="8414" xr:uid="{AFF2FDF5-D94A-4E20-8EA4-1C5CD126708A}"/>
    <cellStyle name="20% - Accent1 3 2 2 5" xfId="3336" xr:uid="{A7D2E789-C1CD-4C10-8E37-59331D3AF98C}"/>
    <cellStyle name="20% - Accent1 3 2 2_Jurisdictional Study" xfId="8407" xr:uid="{8323048E-DE32-4B29-B621-0A6DA8EEBD69}"/>
    <cellStyle name="20% - Accent1 3 2 3" xfId="3337" xr:uid="{A9DBF02D-048B-4529-A37C-A7D4C4343163}"/>
    <cellStyle name="20% - Accent1 3 2 3 2" xfId="3338" xr:uid="{965301AA-0AFC-4DDC-A89A-111CAF0CF5E9}"/>
    <cellStyle name="20% - Accent1 3 2 3 2 2" xfId="3339" xr:uid="{3526C5DE-047B-48B7-8E9B-50765BA95274}"/>
    <cellStyle name="20% - Accent1 3 2 3 2 2 2" xfId="3340" xr:uid="{34B4D8CF-CCA4-4D2B-885B-93455B050478}"/>
    <cellStyle name="20% - Accent1 3 2 3 2 2_Jurisdictional Study" xfId="8417" xr:uid="{75809EEB-2AEB-4C0A-BF9E-B8BA678B3AE6}"/>
    <cellStyle name="20% - Accent1 3 2 3 2 3" xfId="3341" xr:uid="{DF0E76BB-93FE-407B-BCDA-17ECFB8496F3}"/>
    <cellStyle name="20% - Accent1 3 2 3 2_Jurisdictional Study" xfId="8416" xr:uid="{24CF90DF-F29B-4E59-ACCE-5677F2960E30}"/>
    <cellStyle name="20% - Accent1 3 2 3 3" xfId="3342" xr:uid="{BD74EE90-95D6-4BFF-9EBF-3D595F7BD294}"/>
    <cellStyle name="20% - Accent1 3 2 3 3 2" xfId="3343" xr:uid="{0D3BDA5C-C974-4000-A911-253CBDDAF63D}"/>
    <cellStyle name="20% - Accent1 3 2 3 3_Jurisdictional Study" xfId="8418" xr:uid="{B2C20749-08FD-48BC-9B43-B62019DC4356}"/>
    <cellStyle name="20% - Accent1 3 2 3 4" xfId="3344" xr:uid="{5D4D980A-869C-42D5-987C-3091F5142A2D}"/>
    <cellStyle name="20% - Accent1 3 2 3_Jurisdictional Study" xfId="8415" xr:uid="{D2A3AFE1-E591-40A7-BA95-3BEE7FDE8331}"/>
    <cellStyle name="20% - Accent1 3 2 4" xfId="3345" xr:uid="{7013D292-CB34-4F38-AC8F-A1AABFE5443A}"/>
    <cellStyle name="20% - Accent1 3 2 4 2" xfId="3346" xr:uid="{EC62396A-027F-46A6-97FB-FBC453196F6B}"/>
    <cellStyle name="20% - Accent1 3 2 4 2 2" xfId="3347" xr:uid="{8A77EEFA-910E-40DC-B57F-29AE43A8350F}"/>
    <cellStyle name="20% - Accent1 3 2 4 2_Jurisdictional Study" xfId="8420" xr:uid="{4DDD191C-39A5-49F5-B26C-9617EB537432}"/>
    <cellStyle name="20% - Accent1 3 2 4 3" xfId="3348" xr:uid="{E52F0F8E-6AF1-4DE6-ABD4-226A0D4138E8}"/>
    <cellStyle name="20% - Accent1 3 2 4_Jurisdictional Study" xfId="8419" xr:uid="{959DF1DB-3038-4791-BC26-99B93C99FE7F}"/>
    <cellStyle name="20% - Accent1 3 2 5" xfId="3349" xr:uid="{89085E3E-68CF-46E6-AB52-5FBB13E4CBF6}"/>
    <cellStyle name="20% - Accent1 3 2 5 2" xfId="3350" xr:uid="{9C51EFC1-9FFB-4CAE-A984-B45F43F1033D}"/>
    <cellStyle name="20% - Accent1 3 2 5_Jurisdictional Study" xfId="8421" xr:uid="{CCAD4E6B-7998-489E-A456-4291B3F8E4FF}"/>
    <cellStyle name="20% - Accent1 3 2 6" xfId="3351" xr:uid="{CD984349-9986-45C7-8C15-5B4889D51D9A}"/>
    <cellStyle name="20% - Accent1 3 2_Jurisdictional Study" xfId="8406" xr:uid="{049929AB-B60E-46C9-881C-AB7D0088FF72}"/>
    <cellStyle name="20% - Accent1 3 3" xfId="3352" xr:uid="{01CDA26F-E49E-48CF-AE1E-DA9E31FEAD43}"/>
    <cellStyle name="20% - Accent1 3 3 2" xfId="3353" xr:uid="{71310955-A56A-43D3-BA98-94ED51D80273}"/>
    <cellStyle name="20% - Accent1 3 3 2 2" xfId="3354" xr:uid="{5828F9FF-40C1-42F3-AC75-75CB5F863CF7}"/>
    <cellStyle name="20% - Accent1 3 3 2 2 2" xfId="3355" xr:uid="{82D9F955-904F-4A95-AA87-3C85D520C84C}"/>
    <cellStyle name="20% - Accent1 3 3 2 2 2 2" xfId="3356" xr:uid="{98117278-F5FB-4196-813C-403CAF9CD61F}"/>
    <cellStyle name="20% - Accent1 3 3 2 2 2_Jurisdictional Study" xfId="8425" xr:uid="{4FAB592B-2F25-42EA-9520-DD25500A5A6E}"/>
    <cellStyle name="20% - Accent1 3 3 2 2 3" xfId="3357" xr:uid="{91405AFB-C98B-4974-BBA5-0015D94689AF}"/>
    <cellStyle name="20% - Accent1 3 3 2 2_Jurisdictional Study" xfId="8424" xr:uid="{D7FFDF87-10E9-403E-8691-52630AD3CFB0}"/>
    <cellStyle name="20% - Accent1 3 3 2 3" xfId="3358" xr:uid="{2C82B548-8B62-43C4-B2E7-A2C9E8CA9DE2}"/>
    <cellStyle name="20% - Accent1 3 3 2 3 2" xfId="3359" xr:uid="{2D45CC2F-5D80-4689-96FE-74CD1D641DAA}"/>
    <cellStyle name="20% - Accent1 3 3 2 3_Jurisdictional Study" xfId="8426" xr:uid="{2E2767DD-30E7-4870-B3EF-A87A59106DBF}"/>
    <cellStyle name="20% - Accent1 3 3 2 4" xfId="3360" xr:uid="{B6DEF0FA-A689-4D28-9C73-E754CE0BA12D}"/>
    <cellStyle name="20% - Accent1 3 3 2_Jurisdictional Study" xfId="8423" xr:uid="{AA02EDD2-382B-4637-898C-4F6BB088458A}"/>
    <cellStyle name="20% - Accent1 3 3 3" xfId="3361" xr:uid="{9D89D0C5-0FB5-4A07-A789-58DD7473D7C4}"/>
    <cellStyle name="20% - Accent1 3 3 3 2" xfId="3362" xr:uid="{F9D8E59C-B314-458F-93BB-190AE004420A}"/>
    <cellStyle name="20% - Accent1 3 3 3 2 2" xfId="3363" xr:uid="{D5456F6B-6471-426F-A85C-A5CE126D0E9F}"/>
    <cellStyle name="20% - Accent1 3 3 3 2_Jurisdictional Study" xfId="8428" xr:uid="{59224DD3-D4FB-4BFD-AE27-7D95AB7E839C}"/>
    <cellStyle name="20% - Accent1 3 3 3 3" xfId="3364" xr:uid="{89DEA7D6-9DDD-4418-954F-421983334C8A}"/>
    <cellStyle name="20% - Accent1 3 3 3_Jurisdictional Study" xfId="8427" xr:uid="{9489C4EA-21B1-4385-919E-468623E7BD7C}"/>
    <cellStyle name="20% - Accent1 3 3 4" xfId="3365" xr:uid="{4D339BAA-2F5E-434A-9CBE-E99064AA022B}"/>
    <cellStyle name="20% - Accent1 3 3 4 2" xfId="3366" xr:uid="{5374286A-E220-4E09-B070-47CC661075D0}"/>
    <cellStyle name="20% - Accent1 3 3 4_Jurisdictional Study" xfId="8429" xr:uid="{2F8CEFBC-B82E-4554-8349-1053BAE4DF13}"/>
    <cellStyle name="20% - Accent1 3 3 5" xfId="3367" xr:uid="{310EB414-C6AD-40CD-A8BC-A8C070F91992}"/>
    <cellStyle name="20% - Accent1 3 3_Jurisdictional Study" xfId="8422" xr:uid="{A51DC22D-3CCD-46FA-ACDB-FD7EA39C08CC}"/>
    <cellStyle name="20% - Accent1 3 4" xfId="3368" xr:uid="{DD32633F-49FC-43A4-AE68-EEA9671936D6}"/>
    <cellStyle name="20% - Accent1 3 4 2" xfId="3369" xr:uid="{7EA9095A-E01C-48CF-A6FC-9BA4644A8D9F}"/>
    <cellStyle name="20% - Accent1 3 4 2 2" xfId="3370" xr:uid="{89B8098D-4AB0-4F6E-B6B3-5F3BBF779056}"/>
    <cellStyle name="20% - Accent1 3 4 2 2 2" xfId="3371" xr:uid="{FC03E772-DDBB-4559-B8EA-5FA5EF6D804C}"/>
    <cellStyle name="20% - Accent1 3 4 2 2_Jurisdictional Study" xfId="8432" xr:uid="{18270EAA-E020-40E7-A211-47A0036A3DBD}"/>
    <cellStyle name="20% - Accent1 3 4 2 3" xfId="3372" xr:uid="{9E541E8F-A299-4A9E-A5AE-FB0858C8DD98}"/>
    <cellStyle name="20% - Accent1 3 4 2_Jurisdictional Study" xfId="8431" xr:uid="{0F3EE50F-AD06-475E-83DF-7CA53C61683F}"/>
    <cellStyle name="20% - Accent1 3 4 3" xfId="3373" xr:uid="{C5C2BB8F-8B9B-4F5F-98CD-2FABD0624734}"/>
    <cellStyle name="20% - Accent1 3 4 3 2" xfId="3374" xr:uid="{2E4AF7FB-84BD-4834-A923-6EE95AE13A59}"/>
    <cellStyle name="20% - Accent1 3 4 3_Jurisdictional Study" xfId="8433" xr:uid="{C61C33C2-EF78-46EA-A612-E72311A9A845}"/>
    <cellStyle name="20% - Accent1 3 4 4" xfId="3375" xr:uid="{76873264-5621-4BCB-89B9-961A82EA7364}"/>
    <cellStyle name="20% - Accent1 3 4_Jurisdictional Study" xfId="8430" xr:uid="{ED3FA4FD-8224-4997-81F4-625CEAAA6CF5}"/>
    <cellStyle name="20% - Accent1 3 5" xfId="3376" xr:uid="{78EF0ECF-43E3-4CFF-AF38-D3D6A1928663}"/>
    <cellStyle name="20% - Accent1 3 5 2" xfId="3377" xr:uid="{E75494BB-DEF2-4A35-9158-800323CD80DB}"/>
    <cellStyle name="20% - Accent1 3 5 2 2" xfId="3378" xr:uid="{475F2DD9-B5A5-4262-8E0D-8B4DEFB31105}"/>
    <cellStyle name="20% - Accent1 3 5 2_Jurisdictional Study" xfId="8435" xr:uid="{6949866F-49BF-45C8-AB81-92BA5E9D1422}"/>
    <cellStyle name="20% - Accent1 3 5 3" xfId="3379" xr:uid="{72031116-E398-4BBC-96A6-844F3E0D4F4B}"/>
    <cellStyle name="20% - Accent1 3 5_Jurisdictional Study" xfId="8434" xr:uid="{96BB91D2-0F52-4410-B97C-F4D338FC59E6}"/>
    <cellStyle name="20% - Accent1 3 6" xfId="3380" xr:uid="{4EDD8EFE-2062-4CAC-96BD-EED5B9D6BCF2}"/>
    <cellStyle name="20% - Accent1 3 6 2" xfId="3381" xr:uid="{495DB590-6A59-46B8-BDFD-AFE647FEEAC3}"/>
    <cellStyle name="20% - Accent1 3 6_Jurisdictional Study" xfId="8436" xr:uid="{CB68944A-0C16-43CA-B5F3-31F604A6D78E}"/>
    <cellStyle name="20% - Accent1 3 7" xfId="3382" xr:uid="{D7403600-1073-49EA-ADD9-44D85B4F695C}"/>
    <cellStyle name="20% - Accent1 3 8" xfId="3319" xr:uid="{A4B04407-EDE0-44A8-900B-7BFF8D16C13C}"/>
    <cellStyle name="20% - Accent1 3_Jurisdictional Study" xfId="8405" xr:uid="{4F64BB4F-2F91-4F60-897A-3526E5E88248}"/>
    <cellStyle name="20% - Accent1 4" xfId="3383" xr:uid="{512C5458-73B0-4ABA-9C28-3441C1E26042}"/>
    <cellStyle name="20% - Accent1 4 2" xfId="3384" xr:uid="{A08F7573-2E53-4CCF-A422-1457EB624B49}"/>
    <cellStyle name="20% - Accent1 4 2 2" xfId="3385" xr:uid="{AFA61F2E-CC1F-4996-AE59-37C3740A1FC3}"/>
    <cellStyle name="20% - Accent1 4 2 2 2" xfId="3386" xr:uid="{40F89F29-89C3-4130-AC4D-6557A72335D2}"/>
    <cellStyle name="20% - Accent1 4 2 2 2 2" xfId="3387" xr:uid="{5B07426E-9722-4E4B-9338-D0CF2DCED342}"/>
    <cellStyle name="20% - Accent1 4 2 2 2 2 2" xfId="3388" xr:uid="{A12F023C-EE55-405A-A32D-E106351701C3}"/>
    <cellStyle name="20% - Accent1 4 2 2 2 2_Jurisdictional Study" xfId="8441" xr:uid="{7C5A436E-9F9C-4BFB-86CC-B6A087ABC155}"/>
    <cellStyle name="20% - Accent1 4 2 2 2 3" xfId="3389" xr:uid="{9F298816-6127-4AA2-B4BA-0B1AC8223AB6}"/>
    <cellStyle name="20% - Accent1 4 2 2 2_Jurisdictional Study" xfId="8440" xr:uid="{9D346D13-CECE-466A-82AE-68E43C7C7F11}"/>
    <cellStyle name="20% - Accent1 4 2 2 3" xfId="3390" xr:uid="{312771FC-DC75-455D-8983-536A7E5560C2}"/>
    <cellStyle name="20% - Accent1 4 2 2 3 2" xfId="3391" xr:uid="{9C4129F8-CF17-43BD-8807-15CE5AA4DE89}"/>
    <cellStyle name="20% - Accent1 4 2 2 3_Jurisdictional Study" xfId="8442" xr:uid="{8FEE565C-B790-4599-A8B6-D6365A718C77}"/>
    <cellStyle name="20% - Accent1 4 2 2 4" xfId="3392" xr:uid="{76FB86B0-EB90-486C-BD6B-0E29196E58C3}"/>
    <cellStyle name="20% - Accent1 4 2 2_Jurisdictional Study" xfId="8439" xr:uid="{21B0DBA0-9036-4367-B79D-A5A55AE76902}"/>
    <cellStyle name="20% - Accent1 4 2 3" xfId="3393" xr:uid="{FAD5C1CF-944D-46C9-8220-9A3A619F62B7}"/>
    <cellStyle name="20% - Accent1 4 2 3 2" xfId="3394" xr:uid="{55E2CA8A-DCEE-42AD-8B0A-EB8A0C724288}"/>
    <cellStyle name="20% - Accent1 4 2 3 2 2" xfId="3395" xr:uid="{C778CA42-1C98-4BCF-8A12-B5A27C901673}"/>
    <cellStyle name="20% - Accent1 4 2 3 2_Jurisdictional Study" xfId="8444" xr:uid="{024AEED6-C301-481D-9C14-18E598BE78FC}"/>
    <cellStyle name="20% - Accent1 4 2 3 3" xfId="3396" xr:uid="{58441F6E-285D-41F7-8562-A67372C7BF16}"/>
    <cellStyle name="20% - Accent1 4 2 3_Jurisdictional Study" xfId="8443" xr:uid="{3F774902-F82B-4F04-B50D-D8AE13365BE9}"/>
    <cellStyle name="20% - Accent1 4 2 4" xfId="3397" xr:uid="{C8FCBF53-A6E4-4C53-B70D-0400C8F9DC8E}"/>
    <cellStyle name="20% - Accent1 4 2 4 2" xfId="3398" xr:uid="{410A3844-31E6-41B0-BA3E-CE63FE896D68}"/>
    <cellStyle name="20% - Accent1 4 2 4_Jurisdictional Study" xfId="8445" xr:uid="{2454F34C-567D-4E61-BE1E-02A439DF3ADB}"/>
    <cellStyle name="20% - Accent1 4 2 5" xfId="3399" xr:uid="{B40071DE-99F7-429D-BC50-3AFD759A3EDE}"/>
    <cellStyle name="20% - Accent1 4 2_Jurisdictional Study" xfId="8438" xr:uid="{3D1C1922-F929-4A0E-96A6-41B5F759CD4A}"/>
    <cellStyle name="20% - Accent1 4 3" xfId="3400" xr:uid="{50B88C7C-A055-460E-B5C8-9B72AA1F6702}"/>
    <cellStyle name="20% - Accent1 4 3 2" xfId="3401" xr:uid="{7991B0E6-2EEE-44A5-B35B-A348889E2666}"/>
    <cellStyle name="20% - Accent1 4 3 2 2" xfId="3402" xr:uid="{01FE60C0-AA6B-4271-B51E-6BB79FC43E71}"/>
    <cellStyle name="20% - Accent1 4 3 2 2 2" xfId="3403" xr:uid="{44D22568-85A6-4621-A22A-2ECA94F11516}"/>
    <cellStyle name="20% - Accent1 4 3 2 2_Jurisdictional Study" xfId="8448" xr:uid="{28267785-3A24-4F92-8BF9-66653F500987}"/>
    <cellStyle name="20% - Accent1 4 3 2 3" xfId="3404" xr:uid="{CE88E44C-5E10-47EF-9E1E-10647856A9A4}"/>
    <cellStyle name="20% - Accent1 4 3 2_Jurisdictional Study" xfId="8447" xr:uid="{ECEFDC27-4316-4D6F-8D05-6B4627797C3E}"/>
    <cellStyle name="20% - Accent1 4 3 3" xfId="3405" xr:uid="{4B3D0C23-2717-4C60-BBB2-F0DBFF2F2CF1}"/>
    <cellStyle name="20% - Accent1 4 3 3 2" xfId="3406" xr:uid="{2D696882-CCB3-4486-901F-98AB833CE77B}"/>
    <cellStyle name="20% - Accent1 4 3 3_Jurisdictional Study" xfId="8449" xr:uid="{9CBFB556-B0D5-4AD7-A9A0-9F5835A3F226}"/>
    <cellStyle name="20% - Accent1 4 3 4" xfId="3407" xr:uid="{06E0FD18-DB26-4B7D-8A9A-D0EDB4B8412C}"/>
    <cellStyle name="20% - Accent1 4 3_Jurisdictional Study" xfId="8446" xr:uid="{186C398F-3BF4-431A-959E-EBD9242E209A}"/>
    <cellStyle name="20% - Accent1 4 4" xfId="3408" xr:uid="{2B115893-7D3E-4890-BF2F-D36DABA11A83}"/>
    <cellStyle name="20% - Accent1 4 4 2" xfId="3409" xr:uid="{64F37838-3FB3-4730-9FD4-60D9B931BE35}"/>
    <cellStyle name="20% - Accent1 4 4 2 2" xfId="3410" xr:uid="{8855A89F-9686-4587-A42F-CCB76B30DECE}"/>
    <cellStyle name="20% - Accent1 4 4 2_Jurisdictional Study" xfId="8451" xr:uid="{65235C7F-FDCE-49CC-A699-AEB62BE0B508}"/>
    <cellStyle name="20% - Accent1 4 4 3" xfId="3411" xr:uid="{4B6F5676-5706-4953-9CCF-90E96509B40F}"/>
    <cellStyle name="20% - Accent1 4 4_Jurisdictional Study" xfId="8450" xr:uid="{9E5DF9B4-C74E-4BB0-A39F-062A4FCF2B4B}"/>
    <cellStyle name="20% - Accent1 4 5" xfId="3412" xr:uid="{9F20FDD5-DDAB-4775-9321-2DFA9772B6AE}"/>
    <cellStyle name="20% - Accent1 4 5 2" xfId="3413" xr:uid="{15949DB8-65A5-4BB6-8F30-AA612A9601F0}"/>
    <cellStyle name="20% - Accent1 4 5_Jurisdictional Study" xfId="8452" xr:uid="{8DF093E7-9A2F-4933-8698-F745FE44D1D0}"/>
    <cellStyle name="20% - Accent1 4 6" xfId="3414" xr:uid="{75A4E1EC-CE10-44F2-8EAC-1D3840468580}"/>
    <cellStyle name="20% - Accent1 4_Jurisdictional Study" xfId="8437" xr:uid="{973197F4-9FAD-4962-9229-425AA80035B2}"/>
    <cellStyle name="20% - Accent1 5" xfId="3415" xr:uid="{F5ED78AA-1CBB-457E-AF79-631BDC4C701C}"/>
    <cellStyle name="20% - Accent1 5 2" xfId="3416" xr:uid="{D00B31EA-AD58-41B1-B28C-A9E897F80750}"/>
    <cellStyle name="20% - Accent1 5 2 2" xfId="3417" xr:uid="{32C4F7E3-E3FC-4E8B-9D75-DAF16CCCD421}"/>
    <cellStyle name="20% - Accent1 5 2 2 2" xfId="3418" xr:uid="{E1DD834F-0192-4447-85E6-FC76F0522520}"/>
    <cellStyle name="20% - Accent1 5 2 2 2 2" xfId="3419" xr:uid="{A3362686-9DE5-41D8-8294-D26A8AF408E1}"/>
    <cellStyle name="20% - Accent1 5 2 2 2_Jurisdictional Study" xfId="8456" xr:uid="{A8F26A80-D8BA-498A-8579-6B44006F5681}"/>
    <cellStyle name="20% - Accent1 5 2 2 3" xfId="3420" xr:uid="{C74A00A0-CABD-428F-B225-D5758B9EAAE0}"/>
    <cellStyle name="20% - Accent1 5 2 2_Jurisdictional Study" xfId="8455" xr:uid="{2FEB772D-9944-4C0B-8687-C4BD5DA7E998}"/>
    <cellStyle name="20% - Accent1 5 2 3" xfId="3421" xr:uid="{00EC5F42-9FBE-475F-BE25-B44C4D42AC92}"/>
    <cellStyle name="20% - Accent1 5 2 3 2" xfId="3422" xr:uid="{404FA1A3-92FE-4A27-B7A7-599E90D09F26}"/>
    <cellStyle name="20% - Accent1 5 2 3_Jurisdictional Study" xfId="8457" xr:uid="{4AE46944-EC31-468D-A9D0-6094F5929F9B}"/>
    <cellStyle name="20% - Accent1 5 2 4" xfId="3423" xr:uid="{A12BF99F-D0C7-4323-8821-E494EEDA3759}"/>
    <cellStyle name="20% - Accent1 5 2_Jurisdictional Study" xfId="8454" xr:uid="{8881E73F-EE66-4D18-890E-031259709143}"/>
    <cellStyle name="20% - Accent1 5 3" xfId="3424" xr:uid="{5E5CD873-8E76-4A22-8BEC-253900EBD970}"/>
    <cellStyle name="20% - Accent1 5 3 2" xfId="3425" xr:uid="{D8513E90-985D-40C5-8F9A-D3EFEB64CDBA}"/>
    <cellStyle name="20% - Accent1 5 3 2 2" xfId="3426" xr:uid="{4AF6FB15-F757-4114-A43A-CE0E674155B9}"/>
    <cellStyle name="20% - Accent1 5 3 2_Jurisdictional Study" xfId="8459" xr:uid="{7AC46994-9215-4A6A-9800-0A21B34D06AE}"/>
    <cellStyle name="20% - Accent1 5 3 3" xfId="3427" xr:uid="{DAF9FE7F-A019-403D-B404-A5E99B7DBADF}"/>
    <cellStyle name="20% - Accent1 5 3_Jurisdictional Study" xfId="8458" xr:uid="{2E9EF55C-BCA5-4412-B491-22F61FE65EE6}"/>
    <cellStyle name="20% - Accent1 5 4" xfId="3428" xr:uid="{0A61CF45-F072-4862-847C-D7BC1A9C59EB}"/>
    <cellStyle name="20% - Accent1 5 4 2" xfId="3429" xr:uid="{62333499-D9FC-4011-96CB-DEA7D4CB5A28}"/>
    <cellStyle name="20% - Accent1 5 4_Jurisdictional Study" xfId="8460" xr:uid="{F3EC043C-3D59-40CF-99E2-74432B48B602}"/>
    <cellStyle name="20% - Accent1 5 5" xfId="3430" xr:uid="{5AF013C5-B0C8-4739-AD8E-03EB2329AC23}"/>
    <cellStyle name="20% - Accent1 5_Jurisdictional Study" xfId="8453" xr:uid="{E4223E2F-6A62-4D3A-98B4-B29D9100DB37}"/>
    <cellStyle name="20% - Accent1 6" xfId="3431" xr:uid="{274EBADE-7FC7-4320-908F-4545EB29EDC0}"/>
    <cellStyle name="20% - Accent1 6 2" xfId="3432" xr:uid="{B768F90B-77A1-4748-A04C-4EC3EE43C954}"/>
    <cellStyle name="20% - Accent1 6 2 2" xfId="3433" xr:uid="{57B739FB-FC6E-4F71-80BF-0A7416527F44}"/>
    <cellStyle name="20% - Accent1 6 2 2 2" xfId="3434" xr:uid="{EFB720D5-5F9D-4F2E-899E-E3F3193303E2}"/>
    <cellStyle name="20% - Accent1 6 2 2_Jurisdictional Study" xfId="8463" xr:uid="{16CA07ED-2853-48E6-AC11-6990DC2F84BD}"/>
    <cellStyle name="20% - Accent1 6 2 3" xfId="3435" xr:uid="{735E2471-60C3-412D-B3F3-FA40BA2B5B97}"/>
    <cellStyle name="20% - Accent1 6 2_Jurisdictional Study" xfId="8462" xr:uid="{57DC323A-9EE3-4441-B923-787BF18F7343}"/>
    <cellStyle name="20% - Accent1 6 3" xfId="3436" xr:uid="{47C96D98-BED0-41F6-BBE3-88DC24168D01}"/>
    <cellStyle name="20% - Accent1 6 3 2" xfId="3437" xr:uid="{B2C19119-1AE9-4FBD-ACE8-E58CB88C302A}"/>
    <cellStyle name="20% - Accent1 6 3_Jurisdictional Study" xfId="8464" xr:uid="{BC6AF13B-2883-4D8E-B585-4DE42314F168}"/>
    <cellStyle name="20% - Accent1 6 4" xfId="3438" xr:uid="{A4CFA332-0FF3-49DF-9ACF-1A15256DA395}"/>
    <cellStyle name="20% - Accent1 6_Jurisdictional Study" xfId="8461" xr:uid="{0C5CBDD3-A859-417D-862A-F6DED490B309}"/>
    <cellStyle name="20% - Accent1 7" xfId="3439" xr:uid="{4C35D978-6686-48D9-9321-E6C6FC213F24}"/>
    <cellStyle name="20% - Accent1 7 2" xfId="3440" xr:uid="{2DAC4D3F-1A36-44B4-89E1-A623E655F055}"/>
    <cellStyle name="20% - Accent1 7 2 2" xfId="3441" xr:uid="{6861AE96-8C79-4728-BD64-9331C3AF712B}"/>
    <cellStyle name="20% - Accent1 7 2 2 2" xfId="3442" xr:uid="{AE711615-3453-42A3-B27D-7613FC998EF2}"/>
    <cellStyle name="20% - Accent1 7 2 2_Jurisdictional Study" xfId="8467" xr:uid="{D8417473-963D-409D-AE16-91305EA43FA3}"/>
    <cellStyle name="20% - Accent1 7 2 3" xfId="3443" xr:uid="{C96F5397-CFB0-41E0-B930-73A45E9DFF92}"/>
    <cellStyle name="20% - Accent1 7 2_Jurisdictional Study" xfId="8466" xr:uid="{4F649191-6E74-4683-BB32-B8A00B278591}"/>
    <cellStyle name="20% - Accent1 7 3" xfId="3444" xr:uid="{F5E230A3-2569-4B48-9A7F-AF4C60449C12}"/>
    <cellStyle name="20% - Accent1 7 3 2" xfId="3445" xr:uid="{276FD021-7494-4AEE-A6FF-EAA8F02DEE4D}"/>
    <cellStyle name="20% - Accent1 7 3_Jurisdictional Study" xfId="8468" xr:uid="{39603EE5-1404-4E74-A8DE-B83BC8F411AD}"/>
    <cellStyle name="20% - Accent1 7 4" xfId="3446" xr:uid="{97244A6E-336C-4BC2-BB97-04E4D2F1CF84}"/>
    <cellStyle name="20% - Accent1 7_Jurisdictional Study" xfId="8465" xr:uid="{4BA188ED-724E-4994-B8C1-36CAB8E2EEAD}"/>
    <cellStyle name="20% - Accent1 8" xfId="3447" xr:uid="{43BA4F40-7697-4A42-AE67-5792D6FAEB59}"/>
    <cellStyle name="20% - Accent1 8 2" xfId="3448" xr:uid="{EBA0204A-55E6-453D-922C-A831A0EC2E8E}"/>
    <cellStyle name="20% - Accent1 8 2 2" xfId="3449" xr:uid="{0634401A-6FBD-4C88-B5C8-095A40373F01}"/>
    <cellStyle name="20% - Accent1 8 2 2 2" xfId="3450" xr:uid="{8CCD54BD-3490-4E94-BC88-107EE4EEFCB3}"/>
    <cellStyle name="20% - Accent1 8 2 2_Jurisdictional Study" xfId="8471" xr:uid="{0C06F7E0-26B6-49FE-8A85-4EC19B84EA5A}"/>
    <cellStyle name="20% - Accent1 8 2 3" xfId="3451" xr:uid="{D6EADB97-6951-441F-B964-4BA144F47285}"/>
    <cellStyle name="20% - Accent1 8 2_Jurisdictional Study" xfId="8470" xr:uid="{4845363A-8A72-4FFF-868D-C9DF47F24437}"/>
    <cellStyle name="20% - Accent1 8 3" xfId="3452" xr:uid="{9321043C-6619-49E6-ACFB-012CD1564ADD}"/>
    <cellStyle name="20% - Accent1 8 3 2" xfId="3453" xr:uid="{D8AB9A0C-D6D5-4C57-A167-07362A9979FC}"/>
    <cellStyle name="20% - Accent1 8 3_Jurisdictional Study" xfId="8472" xr:uid="{427DF28C-988A-4D9C-BDE2-E1520300EED3}"/>
    <cellStyle name="20% - Accent1 8 4" xfId="3454" xr:uid="{235C8C16-0DCE-455F-9B6C-5741D6E34755}"/>
    <cellStyle name="20% - Accent1 8_Jurisdictional Study" xfId="8469" xr:uid="{6E475F68-9A49-4260-B4F8-52633745892A}"/>
    <cellStyle name="20% - Accent1 9" xfId="3455" xr:uid="{916B239F-0CCC-45A9-A217-062ACEA3B301}"/>
    <cellStyle name="20% - Accent1 9 2" xfId="3456" xr:uid="{FD673B3E-9852-4840-BCA9-15242839C5E8}"/>
    <cellStyle name="20% - Accent1 9 2 2" xfId="3457" xr:uid="{D3395275-3FCD-4233-8C2C-4B4AE4EBD432}"/>
    <cellStyle name="20% - Accent1 9 2_Jurisdictional Study" xfId="8474" xr:uid="{C4F9FE69-A911-4BD0-8391-03DF38294296}"/>
    <cellStyle name="20% - Accent1 9 3" xfId="3458" xr:uid="{2926DDF4-84E1-48C7-8963-5806CAF086DE}"/>
    <cellStyle name="20% - Accent1 9_Jurisdictional Study" xfId="8473" xr:uid="{27E14156-C6FA-4016-86BB-54CF0E91F464}"/>
    <cellStyle name="20% - Accent2" xfId="2" builtinId="34" customBuiltin="1"/>
    <cellStyle name="20% - Accent2 10" xfId="3459" xr:uid="{6CB6DF15-038B-4CC5-8F79-528160D47150}"/>
    <cellStyle name="20% - Accent2 10 2" xfId="3460" xr:uid="{62810C0A-27CC-4EBC-A0C2-7C1527D5F4E0}"/>
    <cellStyle name="20% - Accent2 10 2 2" xfId="3461" xr:uid="{8788F960-A8AC-4638-86D1-E935BDB9BEF2}"/>
    <cellStyle name="20% - Accent2 10 2_Jurisdictional Study" xfId="8476" xr:uid="{196D7902-B67D-495E-B378-308C43C38501}"/>
    <cellStyle name="20% - Accent2 10 3" xfId="3462" xr:uid="{710CAE33-9288-4213-B4C0-75D144102805}"/>
    <cellStyle name="20% - Accent2 10_Jurisdictional Study" xfId="8475" xr:uid="{8117743F-DDBD-4648-B73E-22E914DE151E}"/>
    <cellStyle name="20% - Accent2 11" xfId="3463" xr:uid="{A5D553FF-EDB6-4B2E-AC34-D3AFF7463489}"/>
    <cellStyle name="20% - Accent2 11 2" xfId="3464" xr:uid="{AC825748-4C07-44BE-B316-E14429F949AC}"/>
    <cellStyle name="20% - Accent2 11 2 2" xfId="3465" xr:uid="{DCE4D820-60E3-40C2-9D46-30A7EA9527F5}"/>
    <cellStyle name="20% - Accent2 11 2_Jurisdictional Study" xfId="8478" xr:uid="{4246975C-FF36-4AAC-A92C-4A8315EDB0E8}"/>
    <cellStyle name="20% - Accent2 11 3" xfId="3466" xr:uid="{FF6D0616-9F85-482B-822B-A5A855B1806C}"/>
    <cellStyle name="20% - Accent2 11_Jurisdictional Study" xfId="8477" xr:uid="{FF6F2F81-AB92-46E1-8E23-AA744C96B7B5}"/>
    <cellStyle name="20% - Accent2 12" xfId="3467" xr:uid="{8E8C4716-5C37-48B9-888E-A2D548E69485}"/>
    <cellStyle name="20% - Accent2 12 2" xfId="3468" xr:uid="{EC6FF1A2-8302-491A-B367-A2C442B1B955}"/>
    <cellStyle name="20% - Accent2 12_Jurisdictional Study" xfId="8479" xr:uid="{EA6C72EA-ADA1-457E-ABE6-E74502A7DA94}"/>
    <cellStyle name="20% - Accent2 13" xfId="3469" xr:uid="{D68C14C6-A8B6-4408-A02D-CE697669CEED}"/>
    <cellStyle name="20% - Accent2 14" xfId="3174" xr:uid="{F653E566-9467-4539-9B1F-223FEDAE1B01}"/>
    <cellStyle name="20% - Accent2 2" xfId="248" xr:uid="{7338BA35-204C-4BAC-9478-6523C23F47F4}"/>
    <cellStyle name="20% - Accent2 2 2" xfId="3471" xr:uid="{4E41C447-536E-42A2-A5E3-66FC0AC23303}"/>
    <cellStyle name="20% - Accent2 2 2 2" xfId="3472" xr:uid="{6664C6FC-83A6-4555-A878-D7312FACC686}"/>
    <cellStyle name="20% - Accent2 2 2 2 2" xfId="3473" xr:uid="{AE502B35-4229-458D-8E90-29EDB850E87B}"/>
    <cellStyle name="20% - Accent2 2 2 2 2 2" xfId="3474" xr:uid="{EF23CB93-3EC7-4774-8368-35D3B2E89802}"/>
    <cellStyle name="20% - Accent2 2 2 2 2 2 2" xfId="3475" xr:uid="{FF426FCF-AD13-4E1D-9ABE-BB802D653C47}"/>
    <cellStyle name="20% - Accent2 2 2 2 2 2 2 2" xfId="3476" xr:uid="{5DF7F5B8-49C1-45F0-B394-8188985E3680}"/>
    <cellStyle name="20% - Accent2 2 2 2 2 2 2_Jurisdictional Study" xfId="8484" xr:uid="{A57AEC9C-F867-4E5F-9997-C75CF3498459}"/>
    <cellStyle name="20% - Accent2 2 2 2 2 2 3" xfId="3477" xr:uid="{69C97662-9961-4AD5-ABAA-DF4880C90334}"/>
    <cellStyle name="20% - Accent2 2 2 2 2 2_Jurisdictional Study" xfId="8483" xr:uid="{9DC44FE4-C409-4EB2-87BE-E0E88FFE8D54}"/>
    <cellStyle name="20% - Accent2 2 2 2 2 3" xfId="3478" xr:uid="{457AAEB7-020E-420D-8232-EB89B8F0E18C}"/>
    <cellStyle name="20% - Accent2 2 2 2 2 3 2" xfId="3479" xr:uid="{DEB17332-E38C-4DD4-9F18-F187519FB967}"/>
    <cellStyle name="20% - Accent2 2 2 2 2 3_Jurisdictional Study" xfId="8485" xr:uid="{5375CFA5-770D-4DC4-8D13-31679BC719A8}"/>
    <cellStyle name="20% - Accent2 2 2 2 2 4" xfId="3480" xr:uid="{82CC5766-A8DE-4558-B3ED-D35A5C87FD31}"/>
    <cellStyle name="20% - Accent2 2 2 2 2_Jurisdictional Study" xfId="8482" xr:uid="{E0C431AD-9580-4496-AC7F-9E068F7C589F}"/>
    <cellStyle name="20% - Accent2 2 2 2 3" xfId="3481" xr:uid="{9AED9905-6C52-4327-A9E0-F84E53492CA7}"/>
    <cellStyle name="20% - Accent2 2 2 2 3 2" xfId="3482" xr:uid="{F9728106-279F-49A7-BD2F-28F4CF6AFFD1}"/>
    <cellStyle name="20% - Accent2 2 2 2 3 2 2" xfId="3483" xr:uid="{8CB539AE-F64A-4E1E-AFFD-6AE1AF5D26D6}"/>
    <cellStyle name="20% - Accent2 2 2 2 3 2_Jurisdictional Study" xfId="8487" xr:uid="{C46F6F5E-4C11-4956-B411-8B3F84FE12DD}"/>
    <cellStyle name="20% - Accent2 2 2 2 3 3" xfId="3484" xr:uid="{34EA9815-F34F-4493-B8CE-0257E28300DB}"/>
    <cellStyle name="20% - Accent2 2 2 2 3_Jurisdictional Study" xfId="8486" xr:uid="{4648911E-A2FA-430F-80E7-9F58E9ACF135}"/>
    <cellStyle name="20% - Accent2 2 2 2 4" xfId="3485" xr:uid="{20E4B88E-4CA3-4EFE-B3FA-46416EC7DE5D}"/>
    <cellStyle name="20% - Accent2 2 2 2 4 2" xfId="3486" xr:uid="{1E9F0021-3EF4-4F30-B037-61900BB9562C}"/>
    <cellStyle name="20% - Accent2 2 2 2 4_Jurisdictional Study" xfId="8488" xr:uid="{3CE0CCCD-49C8-4968-8D73-F79407464607}"/>
    <cellStyle name="20% - Accent2 2 2 2 5" xfId="3487" xr:uid="{8FAC60BF-1D9F-48FC-A57B-CF30E74AFB91}"/>
    <cellStyle name="20% - Accent2 2 2 2_Jurisdictional Study" xfId="8481" xr:uid="{4507E885-2871-4AB1-B380-0D2862AEBED6}"/>
    <cellStyle name="20% - Accent2 2 2 3" xfId="3488" xr:uid="{B4223974-CDFC-4110-9CC5-3585FE206080}"/>
    <cellStyle name="20% - Accent2 2 2 3 2" xfId="3489" xr:uid="{9207BAE5-3885-4CD4-A230-AF194CAA8965}"/>
    <cellStyle name="20% - Accent2 2 2 3 2 2" xfId="3490" xr:uid="{2361E442-F9A2-442B-B2F8-AB3829370FDB}"/>
    <cellStyle name="20% - Accent2 2 2 3 2 2 2" xfId="3491" xr:uid="{1F036B52-21AB-4FDC-A5E9-4ED94FF78EE9}"/>
    <cellStyle name="20% - Accent2 2 2 3 2 2_Jurisdictional Study" xfId="8491" xr:uid="{40A6B9C1-4DB4-4B5D-96F3-C57C43ED71BD}"/>
    <cellStyle name="20% - Accent2 2 2 3 2 3" xfId="3492" xr:uid="{5DF5CCD7-F562-4516-9C01-2EBE8168985F}"/>
    <cellStyle name="20% - Accent2 2 2 3 2_Jurisdictional Study" xfId="8490" xr:uid="{B1DDC8B9-03DE-46D0-A38B-EA51D5995D9C}"/>
    <cellStyle name="20% - Accent2 2 2 3 3" xfId="3493" xr:uid="{BCED7117-C9DF-4317-BE50-659964F059C0}"/>
    <cellStyle name="20% - Accent2 2 2 3 3 2" xfId="3494" xr:uid="{DDBB20B5-EF09-45A0-A7C6-A93A770B2E6E}"/>
    <cellStyle name="20% - Accent2 2 2 3 3_Jurisdictional Study" xfId="8492" xr:uid="{9B01A417-3CAA-4000-B138-298862FD9CFD}"/>
    <cellStyle name="20% - Accent2 2 2 3 4" xfId="3495" xr:uid="{24DC3720-9FDE-4B1F-B791-BDF0258E6D1D}"/>
    <cellStyle name="20% - Accent2 2 2 3_Jurisdictional Study" xfId="8489" xr:uid="{EAF12419-AA21-4A52-90A2-7D2C247EEF78}"/>
    <cellStyle name="20% - Accent2 2 2 4" xfId="3496" xr:uid="{D2B17ABE-40FD-41A6-BC10-7451B83576C4}"/>
    <cellStyle name="20% - Accent2 2 2 4 2" xfId="3497" xr:uid="{F61085C0-C457-4A5F-94B4-75F2AD8056DA}"/>
    <cellStyle name="20% - Accent2 2 2 4 2 2" xfId="3498" xr:uid="{A60B054F-BA38-4AC2-8B4A-E4CC669CD9EE}"/>
    <cellStyle name="20% - Accent2 2 2 4 2_Jurisdictional Study" xfId="8494" xr:uid="{DD593011-F0F5-4AD1-BBCC-1958E8D1BC6E}"/>
    <cellStyle name="20% - Accent2 2 2 4 3" xfId="3499" xr:uid="{DB75DE59-720F-4C6B-8309-B32B70B898B5}"/>
    <cellStyle name="20% - Accent2 2 2 4_Jurisdictional Study" xfId="8493" xr:uid="{5B857AC2-35CE-4085-B08E-8226F1EA4B8D}"/>
    <cellStyle name="20% - Accent2 2 2 5" xfId="3500" xr:uid="{1277CD4E-A45E-4D09-ADF6-4C75DBC8F86A}"/>
    <cellStyle name="20% - Accent2 2 2 5 2" xfId="3501" xr:uid="{3C66A83B-8206-4705-83C7-D1C8566234EA}"/>
    <cellStyle name="20% - Accent2 2 2 5_Jurisdictional Study" xfId="8495" xr:uid="{CD59AF30-1059-48DB-85DF-2A8755FB6D02}"/>
    <cellStyle name="20% - Accent2 2 2 6" xfId="3502" xr:uid="{EB8673EC-761C-42BA-86A7-50B7C7DBFC30}"/>
    <cellStyle name="20% - Accent2 2 2_Jurisdictional Study" xfId="8480" xr:uid="{07D77504-479B-409A-AE6F-3F4704E9C7CE}"/>
    <cellStyle name="20% - Accent2 2 3" xfId="3503" xr:uid="{D3E8DEE9-43B4-4CD8-8BE8-D3F9834EDD21}"/>
    <cellStyle name="20% - Accent2 2 3 2" xfId="3504" xr:uid="{7B5EC2D7-DB15-40A9-AF98-4AFA1232E1F1}"/>
    <cellStyle name="20% - Accent2 2 3 2 2" xfId="3505" xr:uid="{2BE6B8E7-5F63-462A-9E66-D6FE3E590531}"/>
    <cellStyle name="20% - Accent2 2 3 2 2 2" xfId="3506" xr:uid="{E7190162-257F-4579-ADB0-E28CDEA75E3E}"/>
    <cellStyle name="20% - Accent2 2 3 2 2 2 2" xfId="3507" xr:uid="{96CE040F-2DC4-468D-8819-D6F4289FE948}"/>
    <cellStyle name="20% - Accent2 2 3 2 2 2_Jurisdictional Study" xfId="8499" xr:uid="{EE139D2E-F095-441E-A928-48F9662BA876}"/>
    <cellStyle name="20% - Accent2 2 3 2 2 3" xfId="3508" xr:uid="{668B074A-F37A-47E3-89E0-C2E6A61A86BB}"/>
    <cellStyle name="20% - Accent2 2 3 2 2_Jurisdictional Study" xfId="8498" xr:uid="{95131350-B0F3-4975-B064-F71256711CC2}"/>
    <cellStyle name="20% - Accent2 2 3 2 3" xfId="3509" xr:uid="{7AD45BCA-5365-4B89-9489-758EF6CBF709}"/>
    <cellStyle name="20% - Accent2 2 3 2 3 2" xfId="3510" xr:uid="{E70E45D4-A362-46E1-9D8E-CEE4290D040D}"/>
    <cellStyle name="20% - Accent2 2 3 2 3_Jurisdictional Study" xfId="8500" xr:uid="{558CF050-CB03-47BF-92D1-3167A5EA987C}"/>
    <cellStyle name="20% - Accent2 2 3 2 4" xfId="3511" xr:uid="{56F06413-BDD4-422A-A248-27F6F7D9B765}"/>
    <cellStyle name="20% - Accent2 2 3 2_Jurisdictional Study" xfId="8497" xr:uid="{40340CB2-50B0-465F-8D46-B0AD4CCF2876}"/>
    <cellStyle name="20% - Accent2 2 3 3" xfId="3512" xr:uid="{BC1B6258-DFEB-437B-B30B-35A39C3749E1}"/>
    <cellStyle name="20% - Accent2 2 3 3 2" xfId="3513" xr:uid="{D14D3361-2CCA-44E2-9653-D387576A2E05}"/>
    <cellStyle name="20% - Accent2 2 3 3 2 2" xfId="3514" xr:uid="{D2C2B901-F716-4ED5-B64B-CA3A311381EC}"/>
    <cellStyle name="20% - Accent2 2 3 3 2_Jurisdictional Study" xfId="8502" xr:uid="{7C5617C4-6CFF-418D-9F74-EC7506BB51C3}"/>
    <cellStyle name="20% - Accent2 2 3 3 3" xfId="3515" xr:uid="{1CE9E2F0-DEE5-41EF-9404-26B656B2AAF1}"/>
    <cellStyle name="20% - Accent2 2 3 3_Jurisdictional Study" xfId="8501" xr:uid="{4AF4060C-1AD2-470A-B379-1A1A49EB964B}"/>
    <cellStyle name="20% - Accent2 2 3 4" xfId="3516" xr:uid="{4D7EF9D6-3FAF-46F5-9BD3-A7E7D3B4B958}"/>
    <cellStyle name="20% - Accent2 2 3 4 2" xfId="3517" xr:uid="{278E9C3D-CB6D-4AE6-A164-641423082EC3}"/>
    <cellStyle name="20% - Accent2 2 3 4_Jurisdictional Study" xfId="8503" xr:uid="{CB52FE5F-FFE8-4F5F-AD69-17B1973AD8CB}"/>
    <cellStyle name="20% - Accent2 2 3 5" xfId="3518" xr:uid="{9B53A1F9-4070-4189-BDBF-466D46274E0C}"/>
    <cellStyle name="20% - Accent2 2 3_Jurisdictional Study" xfId="8496" xr:uid="{02EFD6AF-E2B8-4015-AA33-85E4B131CE25}"/>
    <cellStyle name="20% - Accent2 2 4" xfId="3519" xr:uid="{FD7835B7-1EA1-43BF-8336-9AD7A49C28DF}"/>
    <cellStyle name="20% - Accent2 2 4 2" xfId="3520" xr:uid="{12835874-1E5E-4C56-BE76-2F67C9F43C1E}"/>
    <cellStyle name="20% - Accent2 2 4 2 2" xfId="3521" xr:uid="{3CC86217-7A31-4A1F-9C8A-5DA15CEC5D32}"/>
    <cellStyle name="20% - Accent2 2 4 2 2 2" xfId="3522" xr:uid="{EAECED74-6F0E-455C-8362-52BE9F5AFDAC}"/>
    <cellStyle name="20% - Accent2 2 4 2 2_Jurisdictional Study" xfId="8506" xr:uid="{338F2DE4-B7E7-44D2-B46F-EE7E625EB99E}"/>
    <cellStyle name="20% - Accent2 2 4 2 3" xfId="3523" xr:uid="{4C47A476-1C22-4C65-8420-82B6A995EF62}"/>
    <cellStyle name="20% - Accent2 2 4 2_Jurisdictional Study" xfId="8505" xr:uid="{958C24EB-4EEC-4C2D-8EB1-2BFFE633C459}"/>
    <cellStyle name="20% - Accent2 2 4 3" xfId="3524" xr:uid="{0BFBC687-36FD-46A6-AC4A-AB465E127466}"/>
    <cellStyle name="20% - Accent2 2 4 3 2" xfId="3525" xr:uid="{999E3483-B41E-494E-9E53-42759D787BB0}"/>
    <cellStyle name="20% - Accent2 2 4 3_Jurisdictional Study" xfId="8507" xr:uid="{6F4E7968-5CD0-4149-BF63-3CE46A917ADE}"/>
    <cellStyle name="20% - Accent2 2 4 4" xfId="3526" xr:uid="{54EAF04A-27A7-471F-BADB-D5E277FBE068}"/>
    <cellStyle name="20% - Accent2 2 4_Jurisdictional Study" xfId="8504" xr:uid="{B9D5DC04-D2E2-420C-A4AA-D901AB3DFFBB}"/>
    <cellStyle name="20% - Accent2 2 5" xfId="3527" xr:uid="{36BAE9F8-D6F0-4FCC-8689-F4593AF14880}"/>
    <cellStyle name="20% - Accent2 2 5 2" xfId="3528" xr:uid="{8FC5973D-DBAB-468C-BE89-CAAC82E769F4}"/>
    <cellStyle name="20% - Accent2 2 5 2 2" xfId="3529" xr:uid="{5C2D9F0A-A341-4B6A-86A0-57F0402D3AC8}"/>
    <cellStyle name="20% - Accent2 2 5 2_Jurisdictional Study" xfId="8509" xr:uid="{D91CB6A0-6029-4A83-9AE5-22E2A98B113F}"/>
    <cellStyle name="20% - Accent2 2 5 3" xfId="3530" xr:uid="{3E8922B4-D9DD-4568-992E-FEE31FE1B336}"/>
    <cellStyle name="20% - Accent2 2 5_Jurisdictional Study" xfId="8508" xr:uid="{C851A1E4-2419-4153-A248-892814C7FEFF}"/>
    <cellStyle name="20% - Accent2 2 6" xfId="3531" xr:uid="{71DEFB3A-B686-4133-B8FB-108C3B38DC85}"/>
    <cellStyle name="20% - Accent2 2 6 2" xfId="3532" xr:uid="{B4F417AC-DF42-48E2-898A-9A1BD666A14B}"/>
    <cellStyle name="20% - Accent2 2 6_Jurisdictional Study" xfId="8510" xr:uid="{1EF6ECFD-E725-42A6-AFDA-E2F70B657FD5}"/>
    <cellStyle name="20% - Accent2 2 7" xfId="3533" xr:uid="{274AB7FE-F52F-4DA8-AA44-48B25CBBB063}"/>
    <cellStyle name="20% - Accent2 2 8" xfId="3470" xr:uid="{A9C206A9-E299-45FC-8B2E-E0B4FAFE85DB}"/>
    <cellStyle name="20% - Accent2 3" xfId="3206" xr:uid="{17671F7D-69F7-47D5-B8D1-BE43C9E336E1}"/>
    <cellStyle name="20% - Accent2 3 2" xfId="3535" xr:uid="{76C01CC3-C62D-449C-A6B3-B40CE88E2209}"/>
    <cellStyle name="20% - Accent2 3 2 2" xfId="3536" xr:uid="{8257A60E-CCC5-435A-AFDE-E504FF0B7E80}"/>
    <cellStyle name="20% - Accent2 3 2 2 2" xfId="3537" xr:uid="{23627BE2-47F4-42D9-99C0-7B8DED21353D}"/>
    <cellStyle name="20% - Accent2 3 2 2 2 2" xfId="3538" xr:uid="{585503EB-67E3-4C11-882F-648F6669EB53}"/>
    <cellStyle name="20% - Accent2 3 2 2 2 2 2" xfId="3539" xr:uid="{62DAE00E-9AD1-49C0-9730-F361DFC809C4}"/>
    <cellStyle name="20% - Accent2 3 2 2 2 2 2 2" xfId="3540" xr:uid="{C33B14D6-310A-41BF-B0AF-E94BBEE940B0}"/>
    <cellStyle name="20% - Accent2 3 2 2 2 2 2_Jurisdictional Study" xfId="8516" xr:uid="{12979AB9-13C6-4AC1-BE41-B21154787302}"/>
    <cellStyle name="20% - Accent2 3 2 2 2 2 3" xfId="3541" xr:uid="{A10496C7-3C30-4EFD-B6F3-155C66319E98}"/>
    <cellStyle name="20% - Accent2 3 2 2 2 2_Jurisdictional Study" xfId="8515" xr:uid="{A5ADF84E-0211-4622-8968-C47E2014DECB}"/>
    <cellStyle name="20% - Accent2 3 2 2 2 3" xfId="3542" xr:uid="{51E7FBCE-405E-49B8-A816-A096F91CA7E0}"/>
    <cellStyle name="20% - Accent2 3 2 2 2 3 2" xfId="3543" xr:uid="{EDAEE49D-A022-4B7E-83BA-CE7623DF7844}"/>
    <cellStyle name="20% - Accent2 3 2 2 2 3_Jurisdictional Study" xfId="8517" xr:uid="{5BA00845-15EB-434F-8EC3-89E8E8335E8B}"/>
    <cellStyle name="20% - Accent2 3 2 2 2 4" xfId="3544" xr:uid="{0017A35F-5B76-4497-9CCE-211DD5BC7E49}"/>
    <cellStyle name="20% - Accent2 3 2 2 2_Jurisdictional Study" xfId="8514" xr:uid="{D32F2A00-C0CF-4D86-A018-C7449C844D1D}"/>
    <cellStyle name="20% - Accent2 3 2 2 3" xfId="3545" xr:uid="{6A1C9492-2AB7-45C3-AE4F-6654A4613F78}"/>
    <cellStyle name="20% - Accent2 3 2 2 3 2" xfId="3546" xr:uid="{56C0670E-2094-426D-A9B7-9ACACA9BAC78}"/>
    <cellStyle name="20% - Accent2 3 2 2 3 2 2" xfId="3547" xr:uid="{AA8D97AE-0D04-4431-A4ED-59113F88BE35}"/>
    <cellStyle name="20% - Accent2 3 2 2 3 2_Jurisdictional Study" xfId="8519" xr:uid="{2C753D29-F37F-4D53-85AB-9EC46B2498B9}"/>
    <cellStyle name="20% - Accent2 3 2 2 3 3" xfId="3548" xr:uid="{B14B4F99-150E-4673-B3DA-800BE6EFB986}"/>
    <cellStyle name="20% - Accent2 3 2 2 3_Jurisdictional Study" xfId="8518" xr:uid="{C4F6E40E-6EEE-4F81-9F72-30D44775533D}"/>
    <cellStyle name="20% - Accent2 3 2 2 4" xfId="3549" xr:uid="{FFDC88E4-2D79-4D60-B228-DCF452B43BF4}"/>
    <cellStyle name="20% - Accent2 3 2 2 4 2" xfId="3550" xr:uid="{B808B61D-7068-452D-857C-98E587D1AE78}"/>
    <cellStyle name="20% - Accent2 3 2 2 4_Jurisdictional Study" xfId="8520" xr:uid="{A5F5DCC7-69DE-42BB-9757-C1C8D8F9001D}"/>
    <cellStyle name="20% - Accent2 3 2 2 5" xfId="3551" xr:uid="{192EBE1C-D0C9-4947-8DAF-31D418B5CC9F}"/>
    <cellStyle name="20% - Accent2 3 2 2_Jurisdictional Study" xfId="8513" xr:uid="{9E4E7A4F-BC6A-45BE-8940-041D5E9FE988}"/>
    <cellStyle name="20% - Accent2 3 2 3" xfId="3552" xr:uid="{902C96F6-8A3F-4828-8BC2-466E18888DD1}"/>
    <cellStyle name="20% - Accent2 3 2 3 2" xfId="3553" xr:uid="{01A99D35-CC30-4C10-999D-D894CECF68F2}"/>
    <cellStyle name="20% - Accent2 3 2 3 2 2" xfId="3554" xr:uid="{9FB9BCE3-293C-4A33-BF57-3105356F3038}"/>
    <cellStyle name="20% - Accent2 3 2 3 2 2 2" xfId="3555" xr:uid="{24D2903D-4037-4AC6-9EA9-9D4F8ABA58F5}"/>
    <cellStyle name="20% - Accent2 3 2 3 2 2_Jurisdictional Study" xfId="8523" xr:uid="{4B4C0556-7D75-4578-9F19-E9A7C1A3AA3F}"/>
    <cellStyle name="20% - Accent2 3 2 3 2 3" xfId="3556" xr:uid="{D6DE5E3C-76B1-4EB4-BD0F-CB6C39A51C2D}"/>
    <cellStyle name="20% - Accent2 3 2 3 2_Jurisdictional Study" xfId="8522" xr:uid="{128784FB-A383-452C-BEDE-C488BA9E2261}"/>
    <cellStyle name="20% - Accent2 3 2 3 3" xfId="3557" xr:uid="{A1D99900-C580-41FC-8FC3-D950DFBFA156}"/>
    <cellStyle name="20% - Accent2 3 2 3 3 2" xfId="3558" xr:uid="{D322D293-CBFE-48C1-9AC7-1CE34B459D83}"/>
    <cellStyle name="20% - Accent2 3 2 3 3_Jurisdictional Study" xfId="8524" xr:uid="{A48373CD-65BD-4EF7-B838-EF73255D9AAD}"/>
    <cellStyle name="20% - Accent2 3 2 3 4" xfId="3559" xr:uid="{4B0B0AA1-3ADA-49B7-AD74-277AB8FFA3F9}"/>
    <cellStyle name="20% - Accent2 3 2 3_Jurisdictional Study" xfId="8521" xr:uid="{72409B3B-87F2-4C76-A879-89B9EB70F0F7}"/>
    <cellStyle name="20% - Accent2 3 2 4" xfId="3560" xr:uid="{BC283E4E-24CE-430B-BC3C-429F0B184383}"/>
    <cellStyle name="20% - Accent2 3 2 4 2" xfId="3561" xr:uid="{ACFD2F61-604D-467D-9A48-0670CEBB65EE}"/>
    <cellStyle name="20% - Accent2 3 2 4 2 2" xfId="3562" xr:uid="{551C094F-E64F-48D3-8DF2-D4E7AE6469A2}"/>
    <cellStyle name="20% - Accent2 3 2 4 2_Jurisdictional Study" xfId="8526" xr:uid="{BC99F5A4-4945-4E07-8843-76E03E32707A}"/>
    <cellStyle name="20% - Accent2 3 2 4 3" xfId="3563" xr:uid="{CC5E3CC0-912D-4345-B1B0-DFFEF89F62E2}"/>
    <cellStyle name="20% - Accent2 3 2 4_Jurisdictional Study" xfId="8525" xr:uid="{1FB72D05-9821-40B3-AB1C-5F0CF82D0406}"/>
    <cellStyle name="20% - Accent2 3 2 5" xfId="3564" xr:uid="{3A0519E1-C5FD-49B9-BFD1-71463243C5D8}"/>
    <cellStyle name="20% - Accent2 3 2 5 2" xfId="3565" xr:uid="{DFFDAB05-E131-4065-990C-B917B49033C3}"/>
    <cellStyle name="20% - Accent2 3 2 5_Jurisdictional Study" xfId="8527" xr:uid="{260BCC77-CEBE-4B97-A786-439AE2E3A690}"/>
    <cellStyle name="20% - Accent2 3 2 6" xfId="3566" xr:uid="{CF28F452-1441-4950-A9DF-C56121B9B363}"/>
    <cellStyle name="20% - Accent2 3 2_Jurisdictional Study" xfId="8512" xr:uid="{E004E72A-2601-4DB7-BA4D-31B43B17708A}"/>
    <cellStyle name="20% - Accent2 3 3" xfId="3567" xr:uid="{27C40624-C909-43FE-A842-E7A48E0D37D9}"/>
    <cellStyle name="20% - Accent2 3 3 2" xfId="3568" xr:uid="{30438CFC-2885-4068-8E65-090F09E59B66}"/>
    <cellStyle name="20% - Accent2 3 3 2 2" xfId="3569" xr:uid="{5FC57D9D-620D-4F67-9A39-28C089BBB743}"/>
    <cellStyle name="20% - Accent2 3 3 2 2 2" xfId="3570" xr:uid="{736DF0B4-CFCF-4397-BB17-1850AC0AECAD}"/>
    <cellStyle name="20% - Accent2 3 3 2 2 2 2" xfId="3571" xr:uid="{CBDDA405-7F9C-4E8D-A6DC-8F72B40147CB}"/>
    <cellStyle name="20% - Accent2 3 3 2 2 2_Jurisdictional Study" xfId="8531" xr:uid="{1E97A340-876D-46AD-A577-B365FE357F11}"/>
    <cellStyle name="20% - Accent2 3 3 2 2 3" xfId="3572" xr:uid="{8CEFF967-7142-4488-97C6-79458845CACF}"/>
    <cellStyle name="20% - Accent2 3 3 2 2_Jurisdictional Study" xfId="8530" xr:uid="{D07901B1-D53B-416B-912C-5331D148E82C}"/>
    <cellStyle name="20% - Accent2 3 3 2 3" xfId="3573" xr:uid="{89846CBE-BBCB-4DE4-8380-D7974D82F618}"/>
    <cellStyle name="20% - Accent2 3 3 2 3 2" xfId="3574" xr:uid="{8FC64894-7AAB-4D0F-9887-BD9EB6D080D7}"/>
    <cellStyle name="20% - Accent2 3 3 2 3_Jurisdictional Study" xfId="8532" xr:uid="{D394BCD0-3E61-4256-AAAB-4B1424948639}"/>
    <cellStyle name="20% - Accent2 3 3 2 4" xfId="3575" xr:uid="{F91CD118-B7C9-4940-BE72-C1DFA0C04E95}"/>
    <cellStyle name="20% - Accent2 3 3 2_Jurisdictional Study" xfId="8529" xr:uid="{129E7061-5A51-44CD-9962-1BCC35B6581F}"/>
    <cellStyle name="20% - Accent2 3 3 3" xfId="3576" xr:uid="{00B56191-3EB2-478E-AFED-D510921D0502}"/>
    <cellStyle name="20% - Accent2 3 3 3 2" xfId="3577" xr:uid="{C7273CAF-269B-4222-809C-1844060C5C0B}"/>
    <cellStyle name="20% - Accent2 3 3 3 2 2" xfId="3578" xr:uid="{983A94ED-123A-4F7B-88F2-FB8EC76D1992}"/>
    <cellStyle name="20% - Accent2 3 3 3 2_Jurisdictional Study" xfId="8534" xr:uid="{2D898F81-DDA2-434E-ACC2-9595E3325F7D}"/>
    <cellStyle name="20% - Accent2 3 3 3 3" xfId="3579" xr:uid="{81E53F49-56E6-41E5-9599-3DC6B2E4D372}"/>
    <cellStyle name="20% - Accent2 3 3 3_Jurisdictional Study" xfId="8533" xr:uid="{05369C5F-4DDD-4DEC-B58D-FF64DA58C6D2}"/>
    <cellStyle name="20% - Accent2 3 3 4" xfId="3580" xr:uid="{58482E9D-C645-4FBC-A5A7-0078448F05C2}"/>
    <cellStyle name="20% - Accent2 3 3 4 2" xfId="3581" xr:uid="{295ABD1A-292D-495F-91D4-DA8A78C871B7}"/>
    <cellStyle name="20% - Accent2 3 3 4_Jurisdictional Study" xfId="8535" xr:uid="{51F804A1-BAA9-43BE-9D83-E11FDA490118}"/>
    <cellStyle name="20% - Accent2 3 3 5" xfId="3582" xr:uid="{E99C2EDC-320E-440F-9BFA-C2A83CE9EF0B}"/>
    <cellStyle name="20% - Accent2 3 3_Jurisdictional Study" xfId="8528" xr:uid="{176A963B-01DC-4BB9-8FB8-853B72416400}"/>
    <cellStyle name="20% - Accent2 3 4" xfId="3583" xr:uid="{CC5D48A8-BBF7-46A7-846E-712FCC8CEA56}"/>
    <cellStyle name="20% - Accent2 3 4 2" xfId="3584" xr:uid="{538704FA-5BD7-47FE-9917-1158BBF5B755}"/>
    <cellStyle name="20% - Accent2 3 4 2 2" xfId="3585" xr:uid="{C44EBFB5-59E7-4663-9A4A-8213CF5BFEE0}"/>
    <cellStyle name="20% - Accent2 3 4 2 2 2" xfId="3586" xr:uid="{85B84DD9-83CD-43F8-A36B-E0C20B9A779C}"/>
    <cellStyle name="20% - Accent2 3 4 2 2_Jurisdictional Study" xfId="8538" xr:uid="{1166D740-32FB-43AC-8D26-CA37B6711EF1}"/>
    <cellStyle name="20% - Accent2 3 4 2 3" xfId="3587" xr:uid="{5C49D0D8-4D4E-4C21-AC41-B5E9CA7AAF65}"/>
    <cellStyle name="20% - Accent2 3 4 2_Jurisdictional Study" xfId="8537" xr:uid="{A55286C0-0CD0-4946-949F-4ACE1924B38E}"/>
    <cellStyle name="20% - Accent2 3 4 3" xfId="3588" xr:uid="{27F662DE-32F3-41FD-8B1A-70915FD814A3}"/>
    <cellStyle name="20% - Accent2 3 4 3 2" xfId="3589" xr:uid="{C48F82A4-FE12-423A-BD63-31F5BA16A29F}"/>
    <cellStyle name="20% - Accent2 3 4 3_Jurisdictional Study" xfId="8539" xr:uid="{D6CABB4A-A26D-4FA1-B5E3-8BAE41099C92}"/>
    <cellStyle name="20% - Accent2 3 4 4" xfId="3590" xr:uid="{55293460-3A30-4E80-9D29-1B6A41069A26}"/>
    <cellStyle name="20% - Accent2 3 4_Jurisdictional Study" xfId="8536" xr:uid="{E298D422-DAC9-4710-9230-DB2ED51BC5C1}"/>
    <cellStyle name="20% - Accent2 3 5" xfId="3591" xr:uid="{62128A89-6576-4AAA-B638-510406075169}"/>
    <cellStyle name="20% - Accent2 3 5 2" xfId="3592" xr:uid="{A7CBE8D6-4DF1-4DDD-A67C-CE6D65763774}"/>
    <cellStyle name="20% - Accent2 3 5 2 2" xfId="3593" xr:uid="{9034D68F-52AD-4EEF-90D5-5A732EDB678E}"/>
    <cellStyle name="20% - Accent2 3 5 2_Jurisdictional Study" xfId="8541" xr:uid="{D87C2846-415F-4F5A-BD4B-6B20300648BF}"/>
    <cellStyle name="20% - Accent2 3 5 3" xfId="3594" xr:uid="{BF51F356-CDA5-4F6D-8845-2888E185D5CB}"/>
    <cellStyle name="20% - Accent2 3 5_Jurisdictional Study" xfId="8540" xr:uid="{A8C3C2B7-2907-42D6-BF59-18BCF8B1A9F6}"/>
    <cellStyle name="20% - Accent2 3 6" xfId="3595" xr:uid="{613416FB-E3BB-4A42-AB02-3A170530AC19}"/>
    <cellStyle name="20% - Accent2 3 6 2" xfId="3596" xr:uid="{D0B8607A-2DE4-4E7E-872D-3783B3E42B49}"/>
    <cellStyle name="20% - Accent2 3 6_Jurisdictional Study" xfId="8542" xr:uid="{92CD36D2-685C-46E9-ABD3-33304B911842}"/>
    <cellStyle name="20% - Accent2 3 7" xfId="3597" xr:uid="{EC744912-60E7-410A-970D-554017FF7BA4}"/>
    <cellStyle name="20% - Accent2 3 8" xfId="3534" xr:uid="{C1A0A4F3-153A-43A9-81AB-D1D75D2BDCAC}"/>
    <cellStyle name="20% - Accent2 3_Jurisdictional Study" xfId="8511" xr:uid="{031740D6-E115-4622-902C-6FB80D76EA6D}"/>
    <cellStyle name="20% - Accent2 4" xfId="3598" xr:uid="{09E233F0-0A83-4635-80B4-B2B7EEA56E06}"/>
    <cellStyle name="20% - Accent2 4 2" xfId="3599" xr:uid="{B3CC05E5-A82D-41F6-B979-F764F095C964}"/>
    <cellStyle name="20% - Accent2 4 2 2" xfId="3600" xr:uid="{310EE2FC-2F50-4BA2-A4BA-8798E0A12F27}"/>
    <cellStyle name="20% - Accent2 4 2 2 2" xfId="3601" xr:uid="{12AD07D7-DD2D-4C57-BEA8-F84CF8C01786}"/>
    <cellStyle name="20% - Accent2 4 2 2 2 2" xfId="3602" xr:uid="{1B19FB90-9D6C-417C-B78E-A4DA143E617C}"/>
    <cellStyle name="20% - Accent2 4 2 2 2 2 2" xfId="3603" xr:uid="{A59F324C-8CEA-427C-9942-8B15970EAA5E}"/>
    <cellStyle name="20% - Accent2 4 2 2 2 2_Jurisdictional Study" xfId="8547" xr:uid="{62311000-773A-43C4-AE45-1942D16B7950}"/>
    <cellStyle name="20% - Accent2 4 2 2 2 3" xfId="3604" xr:uid="{693AFF1F-D7FE-4C11-A219-59F97DF73033}"/>
    <cellStyle name="20% - Accent2 4 2 2 2_Jurisdictional Study" xfId="8546" xr:uid="{4FDBCDED-B8CB-45CA-AAD3-5773AF3350F5}"/>
    <cellStyle name="20% - Accent2 4 2 2 3" xfId="3605" xr:uid="{1E10F7F6-E030-4FE2-A77A-4E5C5C1CFBF1}"/>
    <cellStyle name="20% - Accent2 4 2 2 3 2" xfId="3606" xr:uid="{369D8058-E157-43D1-A603-DC9F31895BFB}"/>
    <cellStyle name="20% - Accent2 4 2 2 3_Jurisdictional Study" xfId="8548" xr:uid="{1AA1AC4C-DBCE-4C4C-8332-0BF81D553463}"/>
    <cellStyle name="20% - Accent2 4 2 2 4" xfId="3607" xr:uid="{C0FFE56F-E56C-48B1-AA2E-78F783F39024}"/>
    <cellStyle name="20% - Accent2 4 2 2_Jurisdictional Study" xfId="8545" xr:uid="{69DDD99B-633D-438B-84C2-C8DA8B8AFDA5}"/>
    <cellStyle name="20% - Accent2 4 2 3" xfId="3608" xr:uid="{1E579E91-B2E3-4BC3-B243-932791183C71}"/>
    <cellStyle name="20% - Accent2 4 2 3 2" xfId="3609" xr:uid="{F6B488A4-FB1F-40E6-80D6-8CFFAADBA746}"/>
    <cellStyle name="20% - Accent2 4 2 3 2 2" xfId="3610" xr:uid="{E28FCB74-2221-4066-BE43-D91FBC812263}"/>
    <cellStyle name="20% - Accent2 4 2 3 2_Jurisdictional Study" xfId="8550" xr:uid="{8C4D4C15-FE27-4D76-9AB3-E1F74131A071}"/>
    <cellStyle name="20% - Accent2 4 2 3 3" xfId="3611" xr:uid="{DDB13749-F924-48A5-86B7-FD03CA2D6B2D}"/>
    <cellStyle name="20% - Accent2 4 2 3_Jurisdictional Study" xfId="8549" xr:uid="{D11AAFF1-BE71-4731-8D0C-4EE04BE5711A}"/>
    <cellStyle name="20% - Accent2 4 2 4" xfId="3612" xr:uid="{3C676927-E360-41A0-9979-51A64ED6F03B}"/>
    <cellStyle name="20% - Accent2 4 2 4 2" xfId="3613" xr:uid="{EC6AFAA1-8DE5-436D-9049-EA9B857F35C0}"/>
    <cellStyle name="20% - Accent2 4 2 4_Jurisdictional Study" xfId="8551" xr:uid="{5FEBAA9F-6DB3-4025-9DFE-4839FA22D823}"/>
    <cellStyle name="20% - Accent2 4 2 5" xfId="3614" xr:uid="{ACAB8CF2-0FFF-4631-9D53-340A2549708F}"/>
    <cellStyle name="20% - Accent2 4 2_Jurisdictional Study" xfId="8544" xr:uid="{4385A8BC-8397-4024-9DB7-09A917AED6FD}"/>
    <cellStyle name="20% - Accent2 4 3" xfId="3615" xr:uid="{1DD743DF-3361-4078-ABB9-C5B0DBBCFB6F}"/>
    <cellStyle name="20% - Accent2 4 3 2" xfId="3616" xr:uid="{B06F90AF-6ED5-402E-B071-4E7BE61105BA}"/>
    <cellStyle name="20% - Accent2 4 3 2 2" xfId="3617" xr:uid="{4AAFC444-B1B1-4A23-BB53-A79991D59E73}"/>
    <cellStyle name="20% - Accent2 4 3 2 2 2" xfId="3618" xr:uid="{CBACCAED-3FFA-4F36-AB96-680E73518FBF}"/>
    <cellStyle name="20% - Accent2 4 3 2 2_Jurisdictional Study" xfId="8554" xr:uid="{9C5116AD-3706-43E5-AB9D-00E36B350293}"/>
    <cellStyle name="20% - Accent2 4 3 2 3" xfId="3619" xr:uid="{8B53313F-4B0B-4CDE-9721-F884B922769A}"/>
    <cellStyle name="20% - Accent2 4 3 2_Jurisdictional Study" xfId="8553" xr:uid="{6BA36FD3-7C33-47E6-9750-8E220C2AFF18}"/>
    <cellStyle name="20% - Accent2 4 3 3" xfId="3620" xr:uid="{B15BC3E4-C24F-4623-9456-1AF3534C5948}"/>
    <cellStyle name="20% - Accent2 4 3 3 2" xfId="3621" xr:uid="{A0ED79EB-C0AE-4C9E-AD0E-D6F59A2A0DFB}"/>
    <cellStyle name="20% - Accent2 4 3 3_Jurisdictional Study" xfId="8555" xr:uid="{D64A6991-ABCB-4766-8991-C3000F643EC5}"/>
    <cellStyle name="20% - Accent2 4 3 4" xfId="3622" xr:uid="{53176C97-5C52-4A58-8DC1-5BE915A6D6B0}"/>
    <cellStyle name="20% - Accent2 4 3_Jurisdictional Study" xfId="8552" xr:uid="{73D8179E-8249-4268-9958-5B2FE871B01E}"/>
    <cellStyle name="20% - Accent2 4 4" xfId="3623" xr:uid="{4083919D-71C2-4276-8C94-B80CFC7FADC6}"/>
    <cellStyle name="20% - Accent2 4 4 2" xfId="3624" xr:uid="{C08F1D19-90C4-4664-9989-AE7689AB572F}"/>
    <cellStyle name="20% - Accent2 4 4 2 2" xfId="3625" xr:uid="{DD104703-41AE-4766-9A4B-1461E1DE286B}"/>
    <cellStyle name="20% - Accent2 4 4 2_Jurisdictional Study" xfId="8557" xr:uid="{60FBAC6D-CACF-4C94-B7D9-0B5F3776346C}"/>
    <cellStyle name="20% - Accent2 4 4 3" xfId="3626" xr:uid="{CC500B6F-1ABF-4345-A619-71F58959AC44}"/>
    <cellStyle name="20% - Accent2 4 4_Jurisdictional Study" xfId="8556" xr:uid="{A13AC57E-90F9-424E-9C5D-75DE0C470C52}"/>
    <cellStyle name="20% - Accent2 4 5" xfId="3627" xr:uid="{F563FE87-48E3-4C2A-9DC1-CC42529B66CC}"/>
    <cellStyle name="20% - Accent2 4 5 2" xfId="3628" xr:uid="{FF3DBB15-4A9E-4B2A-A8B2-9CFB93718BBC}"/>
    <cellStyle name="20% - Accent2 4 5_Jurisdictional Study" xfId="8558" xr:uid="{EAEBB5A7-8F9B-4682-9AE3-6DC45A8D0876}"/>
    <cellStyle name="20% - Accent2 4 6" xfId="3629" xr:uid="{B2F62875-7A29-4703-BE9D-CDE9FC69DBAF}"/>
    <cellStyle name="20% - Accent2 4_Jurisdictional Study" xfId="8543" xr:uid="{88BF05E6-3901-4045-945B-F5E77036EA80}"/>
    <cellStyle name="20% - Accent2 5" xfId="3630" xr:uid="{274D0105-3EAE-4B06-B893-26344B30D89B}"/>
    <cellStyle name="20% - Accent2 5 2" xfId="3631" xr:uid="{5BC544AC-37C0-486A-A97F-B93BB3E838CE}"/>
    <cellStyle name="20% - Accent2 5 2 2" xfId="3632" xr:uid="{7F7FB936-76D2-4602-9BBC-E96EAC70E654}"/>
    <cellStyle name="20% - Accent2 5 2 2 2" xfId="3633" xr:uid="{64D13426-866A-48A8-82E4-C9DFBCF36A4C}"/>
    <cellStyle name="20% - Accent2 5 2 2 2 2" xfId="3634" xr:uid="{2DD8B408-0477-442A-9D36-7ACCD7CEB14F}"/>
    <cellStyle name="20% - Accent2 5 2 2 2_Jurisdictional Study" xfId="8562" xr:uid="{9AC1247E-2636-406B-8E31-BE6F741C8E6C}"/>
    <cellStyle name="20% - Accent2 5 2 2 3" xfId="3635" xr:uid="{CF810438-124C-41C7-853B-45801C777D83}"/>
    <cellStyle name="20% - Accent2 5 2 2_Jurisdictional Study" xfId="8561" xr:uid="{B6C825DA-4E6D-4E4A-9FE5-208EDE965376}"/>
    <cellStyle name="20% - Accent2 5 2 3" xfId="3636" xr:uid="{80E8A5E4-ADEF-4E9D-AB0F-A3BC1368110E}"/>
    <cellStyle name="20% - Accent2 5 2 3 2" xfId="3637" xr:uid="{F30D062D-78C6-43E5-AB7E-E271DA78123E}"/>
    <cellStyle name="20% - Accent2 5 2 3_Jurisdictional Study" xfId="8563" xr:uid="{43982816-46CB-4B19-B84B-885D468B7165}"/>
    <cellStyle name="20% - Accent2 5 2 4" xfId="3638" xr:uid="{A3D7D9FD-D692-4EB2-86D3-34D3C3EC749D}"/>
    <cellStyle name="20% - Accent2 5 2_Jurisdictional Study" xfId="8560" xr:uid="{80F47E7F-7D11-4027-A3F8-F3073B78D9A0}"/>
    <cellStyle name="20% - Accent2 5 3" xfId="3639" xr:uid="{F4C334C2-C9B3-4551-912A-8B3C8BE1AB92}"/>
    <cellStyle name="20% - Accent2 5 3 2" xfId="3640" xr:uid="{F6898BF1-1944-4C0A-8DFF-EE2E68B956AA}"/>
    <cellStyle name="20% - Accent2 5 3 2 2" xfId="3641" xr:uid="{21992957-7F51-45CC-8909-77CC36057F53}"/>
    <cellStyle name="20% - Accent2 5 3 2_Jurisdictional Study" xfId="8565" xr:uid="{59C91C91-5F6B-484B-8344-34E0272C255C}"/>
    <cellStyle name="20% - Accent2 5 3 3" xfId="3642" xr:uid="{B0551439-641C-4028-8B14-DE005057B814}"/>
    <cellStyle name="20% - Accent2 5 3_Jurisdictional Study" xfId="8564" xr:uid="{2CD983DF-5726-4C07-B91D-D71677BAE965}"/>
    <cellStyle name="20% - Accent2 5 4" xfId="3643" xr:uid="{674A2F18-2982-4751-BEF7-564B3D13759E}"/>
    <cellStyle name="20% - Accent2 5 4 2" xfId="3644" xr:uid="{F53560AA-A5B1-4B44-88A8-4DB098726467}"/>
    <cellStyle name="20% - Accent2 5 4_Jurisdictional Study" xfId="8566" xr:uid="{5ACB2518-E1D0-41FA-978A-CF3139216E6D}"/>
    <cellStyle name="20% - Accent2 5 5" xfId="3645" xr:uid="{CE5A0856-7AA4-4386-9310-8C03B74D6188}"/>
    <cellStyle name="20% - Accent2 5_Jurisdictional Study" xfId="8559" xr:uid="{50BEF91E-7F0D-4A23-B7EB-E86635DF6889}"/>
    <cellStyle name="20% - Accent2 6" xfId="3646" xr:uid="{9A9DE0BF-CFA6-42DA-9B19-4A0A65FA5B24}"/>
    <cellStyle name="20% - Accent2 6 2" xfId="3647" xr:uid="{42CF5674-840E-4AAC-AF00-72C17D75937B}"/>
    <cellStyle name="20% - Accent2 6 2 2" xfId="3648" xr:uid="{1473B500-B1DC-4C3B-A103-995F4DD33D44}"/>
    <cellStyle name="20% - Accent2 6 2 2 2" xfId="3649" xr:uid="{8A3E2504-EB2E-4B6D-A70B-C19974A6DF84}"/>
    <cellStyle name="20% - Accent2 6 2 2_Jurisdictional Study" xfId="8569" xr:uid="{BF485BA2-AABA-40AB-9302-AC3520EEC71B}"/>
    <cellStyle name="20% - Accent2 6 2 3" xfId="3650" xr:uid="{5FEC4F19-2F72-47BC-93FC-2BA67DAC9976}"/>
    <cellStyle name="20% - Accent2 6 2_Jurisdictional Study" xfId="8568" xr:uid="{99D05B1F-12DE-4CAE-BD7D-FF9720189EBB}"/>
    <cellStyle name="20% - Accent2 6 3" xfId="3651" xr:uid="{886B937C-9B3E-4BD9-B5E2-99A5C748B829}"/>
    <cellStyle name="20% - Accent2 6 3 2" xfId="3652" xr:uid="{A44BEBCE-968F-43D5-85E1-231389D1BAD3}"/>
    <cellStyle name="20% - Accent2 6 3_Jurisdictional Study" xfId="8570" xr:uid="{693BFF99-269E-4BDA-B1E7-0744AFFD0321}"/>
    <cellStyle name="20% - Accent2 6 4" xfId="3653" xr:uid="{6B38A4EE-AE32-4D5C-9589-FC548F0EC433}"/>
    <cellStyle name="20% - Accent2 6_Jurisdictional Study" xfId="8567" xr:uid="{B33ACC20-C162-49DF-B6A7-7748D81D62B4}"/>
    <cellStyle name="20% - Accent2 7" xfId="3654" xr:uid="{298B4E87-6B1F-4DFE-AA56-9976596FBB8A}"/>
    <cellStyle name="20% - Accent2 7 2" xfId="3655" xr:uid="{93FBF8C0-9BEB-45DC-A1B0-9B86107407F1}"/>
    <cellStyle name="20% - Accent2 7 2 2" xfId="3656" xr:uid="{9817BCF8-010C-4A55-A259-E8152E323DBD}"/>
    <cellStyle name="20% - Accent2 7 2 2 2" xfId="3657" xr:uid="{B360221F-1703-4829-B324-80392B93807C}"/>
    <cellStyle name="20% - Accent2 7 2 2_Jurisdictional Study" xfId="8573" xr:uid="{DB2DC430-AE82-40A6-8646-5D580F855009}"/>
    <cellStyle name="20% - Accent2 7 2 3" xfId="3658" xr:uid="{81F30880-ABBA-47F5-9E4E-271819BE7AE7}"/>
    <cellStyle name="20% - Accent2 7 2_Jurisdictional Study" xfId="8572" xr:uid="{BACED5AB-6893-485E-AFAD-888A70E5FB91}"/>
    <cellStyle name="20% - Accent2 7 3" xfId="3659" xr:uid="{DB9CB3EF-C770-450E-B02E-866014962401}"/>
    <cellStyle name="20% - Accent2 7 3 2" xfId="3660" xr:uid="{AD746FFE-FB95-4681-B06F-4045BD044562}"/>
    <cellStyle name="20% - Accent2 7 3_Jurisdictional Study" xfId="8574" xr:uid="{5544C374-112A-48C2-AE68-FD525CA163A1}"/>
    <cellStyle name="20% - Accent2 7 4" xfId="3661" xr:uid="{91AE3BB9-294C-411D-A124-306ED4EB6B92}"/>
    <cellStyle name="20% - Accent2 7_Jurisdictional Study" xfId="8571" xr:uid="{494B0E23-1D6D-4F10-9AC3-BCC180F8BE7E}"/>
    <cellStyle name="20% - Accent2 8" xfId="3662" xr:uid="{913464FA-958C-47A9-B5AA-D078A03EDBBA}"/>
    <cellStyle name="20% - Accent2 8 2" xfId="3663" xr:uid="{A3F6D580-8EE4-40A8-9C5F-118A561B28F9}"/>
    <cellStyle name="20% - Accent2 8 2 2" xfId="3664" xr:uid="{6F61579F-4544-4AE9-8329-A158D1EF867F}"/>
    <cellStyle name="20% - Accent2 8 2 2 2" xfId="3665" xr:uid="{90CD37C1-1142-49EA-8A36-51DC9D23FDB2}"/>
    <cellStyle name="20% - Accent2 8 2 2_Jurisdictional Study" xfId="8577" xr:uid="{E0B1E34C-A2DD-411C-88B6-8423B0925D66}"/>
    <cellStyle name="20% - Accent2 8 2 3" xfId="3666" xr:uid="{5C54A611-B006-4C44-9578-14E426CCB3C1}"/>
    <cellStyle name="20% - Accent2 8 2_Jurisdictional Study" xfId="8576" xr:uid="{2F215AD7-1641-436B-ACDF-6AB6437DA8D2}"/>
    <cellStyle name="20% - Accent2 8 3" xfId="3667" xr:uid="{95F3AB31-A683-4707-B1AE-0D10183D4856}"/>
    <cellStyle name="20% - Accent2 8 3 2" xfId="3668" xr:uid="{2D2D65F0-4384-4FEF-B795-5D1DCC12372F}"/>
    <cellStyle name="20% - Accent2 8 3_Jurisdictional Study" xfId="8578" xr:uid="{AC53DA94-FDC5-4257-BB39-8E7F52A6A72A}"/>
    <cellStyle name="20% - Accent2 8 4" xfId="3669" xr:uid="{2CECE23D-B4F1-4934-9A05-29480063E920}"/>
    <cellStyle name="20% - Accent2 8_Jurisdictional Study" xfId="8575" xr:uid="{9D80E36D-1F8C-4A46-860D-9146D586EAA0}"/>
    <cellStyle name="20% - Accent2 9" xfId="3670" xr:uid="{B0209D59-4E5F-47F1-8267-54354D807450}"/>
    <cellStyle name="20% - Accent2 9 2" xfId="3671" xr:uid="{9B304402-8E7E-4332-A09C-79B5C3D0603D}"/>
    <cellStyle name="20% - Accent2 9 2 2" xfId="3672" xr:uid="{D828C947-C815-48DA-9967-2D9FB074BFB5}"/>
    <cellStyle name="20% - Accent2 9 2_Jurisdictional Study" xfId="8580" xr:uid="{2A53533A-0F9B-4994-9D05-D9F80C467540}"/>
    <cellStyle name="20% - Accent2 9 3" xfId="3673" xr:uid="{CE08F0E4-B40F-4AC1-AFDD-711AC2A04482}"/>
    <cellStyle name="20% - Accent2 9_Jurisdictional Study" xfId="8579" xr:uid="{57FA7A94-EEF4-4EE3-A07E-BCD5F3662E03}"/>
    <cellStyle name="20% - Accent3" xfId="3" builtinId="38" customBuiltin="1"/>
    <cellStyle name="20% - Accent3 10" xfId="3674" xr:uid="{7C13A0D7-4539-4FBF-A37C-29443325E053}"/>
    <cellStyle name="20% - Accent3 10 2" xfId="3675" xr:uid="{EF8C2DD4-6ECD-4CAC-A0FC-71BCBB3B89ED}"/>
    <cellStyle name="20% - Accent3 10 2 2" xfId="3676" xr:uid="{14E93C1C-C1A1-4C90-9FCE-9B682A294370}"/>
    <cellStyle name="20% - Accent3 10 2_Jurisdictional Study" xfId="8582" xr:uid="{F5B44EFF-D63F-4994-868B-C2548E0243D5}"/>
    <cellStyle name="20% - Accent3 10 3" xfId="3677" xr:uid="{67038E4C-9B63-4D2E-8F36-6EFD8DC70BF4}"/>
    <cellStyle name="20% - Accent3 10_Jurisdictional Study" xfId="8581" xr:uid="{6C6333CE-7FCE-43A8-B640-03CF75B29EB5}"/>
    <cellStyle name="20% - Accent3 11" xfId="3678" xr:uid="{47BC5614-CED8-4CE9-80EB-67D19A99C02D}"/>
    <cellStyle name="20% - Accent3 11 2" xfId="3679" xr:uid="{C5DED327-4151-4EA3-ADF1-5D7BA76A5E55}"/>
    <cellStyle name="20% - Accent3 11 2 2" xfId="3680" xr:uid="{410A4B12-20C6-4F2E-8D51-3CB8B783DB1F}"/>
    <cellStyle name="20% - Accent3 11 2_Jurisdictional Study" xfId="8584" xr:uid="{B879FFB6-BB1C-4938-A06B-93A800F534C6}"/>
    <cellStyle name="20% - Accent3 11 3" xfId="3681" xr:uid="{E156BE77-797A-40D0-A42D-0D736FB7A756}"/>
    <cellStyle name="20% - Accent3 11_Jurisdictional Study" xfId="8583" xr:uid="{D6F2FD71-A446-4233-8208-1BC889BECFEF}"/>
    <cellStyle name="20% - Accent3 12" xfId="3682" xr:uid="{3BE84EC0-8F97-444C-9459-FED4546A00A5}"/>
    <cellStyle name="20% - Accent3 12 2" xfId="3683" xr:uid="{D30111F5-3F6D-45CD-83F1-F97E2D26D0EA}"/>
    <cellStyle name="20% - Accent3 12_Jurisdictional Study" xfId="8585" xr:uid="{BE757EAA-15D6-4534-825E-0A00CFD555DA}"/>
    <cellStyle name="20% - Accent3 13" xfId="3684" xr:uid="{FF3A3A7A-01E0-4A17-BFE5-CA35051C033F}"/>
    <cellStyle name="20% - Accent3 14" xfId="3178" xr:uid="{B18CE914-AB11-45C4-BF15-2D382BE38FBA}"/>
    <cellStyle name="20% - Accent3 2" xfId="249" xr:uid="{D5BBCBFF-3F78-490E-91F9-AB7032242A28}"/>
    <cellStyle name="20% - Accent3 2 2" xfId="3686" xr:uid="{04A66ECD-A7B6-40AC-96B0-538101670F99}"/>
    <cellStyle name="20% - Accent3 2 2 2" xfId="3687" xr:uid="{90054D0B-9460-4FDD-8786-DA8DC1254A43}"/>
    <cellStyle name="20% - Accent3 2 2 2 2" xfId="3688" xr:uid="{60683F84-0928-4FB3-80FB-6C57ABF862E1}"/>
    <cellStyle name="20% - Accent3 2 2 2 2 2" xfId="3689" xr:uid="{D08CC470-D35E-4B3F-AFED-04601D7E2B34}"/>
    <cellStyle name="20% - Accent3 2 2 2 2 2 2" xfId="3690" xr:uid="{773DA9E4-6264-4E91-90D2-506B7E215A89}"/>
    <cellStyle name="20% - Accent3 2 2 2 2 2 2 2" xfId="3691" xr:uid="{1D8F920B-2005-4221-9806-E4EB9F45B348}"/>
    <cellStyle name="20% - Accent3 2 2 2 2 2 2_Jurisdictional Study" xfId="8590" xr:uid="{3AEFE776-8036-4101-83C8-C9AEA01D3416}"/>
    <cellStyle name="20% - Accent3 2 2 2 2 2 3" xfId="3692" xr:uid="{60ED2404-311A-4591-AC4B-DEC31076559B}"/>
    <cellStyle name="20% - Accent3 2 2 2 2 2_Jurisdictional Study" xfId="8589" xr:uid="{C1BDDBBC-597E-43C5-B374-6A3E5C7814A1}"/>
    <cellStyle name="20% - Accent3 2 2 2 2 3" xfId="3693" xr:uid="{A09486C9-6A4A-4126-9282-8D0A9E224729}"/>
    <cellStyle name="20% - Accent3 2 2 2 2 3 2" xfId="3694" xr:uid="{6BAF3D5F-BB0D-47BA-8D85-C6D213B735BC}"/>
    <cellStyle name="20% - Accent3 2 2 2 2 3_Jurisdictional Study" xfId="8591" xr:uid="{F137FFCA-1DEE-4A89-B334-158A93F82C1E}"/>
    <cellStyle name="20% - Accent3 2 2 2 2 4" xfId="3695" xr:uid="{AF6BB65B-78A4-4278-8112-40F9FFB07970}"/>
    <cellStyle name="20% - Accent3 2 2 2 2_Jurisdictional Study" xfId="8588" xr:uid="{E783C586-26BF-4CC3-BB06-70ED7A105A06}"/>
    <cellStyle name="20% - Accent3 2 2 2 3" xfId="3696" xr:uid="{7B308E0D-AF9B-4EA7-9177-CD74EBD7FB95}"/>
    <cellStyle name="20% - Accent3 2 2 2 3 2" xfId="3697" xr:uid="{DBE11B60-BB90-4A11-8EB4-67B0E08DC94A}"/>
    <cellStyle name="20% - Accent3 2 2 2 3 2 2" xfId="3698" xr:uid="{B88A88E0-A184-437A-858F-7AFEA971AD32}"/>
    <cellStyle name="20% - Accent3 2 2 2 3 2_Jurisdictional Study" xfId="8593" xr:uid="{B7233197-746D-4BC5-A07C-A7DDF793A47F}"/>
    <cellStyle name="20% - Accent3 2 2 2 3 3" xfId="3699" xr:uid="{E096FC95-A77A-4316-84CF-D9C12B1C4993}"/>
    <cellStyle name="20% - Accent3 2 2 2 3_Jurisdictional Study" xfId="8592" xr:uid="{DCE9A731-B3C5-4989-AF23-79DBB31EFC16}"/>
    <cellStyle name="20% - Accent3 2 2 2 4" xfId="3700" xr:uid="{1EEA2D50-24C9-4A82-97CC-5B7DE5E8145C}"/>
    <cellStyle name="20% - Accent3 2 2 2 4 2" xfId="3701" xr:uid="{8A38D500-4514-4BEB-9429-04C89D505DB1}"/>
    <cellStyle name="20% - Accent3 2 2 2 4_Jurisdictional Study" xfId="8594" xr:uid="{5966C7EA-3C01-434A-B92C-67024544A508}"/>
    <cellStyle name="20% - Accent3 2 2 2 5" xfId="3702" xr:uid="{289338BE-2EE0-48FD-A38C-81B7E8D16815}"/>
    <cellStyle name="20% - Accent3 2 2 2_Jurisdictional Study" xfId="8587" xr:uid="{FB02DD4D-FDDF-4262-97E0-C35179295BE5}"/>
    <cellStyle name="20% - Accent3 2 2 3" xfId="3703" xr:uid="{1ED2DA47-7384-4F0A-870B-7E45C1EF8A8C}"/>
    <cellStyle name="20% - Accent3 2 2 3 2" xfId="3704" xr:uid="{F8D56A01-B52C-4EF3-ABF0-E72B204B27F4}"/>
    <cellStyle name="20% - Accent3 2 2 3 2 2" xfId="3705" xr:uid="{BFA763C4-1FA5-42A7-8B99-296DE877270F}"/>
    <cellStyle name="20% - Accent3 2 2 3 2 2 2" xfId="3706" xr:uid="{8763C013-F2F7-4D70-AEEF-EC1891C03287}"/>
    <cellStyle name="20% - Accent3 2 2 3 2 2_Jurisdictional Study" xfId="8597" xr:uid="{1BA67AAF-BAFA-4ECC-8E0F-12EA53E686D6}"/>
    <cellStyle name="20% - Accent3 2 2 3 2 3" xfId="3707" xr:uid="{F93F9067-3E8E-4673-9212-F199E846AAA8}"/>
    <cellStyle name="20% - Accent3 2 2 3 2_Jurisdictional Study" xfId="8596" xr:uid="{FBDA9838-C9DC-4752-93BF-A482AF7D131B}"/>
    <cellStyle name="20% - Accent3 2 2 3 3" xfId="3708" xr:uid="{82629219-E279-4E9E-BEFA-DDF98426CA09}"/>
    <cellStyle name="20% - Accent3 2 2 3 3 2" xfId="3709" xr:uid="{D27B7440-B944-4D68-A132-E79FD18BDCBF}"/>
    <cellStyle name="20% - Accent3 2 2 3 3_Jurisdictional Study" xfId="8598" xr:uid="{43B3988D-63ED-4C8A-B2E4-08E1E09065A9}"/>
    <cellStyle name="20% - Accent3 2 2 3 4" xfId="3710" xr:uid="{17AA05C9-7EFD-466F-9EEA-E1DA7BC4D579}"/>
    <cellStyle name="20% - Accent3 2 2 3_Jurisdictional Study" xfId="8595" xr:uid="{9B6BF80C-8279-4897-9057-BB1E1729D3E1}"/>
    <cellStyle name="20% - Accent3 2 2 4" xfId="3711" xr:uid="{2774D513-B081-44ED-99AA-7C02714D56F3}"/>
    <cellStyle name="20% - Accent3 2 2 4 2" xfId="3712" xr:uid="{BE7160A2-1DA5-4EBB-90AE-E8312C031A6F}"/>
    <cellStyle name="20% - Accent3 2 2 4 2 2" xfId="3713" xr:uid="{C568C38E-7376-4418-825D-2271FDE0CF73}"/>
    <cellStyle name="20% - Accent3 2 2 4 2_Jurisdictional Study" xfId="8600" xr:uid="{42682F41-EC02-40BD-9FC4-F2BDE360FEF5}"/>
    <cellStyle name="20% - Accent3 2 2 4 3" xfId="3714" xr:uid="{3B7AE124-E161-432B-A4BE-108EE9C5D0A4}"/>
    <cellStyle name="20% - Accent3 2 2 4_Jurisdictional Study" xfId="8599" xr:uid="{90A916C4-BF4B-4C33-863F-6ED68A6AE954}"/>
    <cellStyle name="20% - Accent3 2 2 5" xfId="3715" xr:uid="{2189B649-E515-42C7-A0E8-C626DD643CB9}"/>
    <cellStyle name="20% - Accent3 2 2 5 2" xfId="3716" xr:uid="{16C6B614-2C53-45A9-A2E8-7B58D946D724}"/>
    <cellStyle name="20% - Accent3 2 2 5_Jurisdictional Study" xfId="8601" xr:uid="{1CDE9421-2BAD-4C61-A437-223DCBA398AC}"/>
    <cellStyle name="20% - Accent3 2 2 6" xfId="3717" xr:uid="{F03A1170-AB90-44D3-996E-0FE97E6EA27C}"/>
    <cellStyle name="20% - Accent3 2 2_Jurisdictional Study" xfId="8586" xr:uid="{9FF880DB-8643-4FCF-9AD5-1AB1B0CBA878}"/>
    <cellStyle name="20% - Accent3 2 3" xfId="3718" xr:uid="{A89DC27F-E93F-4930-9858-720F3D08FD15}"/>
    <cellStyle name="20% - Accent3 2 3 2" xfId="3719" xr:uid="{A7917EF2-C2BC-4D1F-9EB5-C6280B6B9D20}"/>
    <cellStyle name="20% - Accent3 2 3 2 2" xfId="3720" xr:uid="{48B0DEEB-E205-4DD8-BB2B-9B670BED08E4}"/>
    <cellStyle name="20% - Accent3 2 3 2 2 2" xfId="3721" xr:uid="{D144F7C5-05B5-49E0-BFEA-60D044DCA9A6}"/>
    <cellStyle name="20% - Accent3 2 3 2 2 2 2" xfId="3722" xr:uid="{69ECCDC1-DFE6-4A4C-B120-094FC0A27476}"/>
    <cellStyle name="20% - Accent3 2 3 2 2 2_Jurisdictional Study" xfId="8605" xr:uid="{C79A1913-EBBD-4E2E-8591-9A082694DBF7}"/>
    <cellStyle name="20% - Accent3 2 3 2 2 3" xfId="3723" xr:uid="{F557E4C4-D5A8-4FB4-BF2F-496BD25379D9}"/>
    <cellStyle name="20% - Accent3 2 3 2 2_Jurisdictional Study" xfId="8604" xr:uid="{EF6FD803-FEB2-473F-9997-8DD5BEB0A343}"/>
    <cellStyle name="20% - Accent3 2 3 2 3" xfId="3724" xr:uid="{732C3AB3-3CB9-473C-A179-509A21714BEF}"/>
    <cellStyle name="20% - Accent3 2 3 2 3 2" xfId="3725" xr:uid="{1A3B7B65-5C5D-4ACA-9AC7-64445B691A15}"/>
    <cellStyle name="20% - Accent3 2 3 2 3_Jurisdictional Study" xfId="8606" xr:uid="{DA27C20C-64C6-48FF-BE82-97AE65D3D003}"/>
    <cellStyle name="20% - Accent3 2 3 2 4" xfId="3726" xr:uid="{C2B5E615-134A-4CB1-9826-C4C36CFFE1D6}"/>
    <cellStyle name="20% - Accent3 2 3 2_Jurisdictional Study" xfId="8603" xr:uid="{46AC4CA2-2850-4505-A67F-CE6E6E4D13EE}"/>
    <cellStyle name="20% - Accent3 2 3 3" xfId="3727" xr:uid="{9DEAC13F-4DB4-42C8-B154-ED0A9764F968}"/>
    <cellStyle name="20% - Accent3 2 3 3 2" xfId="3728" xr:uid="{C9FF833A-699E-48BC-818F-115E3B365459}"/>
    <cellStyle name="20% - Accent3 2 3 3 2 2" xfId="3729" xr:uid="{CA9E9994-4C6F-49CB-B7FB-A1D1FAC62ED9}"/>
    <cellStyle name="20% - Accent3 2 3 3 2_Jurisdictional Study" xfId="8608" xr:uid="{10DA4FA0-E890-4828-BE61-A14E6C05B106}"/>
    <cellStyle name="20% - Accent3 2 3 3 3" xfId="3730" xr:uid="{CC5B52C2-BB1A-43AD-A01C-83903695599D}"/>
    <cellStyle name="20% - Accent3 2 3 3_Jurisdictional Study" xfId="8607" xr:uid="{ACD5CF50-DC36-4381-957C-02437594C38C}"/>
    <cellStyle name="20% - Accent3 2 3 4" xfId="3731" xr:uid="{F18108B1-6E8D-4A69-BDA9-DE0EF870C4C5}"/>
    <cellStyle name="20% - Accent3 2 3 4 2" xfId="3732" xr:uid="{BAF3362B-75F0-43AB-A094-1E3DEB774E32}"/>
    <cellStyle name="20% - Accent3 2 3 4_Jurisdictional Study" xfId="8609" xr:uid="{A58EB0C7-BAEA-4E66-B56F-191ABACA4E93}"/>
    <cellStyle name="20% - Accent3 2 3 5" xfId="3733" xr:uid="{7521E1A6-14C0-40D5-A3FA-F9E854662D3A}"/>
    <cellStyle name="20% - Accent3 2 3_Jurisdictional Study" xfId="8602" xr:uid="{C1FE32A0-8F61-42A2-87E3-149E20C839F1}"/>
    <cellStyle name="20% - Accent3 2 4" xfId="3734" xr:uid="{1E9F9004-762D-46A8-877E-9486C63CA544}"/>
    <cellStyle name="20% - Accent3 2 4 2" xfId="3735" xr:uid="{385B40DB-C853-43F0-84AB-974C4CE32DDF}"/>
    <cellStyle name="20% - Accent3 2 4 2 2" xfId="3736" xr:uid="{6D51165E-76DF-4A1B-95E2-E76DC751124C}"/>
    <cellStyle name="20% - Accent3 2 4 2 2 2" xfId="3737" xr:uid="{295FE7ED-FF13-4DCF-83F3-E61C4B97008F}"/>
    <cellStyle name="20% - Accent3 2 4 2 2_Jurisdictional Study" xfId="8612" xr:uid="{0D00DFE2-7D36-4777-8D1F-2C27E34E8926}"/>
    <cellStyle name="20% - Accent3 2 4 2 3" xfId="3738" xr:uid="{0546B1C6-AA08-49BA-BD5C-B6E908810989}"/>
    <cellStyle name="20% - Accent3 2 4 2_Jurisdictional Study" xfId="8611" xr:uid="{C5E826CC-A54C-4026-B141-D7E650F0AB49}"/>
    <cellStyle name="20% - Accent3 2 4 3" xfId="3739" xr:uid="{626BBD25-9B0D-4C9F-9845-2663D6641536}"/>
    <cellStyle name="20% - Accent3 2 4 3 2" xfId="3740" xr:uid="{C2B2F829-4370-42AA-9F00-5496BDAB036E}"/>
    <cellStyle name="20% - Accent3 2 4 3_Jurisdictional Study" xfId="8613" xr:uid="{D0E6346B-44BC-4ABF-AC9A-077B8CC18734}"/>
    <cellStyle name="20% - Accent3 2 4 4" xfId="3741" xr:uid="{7FFC7172-2255-41A7-8B52-0D56680AF09E}"/>
    <cellStyle name="20% - Accent3 2 4_Jurisdictional Study" xfId="8610" xr:uid="{FAEFC96E-1619-4866-A482-110BC66B4D75}"/>
    <cellStyle name="20% - Accent3 2 5" xfId="3742" xr:uid="{B440CA9C-615C-4273-B3F2-EB56988F99C1}"/>
    <cellStyle name="20% - Accent3 2 5 2" xfId="3743" xr:uid="{AA2B505F-829C-435B-9F4A-801EEC203C18}"/>
    <cellStyle name="20% - Accent3 2 5 2 2" xfId="3744" xr:uid="{DB459D08-8683-486E-A3D8-FFE0DD7EFFEF}"/>
    <cellStyle name="20% - Accent3 2 5 2_Jurisdictional Study" xfId="8615" xr:uid="{D17BEE5F-7A6A-41C8-A4BA-1971384AAFF1}"/>
    <cellStyle name="20% - Accent3 2 5 3" xfId="3745" xr:uid="{5578333A-7228-4D8C-B9FE-1F44758C774D}"/>
    <cellStyle name="20% - Accent3 2 5_Jurisdictional Study" xfId="8614" xr:uid="{4B7ED445-948C-44FE-981B-97C4753524F7}"/>
    <cellStyle name="20% - Accent3 2 6" xfId="3746" xr:uid="{A37E7C37-ED4C-451D-BABF-85308772EABE}"/>
    <cellStyle name="20% - Accent3 2 6 2" xfId="3747" xr:uid="{05FDBB06-5B46-4F1E-BBE5-7F921838A6EA}"/>
    <cellStyle name="20% - Accent3 2 6_Jurisdictional Study" xfId="8616" xr:uid="{EACFFF65-3D6B-4265-99E5-4757C30B1F30}"/>
    <cellStyle name="20% - Accent3 2 7" xfId="3748" xr:uid="{35597573-8137-4184-8174-8DD8C5A978C5}"/>
    <cellStyle name="20% - Accent3 2 8" xfId="3685" xr:uid="{918213BD-0D3A-4E2D-BAE0-04D660049F74}"/>
    <cellStyle name="20% - Accent3 3" xfId="3207" xr:uid="{CFD3B5B5-2ABA-4D40-AE5C-D112FB88151C}"/>
    <cellStyle name="20% - Accent3 3 2" xfId="3750" xr:uid="{DED356F0-BBDF-4209-8F14-3B58E55F4107}"/>
    <cellStyle name="20% - Accent3 3 2 2" xfId="3751" xr:uid="{175608DD-D187-44C9-8AB5-DE3F983C7AB8}"/>
    <cellStyle name="20% - Accent3 3 2 2 2" xfId="3752" xr:uid="{C903C4B2-8669-454D-9684-C76DDAC1576C}"/>
    <cellStyle name="20% - Accent3 3 2 2 2 2" xfId="3753" xr:uid="{994B6A06-0ACE-4A6F-99DD-54C57C8BC6BA}"/>
    <cellStyle name="20% - Accent3 3 2 2 2 2 2" xfId="3754" xr:uid="{42FE1BF0-6298-44AD-937B-7E6CD8B76CDE}"/>
    <cellStyle name="20% - Accent3 3 2 2 2 2 2 2" xfId="3755" xr:uid="{1B8C89DE-7162-4F30-A0CD-1886ED7EB269}"/>
    <cellStyle name="20% - Accent3 3 2 2 2 2 2_Jurisdictional Study" xfId="8622" xr:uid="{D0CB78D7-AC77-41D3-BD66-16EB783D326A}"/>
    <cellStyle name="20% - Accent3 3 2 2 2 2 3" xfId="3756" xr:uid="{03964455-4AF9-4AD6-A99C-8DA174D63D9A}"/>
    <cellStyle name="20% - Accent3 3 2 2 2 2_Jurisdictional Study" xfId="8621" xr:uid="{DDF311D3-0A02-4D66-A97B-E95DBAF7C23C}"/>
    <cellStyle name="20% - Accent3 3 2 2 2 3" xfId="3757" xr:uid="{228963BD-DCFF-4EAF-AC95-A39C8F27B0F6}"/>
    <cellStyle name="20% - Accent3 3 2 2 2 3 2" xfId="3758" xr:uid="{8A50EE63-B135-4D75-9361-F451FB55E60D}"/>
    <cellStyle name="20% - Accent3 3 2 2 2 3_Jurisdictional Study" xfId="8623" xr:uid="{84FF399B-C0F7-46E5-A0D4-74811F48332D}"/>
    <cellStyle name="20% - Accent3 3 2 2 2 4" xfId="3759" xr:uid="{49DA16E5-EB21-49B4-ABD3-716AC34C5694}"/>
    <cellStyle name="20% - Accent3 3 2 2 2_Jurisdictional Study" xfId="8620" xr:uid="{A27B8053-B6B4-411C-BE7B-54977F02E682}"/>
    <cellStyle name="20% - Accent3 3 2 2 3" xfId="3760" xr:uid="{2AF66F85-EAC6-45D6-A48C-3246D95D65DA}"/>
    <cellStyle name="20% - Accent3 3 2 2 3 2" xfId="3761" xr:uid="{32005D31-8C13-46D5-9937-5DA65ACB5CBB}"/>
    <cellStyle name="20% - Accent3 3 2 2 3 2 2" xfId="3762" xr:uid="{BFA8C85A-B4BB-4EED-A620-DFBFB91696B3}"/>
    <cellStyle name="20% - Accent3 3 2 2 3 2_Jurisdictional Study" xfId="8625" xr:uid="{EEA42CD4-07A9-4888-B639-70B655CDC1FB}"/>
    <cellStyle name="20% - Accent3 3 2 2 3 3" xfId="3763" xr:uid="{30F6F1D0-F5BB-41EC-B296-16098AD5614A}"/>
    <cellStyle name="20% - Accent3 3 2 2 3_Jurisdictional Study" xfId="8624" xr:uid="{6909D655-73CD-402C-AD83-C967FB1DA01B}"/>
    <cellStyle name="20% - Accent3 3 2 2 4" xfId="3764" xr:uid="{1B37FC70-9CEB-4A9E-AEAC-F4D0080BC527}"/>
    <cellStyle name="20% - Accent3 3 2 2 4 2" xfId="3765" xr:uid="{E9AB7FAF-8338-4EC9-9201-B12BF35AB33F}"/>
    <cellStyle name="20% - Accent3 3 2 2 4_Jurisdictional Study" xfId="8626" xr:uid="{6B12563B-1D60-4C72-B728-8E64B40D1008}"/>
    <cellStyle name="20% - Accent3 3 2 2 5" xfId="3766" xr:uid="{50501CB7-827C-4A90-B322-F0B4D105943F}"/>
    <cellStyle name="20% - Accent3 3 2 2_Jurisdictional Study" xfId="8619" xr:uid="{F786E05A-C551-41E3-84DE-0D127FD0B16C}"/>
    <cellStyle name="20% - Accent3 3 2 3" xfId="3767" xr:uid="{F24E3A22-A715-437D-848F-01F20E341AB7}"/>
    <cellStyle name="20% - Accent3 3 2 3 2" xfId="3768" xr:uid="{56F4DCC3-C200-45D4-ACFA-344369FD3B05}"/>
    <cellStyle name="20% - Accent3 3 2 3 2 2" xfId="3769" xr:uid="{61693240-8299-4609-834B-3937D0FF7D36}"/>
    <cellStyle name="20% - Accent3 3 2 3 2 2 2" xfId="3770" xr:uid="{FAED8C15-BE79-412A-BF21-E1F6EE5DA32E}"/>
    <cellStyle name="20% - Accent3 3 2 3 2 2_Jurisdictional Study" xfId="8629" xr:uid="{EFBC0BD9-C349-4932-AECE-30AE16549080}"/>
    <cellStyle name="20% - Accent3 3 2 3 2 3" xfId="3771" xr:uid="{93CB464F-9FC2-41F1-8535-CF89C3144B85}"/>
    <cellStyle name="20% - Accent3 3 2 3 2_Jurisdictional Study" xfId="8628" xr:uid="{3E121516-31B6-4C54-BF80-8B73CAF9BA8F}"/>
    <cellStyle name="20% - Accent3 3 2 3 3" xfId="3772" xr:uid="{96D11C03-E5E3-4FEC-8B6C-EAA80194C19F}"/>
    <cellStyle name="20% - Accent3 3 2 3 3 2" xfId="3773" xr:uid="{76345C16-C0CA-40D3-A444-2F1066BF69BD}"/>
    <cellStyle name="20% - Accent3 3 2 3 3_Jurisdictional Study" xfId="8630" xr:uid="{F5B93A2E-BA2D-4173-ACC3-E7DB46F3A8AC}"/>
    <cellStyle name="20% - Accent3 3 2 3 4" xfId="3774" xr:uid="{37BBDD62-825E-4FBA-91B4-56A374C1EAB2}"/>
    <cellStyle name="20% - Accent3 3 2 3_Jurisdictional Study" xfId="8627" xr:uid="{7394995C-880C-459D-AB6C-3CDCE60D33C5}"/>
    <cellStyle name="20% - Accent3 3 2 4" xfId="3775" xr:uid="{7E0A2483-8052-404E-9EEE-F8C764080083}"/>
    <cellStyle name="20% - Accent3 3 2 4 2" xfId="3776" xr:uid="{52F666E1-1E0A-4268-8B8B-E13F6695F6C9}"/>
    <cellStyle name="20% - Accent3 3 2 4 2 2" xfId="3777" xr:uid="{6D624F46-E78A-4109-A923-3C9EEA9B2BFD}"/>
    <cellStyle name="20% - Accent3 3 2 4 2_Jurisdictional Study" xfId="8632" xr:uid="{16215503-BA18-4721-AD55-CFFF1B794687}"/>
    <cellStyle name="20% - Accent3 3 2 4 3" xfId="3778" xr:uid="{EDB7C600-A80C-46F1-B582-6FE0E3DE562F}"/>
    <cellStyle name="20% - Accent3 3 2 4_Jurisdictional Study" xfId="8631" xr:uid="{7FABCC52-F12B-40C6-8EDF-AF9BBFEF5225}"/>
    <cellStyle name="20% - Accent3 3 2 5" xfId="3779" xr:uid="{26401770-AD52-46C1-80DA-96FCC90110C1}"/>
    <cellStyle name="20% - Accent3 3 2 5 2" xfId="3780" xr:uid="{05D87447-F2A1-475A-BE42-9BBBB3BBB2A7}"/>
    <cellStyle name="20% - Accent3 3 2 5_Jurisdictional Study" xfId="8633" xr:uid="{25EAC06E-D54F-4198-A0CC-6FDD594CC81F}"/>
    <cellStyle name="20% - Accent3 3 2 6" xfId="3781" xr:uid="{A57FC350-8FA8-454A-A707-BD7EC1639A6B}"/>
    <cellStyle name="20% - Accent3 3 2_Jurisdictional Study" xfId="8618" xr:uid="{444332B4-FC21-4A81-8CC8-5C37454A9D79}"/>
    <cellStyle name="20% - Accent3 3 3" xfId="3782" xr:uid="{538C5ED7-5C7E-49FA-B0B1-0C015984A490}"/>
    <cellStyle name="20% - Accent3 3 3 2" xfId="3783" xr:uid="{E98874A3-2839-407A-BF37-64BAB9EE69D1}"/>
    <cellStyle name="20% - Accent3 3 3 2 2" xfId="3784" xr:uid="{E397D0E8-BE68-469F-AD4E-DACB060A73FA}"/>
    <cellStyle name="20% - Accent3 3 3 2 2 2" xfId="3785" xr:uid="{EC61E7C3-AD12-43D0-A6A6-788DFB295467}"/>
    <cellStyle name="20% - Accent3 3 3 2 2 2 2" xfId="3786" xr:uid="{8115FD14-88A8-4AF0-BEBB-32E8F28641B4}"/>
    <cellStyle name="20% - Accent3 3 3 2 2 2_Jurisdictional Study" xfId="8637" xr:uid="{64F702F8-9FAC-4CD8-B82C-4937776B6262}"/>
    <cellStyle name="20% - Accent3 3 3 2 2 3" xfId="3787" xr:uid="{EFFC6397-6C37-4CEB-B73D-8689FDE14214}"/>
    <cellStyle name="20% - Accent3 3 3 2 2_Jurisdictional Study" xfId="8636" xr:uid="{01508AA6-0CF0-455E-BE35-45201B6861D9}"/>
    <cellStyle name="20% - Accent3 3 3 2 3" xfId="3788" xr:uid="{65F8BA9E-BC3B-4E07-A6F4-78F73B032E51}"/>
    <cellStyle name="20% - Accent3 3 3 2 3 2" xfId="3789" xr:uid="{BE912D2F-217F-4CDB-870D-B740A64A0AAD}"/>
    <cellStyle name="20% - Accent3 3 3 2 3_Jurisdictional Study" xfId="8638" xr:uid="{352F63BD-8EA4-431F-BE4C-17B6615809CB}"/>
    <cellStyle name="20% - Accent3 3 3 2 4" xfId="3790" xr:uid="{EC50F3AC-CFDB-4141-B308-21B64D52DBB1}"/>
    <cellStyle name="20% - Accent3 3 3 2_Jurisdictional Study" xfId="8635" xr:uid="{1266CF4D-750A-4F22-9448-802E958C26EC}"/>
    <cellStyle name="20% - Accent3 3 3 3" xfId="3791" xr:uid="{3E6A8E22-404D-4694-A473-1CBF20B8367C}"/>
    <cellStyle name="20% - Accent3 3 3 3 2" xfId="3792" xr:uid="{DC7C529F-0002-4D95-91C0-AA271EF3DAD1}"/>
    <cellStyle name="20% - Accent3 3 3 3 2 2" xfId="3793" xr:uid="{A62D8CFA-2E42-4E91-A1B2-D5A27EE8B33C}"/>
    <cellStyle name="20% - Accent3 3 3 3 2_Jurisdictional Study" xfId="8640" xr:uid="{C6EFBDE2-677C-4BD3-9E4A-014DB10B7918}"/>
    <cellStyle name="20% - Accent3 3 3 3 3" xfId="3794" xr:uid="{69A73484-599A-47FE-A7E3-2923BF668ECE}"/>
    <cellStyle name="20% - Accent3 3 3 3_Jurisdictional Study" xfId="8639" xr:uid="{06D239F2-2501-4465-AD9B-E81083A8CDEB}"/>
    <cellStyle name="20% - Accent3 3 3 4" xfId="3795" xr:uid="{DB907300-EBF9-4E0D-B3F6-F90382E9D774}"/>
    <cellStyle name="20% - Accent3 3 3 4 2" xfId="3796" xr:uid="{9459FF18-3618-47D7-B074-0760762326BA}"/>
    <cellStyle name="20% - Accent3 3 3 4_Jurisdictional Study" xfId="8641" xr:uid="{F3506655-81BB-475E-8952-942A7A9E9B68}"/>
    <cellStyle name="20% - Accent3 3 3 5" xfId="3797" xr:uid="{66BCE9E2-CD48-47F3-B2D4-63B0E403A889}"/>
    <cellStyle name="20% - Accent3 3 3_Jurisdictional Study" xfId="8634" xr:uid="{79219A9C-6AFA-4DDB-96BF-0A1B27FBB212}"/>
    <cellStyle name="20% - Accent3 3 4" xfId="3798" xr:uid="{F5D54DBB-ED9E-4AFF-BCCA-7E3C4EC6AB04}"/>
    <cellStyle name="20% - Accent3 3 4 2" xfId="3799" xr:uid="{AC7E7718-7F96-4926-9FC6-B094E25DA505}"/>
    <cellStyle name="20% - Accent3 3 4 2 2" xfId="3800" xr:uid="{417FC02B-9436-4C1E-B174-20AF445919DE}"/>
    <cellStyle name="20% - Accent3 3 4 2 2 2" xfId="3801" xr:uid="{38CDB78F-2216-49E6-AFDB-F531A2AF5A45}"/>
    <cellStyle name="20% - Accent3 3 4 2 2_Jurisdictional Study" xfId="8644" xr:uid="{2FBAFC67-F5F0-4F59-876A-0D8141F92668}"/>
    <cellStyle name="20% - Accent3 3 4 2 3" xfId="3802" xr:uid="{45BF1F86-3B6D-4B47-8752-CF752604F9CF}"/>
    <cellStyle name="20% - Accent3 3 4 2_Jurisdictional Study" xfId="8643" xr:uid="{A5792EAA-3904-4969-9400-468F6F20E74F}"/>
    <cellStyle name="20% - Accent3 3 4 3" xfId="3803" xr:uid="{01F5C86E-DD5A-4894-A3C4-638D613CB6B6}"/>
    <cellStyle name="20% - Accent3 3 4 3 2" xfId="3804" xr:uid="{B9B9AA63-5004-41D8-9F40-CE61A4F7B00A}"/>
    <cellStyle name="20% - Accent3 3 4 3_Jurisdictional Study" xfId="8645" xr:uid="{C69983C9-A3D6-4DAB-9361-B5C631FAE4CF}"/>
    <cellStyle name="20% - Accent3 3 4 4" xfId="3805" xr:uid="{53B06392-C633-4A3B-92C8-4F55A6E03377}"/>
    <cellStyle name="20% - Accent3 3 4_Jurisdictional Study" xfId="8642" xr:uid="{296A5460-CE91-46DC-A217-FEBB4E3B051C}"/>
    <cellStyle name="20% - Accent3 3 5" xfId="3806" xr:uid="{3422FDD1-4BAD-4368-A11B-ED1AB191B1B1}"/>
    <cellStyle name="20% - Accent3 3 5 2" xfId="3807" xr:uid="{CACC6298-E5CE-401A-9793-2802DFE963D1}"/>
    <cellStyle name="20% - Accent3 3 5 2 2" xfId="3808" xr:uid="{EDD149DF-7700-407F-ADEB-C3CA87A37197}"/>
    <cellStyle name="20% - Accent3 3 5 2_Jurisdictional Study" xfId="8647" xr:uid="{4E1326F2-5335-4A70-B058-8E6555F362B9}"/>
    <cellStyle name="20% - Accent3 3 5 3" xfId="3809" xr:uid="{BC5A357D-AD8D-44FD-822E-0243B72B7822}"/>
    <cellStyle name="20% - Accent3 3 5_Jurisdictional Study" xfId="8646" xr:uid="{9D1A364C-944C-45B6-8A64-322CC720FE14}"/>
    <cellStyle name="20% - Accent3 3 6" xfId="3810" xr:uid="{BFDAF75D-00A0-4B94-82DD-766316D2B741}"/>
    <cellStyle name="20% - Accent3 3 6 2" xfId="3811" xr:uid="{9D6C7E83-24A7-43FD-8137-58FCF85E1DDB}"/>
    <cellStyle name="20% - Accent3 3 6_Jurisdictional Study" xfId="8648" xr:uid="{21BD7D35-0129-405D-97FB-DFDE2568A8E5}"/>
    <cellStyle name="20% - Accent3 3 7" xfId="3812" xr:uid="{1521A2AC-455F-456F-A5D3-59ACE1AE5D30}"/>
    <cellStyle name="20% - Accent3 3 8" xfId="3749" xr:uid="{DFB284A6-066B-4F6A-A0C0-113346710EB9}"/>
    <cellStyle name="20% - Accent3 3_Jurisdictional Study" xfId="8617" xr:uid="{9601BE4D-CC6C-4A29-A325-41D4FAE8AC35}"/>
    <cellStyle name="20% - Accent3 4" xfId="3813" xr:uid="{677435DA-2F1E-41C9-8FFC-0A2EF0B32B1B}"/>
    <cellStyle name="20% - Accent3 4 2" xfId="3814" xr:uid="{885B02FA-4463-49BA-AADE-5044B1896A32}"/>
    <cellStyle name="20% - Accent3 4 2 2" xfId="3815" xr:uid="{C8EEF2E1-9064-44AF-A1B2-80CA7E7C2D1C}"/>
    <cellStyle name="20% - Accent3 4 2 2 2" xfId="3816" xr:uid="{54178906-DB25-4651-A3DC-B52EF0F4384E}"/>
    <cellStyle name="20% - Accent3 4 2 2 2 2" xfId="3817" xr:uid="{5521F20A-3B18-4C86-B7B4-9C7AAA93E9AE}"/>
    <cellStyle name="20% - Accent3 4 2 2 2 2 2" xfId="3818" xr:uid="{7D6B942D-7683-49AD-B9D4-EE39F9EC364F}"/>
    <cellStyle name="20% - Accent3 4 2 2 2 2_Jurisdictional Study" xfId="8653" xr:uid="{AC157D08-5722-46FC-8D36-28DB5E793C7F}"/>
    <cellStyle name="20% - Accent3 4 2 2 2 3" xfId="3819" xr:uid="{43441C33-ACCF-488F-BB21-CB7A069FB74B}"/>
    <cellStyle name="20% - Accent3 4 2 2 2_Jurisdictional Study" xfId="8652" xr:uid="{BB146144-1264-42E1-854A-E8976C561394}"/>
    <cellStyle name="20% - Accent3 4 2 2 3" xfId="3820" xr:uid="{1F4DDBD9-CD99-4AED-8E03-B39CB8C6963C}"/>
    <cellStyle name="20% - Accent3 4 2 2 3 2" xfId="3821" xr:uid="{E86500CB-E71C-45C9-89BA-859E89C62928}"/>
    <cellStyle name="20% - Accent3 4 2 2 3_Jurisdictional Study" xfId="8654" xr:uid="{8DAE3E41-2064-49FF-8945-994AF0BE8551}"/>
    <cellStyle name="20% - Accent3 4 2 2 4" xfId="3822" xr:uid="{74EDAF2C-42A0-4A49-A775-1959EBBCF574}"/>
    <cellStyle name="20% - Accent3 4 2 2_Jurisdictional Study" xfId="8651" xr:uid="{2C556E14-90E7-4737-AB42-C13A76162290}"/>
    <cellStyle name="20% - Accent3 4 2 3" xfId="3823" xr:uid="{06D2DC9B-7DCF-4BF6-B0D4-28FA9397D778}"/>
    <cellStyle name="20% - Accent3 4 2 3 2" xfId="3824" xr:uid="{FE5B23FE-F7A5-4E7D-A50D-4ABA32351743}"/>
    <cellStyle name="20% - Accent3 4 2 3 2 2" xfId="3825" xr:uid="{62BD791A-53AD-448B-A1AC-271DCCD581B7}"/>
    <cellStyle name="20% - Accent3 4 2 3 2_Jurisdictional Study" xfId="8656" xr:uid="{7FFB21F1-7AC0-42EF-BF4D-87FE1E43CDA0}"/>
    <cellStyle name="20% - Accent3 4 2 3 3" xfId="3826" xr:uid="{3C22AC7C-7721-4AEB-80C7-D1B610FEBBAE}"/>
    <cellStyle name="20% - Accent3 4 2 3_Jurisdictional Study" xfId="8655" xr:uid="{9096B15F-F341-4B0A-8FF6-9BDCC41935D8}"/>
    <cellStyle name="20% - Accent3 4 2 4" xfId="3827" xr:uid="{3CA24A71-6ECA-4E00-B21B-2074E272DAC4}"/>
    <cellStyle name="20% - Accent3 4 2 4 2" xfId="3828" xr:uid="{4C4A67A5-87FF-46B9-9273-2A9629BF45C0}"/>
    <cellStyle name="20% - Accent3 4 2 4_Jurisdictional Study" xfId="8657" xr:uid="{DF3DFD6A-C20C-4EF5-841A-503B34F216E4}"/>
    <cellStyle name="20% - Accent3 4 2 5" xfId="3829" xr:uid="{9B1AF698-696F-4889-A2CD-6659DF026554}"/>
    <cellStyle name="20% - Accent3 4 2_Jurisdictional Study" xfId="8650" xr:uid="{37FECA4A-F09C-49C7-897F-78AB056678FC}"/>
    <cellStyle name="20% - Accent3 4 3" xfId="3830" xr:uid="{CDD6442B-23D0-4FC4-8020-E544AE95105A}"/>
    <cellStyle name="20% - Accent3 4 3 2" xfId="3831" xr:uid="{B5FBD450-5992-4253-80DC-B3E2342CA0EA}"/>
    <cellStyle name="20% - Accent3 4 3 2 2" xfId="3832" xr:uid="{41D42601-5CEF-4638-A3A9-A9C87E4435DF}"/>
    <cellStyle name="20% - Accent3 4 3 2 2 2" xfId="3833" xr:uid="{C5E3047B-95E2-4933-AFC7-E8459D93B875}"/>
    <cellStyle name="20% - Accent3 4 3 2 2_Jurisdictional Study" xfId="8660" xr:uid="{D146F495-F154-4A3B-B349-15E96BEF4B69}"/>
    <cellStyle name="20% - Accent3 4 3 2 3" xfId="3834" xr:uid="{79A4C665-1BE5-411D-AC71-BF45F2B2217E}"/>
    <cellStyle name="20% - Accent3 4 3 2_Jurisdictional Study" xfId="8659" xr:uid="{71A83048-65B2-46D2-BD25-8B64970F07E4}"/>
    <cellStyle name="20% - Accent3 4 3 3" xfId="3835" xr:uid="{6D391956-E406-4ABF-9166-B1DAA7917991}"/>
    <cellStyle name="20% - Accent3 4 3 3 2" xfId="3836" xr:uid="{601CA0E4-774C-46BA-92B4-626487C94F30}"/>
    <cellStyle name="20% - Accent3 4 3 3_Jurisdictional Study" xfId="8661" xr:uid="{5B72C925-9866-433F-81C5-83442615FA01}"/>
    <cellStyle name="20% - Accent3 4 3 4" xfId="3837" xr:uid="{30950C57-C983-4524-9AEB-A8D267655A11}"/>
    <cellStyle name="20% - Accent3 4 3_Jurisdictional Study" xfId="8658" xr:uid="{775EA533-643E-4823-B60E-D9C51F20B925}"/>
    <cellStyle name="20% - Accent3 4 4" xfId="3838" xr:uid="{CF5A10F9-07F1-4AC0-93AD-7F16049AA095}"/>
    <cellStyle name="20% - Accent3 4 4 2" xfId="3839" xr:uid="{5D1AA1F8-5D7C-4ED5-9916-001C83AF3B8B}"/>
    <cellStyle name="20% - Accent3 4 4 2 2" xfId="3840" xr:uid="{9065A146-10C6-48E9-B861-54C63CB0C005}"/>
    <cellStyle name="20% - Accent3 4 4 2_Jurisdictional Study" xfId="8663" xr:uid="{11679A1A-EDE3-4DC9-9930-945A31BEA641}"/>
    <cellStyle name="20% - Accent3 4 4 3" xfId="3841" xr:uid="{8FA3B265-3B8E-460D-8C98-EA9DFB3470F3}"/>
    <cellStyle name="20% - Accent3 4 4_Jurisdictional Study" xfId="8662" xr:uid="{F2F103AF-B451-40D3-B1D1-8D338DBC8A55}"/>
    <cellStyle name="20% - Accent3 4 5" xfId="3842" xr:uid="{A9B44F30-ED58-42CE-B81C-86091C6B3203}"/>
    <cellStyle name="20% - Accent3 4 5 2" xfId="3843" xr:uid="{41E0B970-70CB-4E61-A3B1-4F2B5F11951C}"/>
    <cellStyle name="20% - Accent3 4 5_Jurisdictional Study" xfId="8664" xr:uid="{E449ACC3-8DB2-4901-AA64-40129B310107}"/>
    <cellStyle name="20% - Accent3 4 6" xfId="3844" xr:uid="{E1EFF146-2696-4281-8DC4-3D2FD032ADBA}"/>
    <cellStyle name="20% - Accent3 4_Jurisdictional Study" xfId="8649" xr:uid="{58DB227A-789D-43B1-974B-94B1DADBE7C6}"/>
    <cellStyle name="20% - Accent3 5" xfId="3845" xr:uid="{C13B5C9A-AA97-4265-9D43-C7342BB9C74B}"/>
    <cellStyle name="20% - Accent3 5 2" xfId="3846" xr:uid="{99CECF2B-6E8B-4564-AE25-C45E29684B6E}"/>
    <cellStyle name="20% - Accent3 5 2 2" xfId="3847" xr:uid="{414FF0D2-A690-4E12-AD43-1CAF2D05C902}"/>
    <cellStyle name="20% - Accent3 5 2 2 2" xfId="3848" xr:uid="{9F20448C-71D5-40B8-B627-2DF8BD56D23D}"/>
    <cellStyle name="20% - Accent3 5 2 2 2 2" xfId="3849" xr:uid="{73D4B1DB-B387-456C-89A4-2030E87BFAD6}"/>
    <cellStyle name="20% - Accent3 5 2 2 2_Jurisdictional Study" xfId="8668" xr:uid="{3CAF069B-9DB4-4301-8DAC-E6190801F222}"/>
    <cellStyle name="20% - Accent3 5 2 2 3" xfId="3850" xr:uid="{3A3D59DF-AF04-484E-A722-02E7108F1B42}"/>
    <cellStyle name="20% - Accent3 5 2 2_Jurisdictional Study" xfId="8667" xr:uid="{919F4B8C-4BCA-460D-B4A9-928CDBE2FA67}"/>
    <cellStyle name="20% - Accent3 5 2 3" xfId="3851" xr:uid="{C19B0019-59E1-4C1C-AE79-55BDF6E643F8}"/>
    <cellStyle name="20% - Accent3 5 2 3 2" xfId="3852" xr:uid="{3E83877F-1762-4EE2-A52A-4722A5B137EA}"/>
    <cellStyle name="20% - Accent3 5 2 3_Jurisdictional Study" xfId="8669" xr:uid="{82824134-904C-4C3E-88F1-D6A699467C0B}"/>
    <cellStyle name="20% - Accent3 5 2 4" xfId="3853" xr:uid="{EBC6FB4F-429B-4CE6-8F87-873FE72BB1EE}"/>
    <cellStyle name="20% - Accent3 5 2_Jurisdictional Study" xfId="8666" xr:uid="{FD1A7CDD-158C-4383-886F-1F1B98CD1D73}"/>
    <cellStyle name="20% - Accent3 5 3" xfId="3854" xr:uid="{2BE3D294-94A4-45E8-86AD-4FD837DE1AFF}"/>
    <cellStyle name="20% - Accent3 5 3 2" xfId="3855" xr:uid="{CFEF38AB-59FB-41A2-A183-72E2283D8F81}"/>
    <cellStyle name="20% - Accent3 5 3 2 2" xfId="3856" xr:uid="{30265765-AF39-429F-9AF1-39A51A0E3869}"/>
    <cellStyle name="20% - Accent3 5 3 2_Jurisdictional Study" xfId="8671" xr:uid="{1F343C50-2F6A-42E3-839F-52CBDB6C9F96}"/>
    <cellStyle name="20% - Accent3 5 3 3" xfId="3857" xr:uid="{93BA8205-7556-443B-8458-9C4C51A7FC2E}"/>
    <cellStyle name="20% - Accent3 5 3_Jurisdictional Study" xfId="8670" xr:uid="{7D127A6D-A672-4AB5-866B-CD9AA774DFD5}"/>
    <cellStyle name="20% - Accent3 5 4" xfId="3858" xr:uid="{F402EB99-9F3C-4CD0-9D67-63AE1F9111CD}"/>
    <cellStyle name="20% - Accent3 5 4 2" xfId="3859" xr:uid="{3EFCFDA3-DB5B-46F0-92EF-4A2401112BDC}"/>
    <cellStyle name="20% - Accent3 5 4_Jurisdictional Study" xfId="8672" xr:uid="{D6689200-0789-4875-8382-98EC2A63E958}"/>
    <cellStyle name="20% - Accent3 5 5" xfId="3860" xr:uid="{A314D7EF-83DA-4F5B-B9C5-2097D5B44DCA}"/>
    <cellStyle name="20% - Accent3 5_Jurisdictional Study" xfId="8665" xr:uid="{DB523378-92DB-4DB5-BE6A-8E92E57BA480}"/>
    <cellStyle name="20% - Accent3 6" xfId="3861" xr:uid="{F06C18EE-EACC-415F-AD7E-982D0A56A181}"/>
    <cellStyle name="20% - Accent3 6 2" xfId="3862" xr:uid="{FBDF244F-1196-4CAC-9EA0-7498F77429C3}"/>
    <cellStyle name="20% - Accent3 6 2 2" xfId="3863" xr:uid="{02521378-4625-4E53-8716-367EF6116C70}"/>
    <cellStyle name="20% - Accent3 6 2 2 2" xfId="3864" xr:uid="{300319E7-B3D1-4A18-953A-AE8935051E3C}"/>
    <cellStyle name="20% - Accent3 6 2 2_Jurisdictional Study" xfId="8675" xr:uid="{E73FBDE8-E7C6-487B-8E78-5CE721FA51D3}"/>
    <cellStyle name="20% - Accent3 6 2 3" xfId="3865" xr:uid="{9448410D-0C6D-4610-A9E5-507E05850109}"/>
    <cellStyle name="20% - Accent3 6 2_Jurisdictional Study" xfId="8674" xr:uid="{B5B4DCE5-2BE6-42EF-A5EF-2B9692B77A3C}"/>
    <cellStyle name="20% - Accent3 6 3" xfId="3866" xr:uid="{44C1FD20-22AB-49AD-BF87-3879A214D599}"/>
    <cellStyle name="20% - Accent3 6 3 2" xfId="3867" xr:uid="{6FB4AF5A-0808-4083-BEFB-0B67D8677AAB}"/>
    <cellStyle name="20% - Accent3 6 3_Jurisdictional Study" xfId="8676" xr:uid="{84FB8793-0BDC-4AD4-A6F6-6002B66EB40E}"/>
    <cellStyle name="20% - Accent3 6 4" xfId="3868" xr:uid="{981722A7-EEE3-4D20-9978-F157DAE25C5E}"/>
    <cellStyle name="20% - Accent3 6_Jurisdictional Study" xfId="8673" xr:uid="{A599EF6E-598D-434D-896A-E3C26EC507DC}"/>
    <cellStyle name="20% - Accent3 7" xfId="3869" xr:uid="{707AAC29-D26D-4DC0-B4B0-3278E8D51C67}"/>
    <cellStyle name="20% - Accent3 7 2" xfId="3870" xr:uid="{F40930E5-7ED2-46E2-83C2-3E4E5C285ADC}"/>
    <cellStyle name="20% - Accent3 7 2 2" xfId="3871" xr:uid="{D6719CDA-3767-4A3F-8681-A3C1CF010A9F}"/>
    <cellStyle name="20% - Accent3 7 2 2 2" xfId="3872" xr:uid="{92D89157-C4BB-488B-9338-5F7086EA3E6E}"/>
    <cellStyle name="20% - Accent3 7 2 2_Jurisdictional Study" xfId="8679" xr:uid="{79D3ABC2-09A4-446C-86FC-B3162A6714B5}"/>
    <cellStyle name="20% - Accent3 7 2 3" xfId="3873" xr:uid="{3B63BB61-2252-4850-AA9A-448C743649A3}"/>
    <cellStyle name="20% - Accent3 7 2_Jurisdictional Study" xfId="8678" xr:uid="{C82BA8D2-0862-4F14-8A38-819F6BEFD074}"/>
    <cellStyle name="20% - Accent3 7 3" xfId="3874" xr:uid="{61650FED-9E0C-4D8E-BF2F-F866EB7DD045}"/>
    <cellStyle name="20% - Accent3 7 3 2" xfId="3875" xr:uid="{B0450AAD-4233-4F0F-8A0F-CE0A42DCC2B5}"/>
    <cellStyle name="20% - Accent3 7 3_Jurisdictional Study" xfId="8680" xr:uid="{1E895513-D56A-4F47-8F44-D7B6C021AFAC}"/>
    <cellStyle name="20% - Accent3 7 4" xfId="3876" xr:uid="{7FA00D35-003A-42FE-889F-CD9C29391164}"/>
    <cellStyle name="20% - Accent3 7_Jurisdictional Study" xfId="8677" xr:uid="{2A5E72B7-38D4-4601-8D33-D914118A1E96}"/>
    <cellStyle name="20% - Accent3 8" xfId="3877" xr:uid="{53306B69-368E-410A-8659-343720E85381}"/>
    <cellStyle name="20% - Accent3 8 2" xfId="3878" xr:uid="{42CCABB9-44F9-4CF2-90BB-77A1FED9E805}"/>
    <cellStyle name="20% - Accent3 8 2 2" xfId="3879" xr:uid="{76118CFB-9B36-44AC-8884-DFE0328CCDD8}"/>
    <cellStyle name="20% - Accent3 8 2 2 2" xfId="3880" xr:uid="{41B507B5-C27C-4E79-A032-07BB1140DB56}"/>
    <cellStyle name="20% - Accent3 8 2 2_Jurisdictional Study" xfId="8683" xr:uid="{C63FF746-BE08-4581-95F2-B232A47FCFE6}"/>
    <cellStyle name="20% - Accent3 8 2 3" xfId="3881" xr:uid="{0CEB9E95-5178-4690-976F-00A70CDAE5CB}"/>
    <cellStyle name="20% - Accent3 8 2_Jurisdictional Study" xfId="8682" xr:uid="{9AE7032D-C16F-4015-ADBA-9957063A30F8}"/>
    <cellStyle name="20% - Accent3 8 3" xfId="3882" xr:uid="{EC8F2403-B826-49D6-8D51-9AE9D33A87E1}"/>
    <cellStyle name="20% - Accent3 8 3 2" xfId="3883" xr:uid="{99AA1B54-7873-40C3-8BDE-B339FACA9C37}"/>
    <cellStyle name="20% - Accent3 8 3_Jurisdictional Study" xfId="8684" xr:uid="{8C09FB40-C8CA-49DA-8ED2-3DC620A181AA}"/>
    <cellStyle name="20% - Accent3 8 4" xfId="3884" xr:uid="{7F2BE5FB-3057-440F-93D9-568112A55745}"/>
    <cellStyle name="20% - Accent3 8_Jurisdictional Study" xfId="8681" xr:uid="{59A60610-AE3C-42DE-9440-DE259B409CA1}"/>
    <cellStyle name="20% - Accent3 9" xfId="3885" xr:uid="{FBB346F2-7C1D-4109-A123-36A90F14218E}"/>
    <cellStyle name="20% - Accent3 9 2" xfId="3886" xr:uid="{5D5D7DF3-B9BA-4F37-A0EB-A8363A30E741}"/>
    <cellStyle name="20% - Accent3 9 2 2" xfId="3887" xr:uid="{E42297E2-BE18-46B9-95B4-E1F34E821299}"/>
    <cellStyle name="20% - Accent3 9 2_Jurisdictional Study" xfId="8686" xr:uid="{9301594E-8FFC-4C5E-B51F-9974244F04B6}"/>
    <cellStyle name="20% - Accent3 9 3" xfId="3888" xr:uid="{32011FC7-B9FD-4369-97B3-528E61550D4C}"/>
    <cellStyle name="20% - Accent3 9_Jurisdictional Study" xfId="8685" xr:uid="{330653B3-65D4-4AD2-9805-346724586E9A}"/>
    <cellStyle name="20% - Accent4" xfId="4" builtinId="42" customBuiltin="1"/>
    <cellStyle name="20% - Accent4 10" xfId="3889" xr:uid="{4D0BB8AD-48A4-4CBF-B11F-2CE33DD12C52}"/>
    <cellStyle name="20% - Accent4 10 2" xfId="3890" xr:uid="{7E051CB6-7653-4560-A2BD-82EC5A616675}"/>
    <cellStyle name="20% - Accent4 10 2 2" xfId="3891" xr:uid="{F2230A9D-C834-4A10-8E05-35F2A5765B72}"/>
    <cellStyle name="20% - Accent4 10 2_Jurisdictional Study" xfId="8688" xr:uid="{8490D9DF-B664-415A-B4E3-24CB36FD3E10}"/>
    <cellStyle name="20% - Accent4 10 3" xfId="3892" xr:uid="{C7E9014A-4CD8-4D50-9434-C3DBBC3C2F8C}"/>
    <cellStyle name="20% - Accent4 10_Jurisdictional Study" xfId="8687" xr:uid="{117F96D0-ED47-47F8-805D-4C84C567E5CB}"/>
    <cellStyle name="20% - Accent4 11" xfId="3893" xr:uid="{AC190D58-294F-42EF-B2E2-3DDCE1E598DD}"/>
    <cellStyle name="20% - Accent4 11 2" xfId="3894" xr:uid="{D0629D48-68AB-4590-ACD7-26D3FFC235EF}"/>
    <cellStyle name="20% - Accent4 11 2 2" xfId="3895" xr:uid="{2357F9CF-750E-4BA1-B950-FE9AC720A64F}"/>
    <cellStyle name="20% - Accent4 11 2_Jurisdictional Study" xfId="8690" xr:uid="{8D38293C-9210-45D6-BD4F-F4B1FB3BB2A9}"/>
    <cellStyle name="20% - Accent4 11 3" xfId="3896" xr:uid="{7EE2D8D6-31B8-4242-9D18-30B0F922D0B7}"/>
    <cellStyle name="20% - Accent4 11_Jurisdictional Study" xfId="8689" xr:uid="{7E2FC8B8-723B-4485-9187-F67CBF6C8C4E}"/>
    <cellStyle name="20% - Accent4 12" xfId="3897" xr:uid="{D897AE60-758D-4C5B-8B0D-D160CFD9515E}"/>
    <cellStyle name="20% - Accent4 12 2" xfId="3898" xr:uid="{A11018F3-73DF-4DE7-BBD5-3F57696E27D4}"/>
    <cellStyle name="20% - Accent4 12 2 2" xfId="3899" xr:uid="{91B7BB5F-6D4C-4F7F-9930-5079BD4BCAFA}"/>
    <cellStyle name="20% - Accent4 12 2_Jurisdictional Study" xfId="8692" xr:uid="{99DE5ACF-7613-4012-82AC-05E4E2F392F9}"/>
    <cellStyle name="20% - Accent4 12 3" xfId="3900" xr:uid="{81E4264C-E7AE-4BE7-8634-72BC39915212}"/>
    <cellStyle name="20% - Accent4 12_Jurisdictional Study" xfId="8691" xr:uid="{3823664A-0388-49C0-A405-05DE152D3644}"/>
    <cellStyle name="20% - Accent4 13" xfId="3901" xr:uid="{A8F6CFEA-59A7-4ED0-9F31-A3B7F1FFF63E}"/>
    <cellStyle name="20% - Accent4 13 2" xfId="3902" xr:uid="{4AECA247-3FA1-4684-A87E-BDCAE419D385}"/>
    <cellStyle name="20% - Accent4 13_Jurisdictional Study" xfId="8693" xr:uid="{030A834C-08CF-49EE-A3A7-2D6F55A3F4A8}"/>
    <cellStyle name="20% - Accent4 14" xfId="3903" xr:uid="{3E5387E1-640B-4B3A-A1F6-57FBF393C818}"/>
    <cellStyle name="20% - Accent4 15" xfId="3182" xr:uid="{07C8A517-2EEA-4556-8111-EDB25CB265B8}"/>
    <cellStyle name="20% - Accent4 2" xfId="144" xr:uid="{BE5B302E-5464-4220-A2D0-219ECE7E8CC7}"/>
    <cellStyle name="20% - Accent4 2 2" xfId="303" xr:uid="{ACB163AE-228F-4B0E-B2C3-1CB52ECA2884}"/>
    <cellStyle name="20% - Accent4 2 2 2" xfId="599" xr:uid="{08126407-739C-42B0-A734-4DC5CC9D9CFD}"/>
    <cellStyle name="20% - Accent4 2 2 2 2" xfId="2025" xr:uid="{647732A6-DCD2-4B5C-A57E-2CB1E83DF6FE}"/>
    <cellStyle name="20% - Accent4 2 2 2 2 2" xfId="3908" xr:uid="{5D62EC69-73FB-4C4A-B9EB-EBB17D3372F9}"/>
    <cellStyle name="20% - Accent4 2 2 2 2 2 2" xfId="3909" xr:uid="{AA48F8F1-716D-4D26-8EC9-6697B0709880}"/>
    <cellStyle name="20% - Accent4 2 2 2 2 2 2 2" xfId="3910" xr:uid="{923697F6-4074-4316-999A-2F977F4795C3}"/>
    <cellStyle name="20% - Accent4 2 2 2 2 2 2_Jurisdictional Study" xfId="8699" xr:uid="{E3A741AD-7FD5-490F-8610-9ACAD183BD7D}"/>
    <cellStyle name="20% - Accent4 2 2 2 2 2 3" xfId="3911" xr:uid="{ACB4D086-A161-4B87-B8EE-C2F77A9234C4}"/>
    <cellStyle name="20% - Accent4 2 2 2 2 2_Jurisdictional Study" xfId="8698" xr:uid="{B2255C0A-4E29-418C-B162-189BEB93114A}"/>
    <cellStyle name="20% - Accent4 2 2 2 2 3" xfId="3912" xr:uid="{667DCFF0-C222-45FB-92ED-AA2A59F361CE}"/>
    <cellStyle name="20% - Accent4 2 2 2 2 3 2" xfId="3913" xr:uid="{F2161ED4-D18F-47BD-9692-B3DDF4115DE0}"/>
    <cellStyle name="20% - Accent4 2 2 2 2 3_Jurisdictional Study" xfId="8700" xr:uid="{521D0136-9EC0-4AF2-86D2-47A3B1BFA5B4}"/>
    <cellStyle name="20% - Accent4 2 2 2 2 4" xfId="3914" xr:uid="{8477B3F8-77E2-4BDC-8555-88424321A83F}"/>
    <cellStyle name="20% - Accent4 2 2 2 2 5" xfId="3907" xr:uid="{A676875C-E9B9-49DA-A2DD-1F718697F6D4}"/>
    <cellStyle name="20% - Accent4 2 2 2 2_Jurisdictional Study" xfId="8697" xr:uid="{673BEC1D-9FFF-4521-94FF-0DBB18EA989F}"/>
    <cellStyle name="20% - Accent4 2 2 2 3" xfId="3915" xr:uid="{96FF18F3-1729-4FEE-B9DC-D9C084A78885}"/>
    <cellStyle name="20% - Accent4 2 2 2 3 2" xfId="3916" xr:uid="{8749208A-48AB-40E5-923B-CF891C9A05C1}"/>
    <cellStyle name="20% - Accent4 2 2 2 3 2 2" xfId="3917" xr:uid="{AF286733-05D9-4774-A8CC-7D0941FF1DB9}"/>
    <cellStyle name="20% - Accent4 2 2 2 3 2_Jurisdictional Study" xfId="8702" xr:uid="{CF320BAB-2B45-46CD-BCA2-EA71FA6A6AE4}"/>
    <cellStyle name="20% - Accent4 2 2 2 3 3" xfId="3918" xr:uid="{CFE9436E-476C-4D1F-AD42-31260ECA1FBA}"/>
    <cellStyle name="20% - Accent4 2 2 2 3_Jurisdictional Study" xfId="8701" xr:uid="{497B05A8-2E68-4071-9BBB-D47027B5A303}"/>
    <cellStyle name="20% - Accent4 2 2 2 4" xfId="3919" xr:uid="{C13EB5FE-1656-4D1C-82EC-A66101455787}"/>
    <cellStyle name="20% - Accent4 2 2 2 4 2" xfId="3920" xr:uid="{8DDC8A96-9DA0-4627-8AD3-40C01F333CF6}"/>
    <cellStyle name="20% - Accent4 2 2 2 4_Jurisdictional Study" xfId="8703" xr:uid="{22369721-E3A3-48F9-BAEA-C24DF8191BAB}"/>
    <cellStyle name="20% - Accent4 2 2 2 5" xfId="3921" xr:uid="{D5F9F818-171D-4AD8-ADDD-859076368821}"/>
    <cellStyle name="20% - Accent4 2 2 2 6" xfId="3906" xr:uid="{7B8671E4-D9C7-466B-9787-EBAF58EAA356}"/>
    <cellStyle name="20% - Accent4 2 2 2_Jurisdictional Study" xfId="8696" xr:uid="{FB05584E-AE6F-48D7-AA48-B39EDC5A831F}"/>
    <cellStyle name="20% - Accent4 2 2 3" xfId="1868" xr:uid="{E5975F34-1374-4C31-A931-0E3EFDBEB38A}"/>
    <cellStyle name="20% - Accent4 2 2 3 2" xfId="3923" xr:uid="{9BBFE433-EB0F-47B0-A239-2F7ADD76E466}"/>
    <cellStyle name="20% - Accent4 2 2 3 2 2" xfId="3924" xr:uid="{243D8222-02DE-4F4D-885A-3DA59935A3C4}"/>
    <cellStyle name="20% - Accent4 2 2 3 2 2 2" xfId="3925" xr:uid="{B5E25210-A4F9-469E-9725-C8D86AB03CDB}"/>
    <cellStyle name="20% - Accent4 2 2 3 2 2_Jurisdictional Study" xfId="8706" xr:uid="{372E828C-7C29-471E-A9A0-89DF5A09D385}"/>
    <cellStyle name="20% - Accent4 2 2 3 2 3" xfId="3926" xr:uid="{A7012803-9F19-4497-8D7E-EF660E0C5E6A}"/>
    <cellStyle name="20% - Accent4 2 2 3 2_Jurisdictional Study" xfId="8705" xr:uid="{CE865EDD-485E-42F6-8948-8311EAEE1866}"/>
    <cellStyle name="20% - Accent4 2 2 3 3" xfId="3927" xr:uid="{F234B29D-9D8F-4E3C-8DDD-EB61EE686493}"/>
    <cellStyle name="20% - Accent4 2 2 3 3 2" xfId="3928" xr:uid="{3B39A74D-0549-4CB2-92B2-85FC3D0C326C}"/>
    <cellStyle name="20% - Accent4 2 2 3 3_Jurisdictional Study" xfId="8707" xr:uid="{594A58D9-838E-41BA-8C41-1B3AE24FEB84}"/>
    <cellStyle name="20% - Accent4 2 2 3 4" xfId="3929" xr:uid="{34F6554F-BADF-45D4-A560-0C921550F31C}"/>
    <cellStyle name="20% - Accent4 2 2 3 5" xfId="3922" xr:uid="{096BBB09-3024-4719-9362-C83FAF67DDC2}"/>
    <cellStyle name="20% - Accent4 2 2 3_Jurisdictional Study" xfId="8704" xr:uid="{9F022FAB-FC31-4A27-87E8-9DCEAE9101A0}"/>
    <cellStyle name="20% - Accent4 2 2 4" xfId="3930" xr:uid="{640A23BA-A87B-40E8-9E6B-088280BCF813}"/>
    <cellStyle name="20% - Accent4 2 2 4 2" xfId="3931" xr:uid="{0B35EB4B-CE9A-4A7D-B17A-108485B4A96D}"/>
    <cellStyle name="20% - Accent4 2 2 4 2 2" xfId="3932" xr:uid="{9473CE36-0E91-46A8-B2D4-1E779A0B549C}"/>
    <cellStyle name="20% - Accent4 2 2 4 2_Jurisdictional Study" xfId="8709" xr:uid="{88C50A7D-7219-4B97-9A01-238601C6F365}"/>
    <cellStyle name="20% - Accent4 2 2 4 3" xfId="3933" xr:uid="{8152AAC3-1761-4B68-B4A9-0EA462F030E7}"/>
    <cellStyle name="20% - Accent4 2 2 4_Jurisdictional Study" xfId="8708" xr:uid="{D2739497-6EC7-4769-8BC9-8554F36DCF2D}"/>
    <cellStyle name="20% - Accent4 2 2 5" xfId="3934" xr:uid="{69CE24FE-4D5A-4CA7-A55B-DF9B68F5E133}"/>
    <cellStyle name="20% - Accent4 2 2 5 2" xfId="3935" xr:uid="{4A2F44FD-E2F7-454B-B0C1-E9361C5B7251}"/>
    <cellStyle name="20% - Accent4 2 2 5_Jurisdictional Study" xfId="8710" xr:uid="{E2DE3FB5-AF99-4A17-A487-78A9C5D80727}"/>
    <cellStyle name="20% - Accent4 2 2 6" xfId="3936" xr:uid="{A1D1CA5E-8421-4839-AEDE-929FA98034D3}"/>
    <cellStyle name="20% - Accent4 2 2 7" xfId="3905" xr:uid="{4DE75FAA-47D4-47B7-AA80-289291BADD95}"/>
    <cellStyle name="20% - Accent4 2 2_Jurisdictional Study" xfId="8695" xr:uid="{A16072AE-B020-4633-BE32-D8D0FE9B5E7C}"/>
    <cellStyle name="20% - Accent4 2 3" xfId="304" xr:uid="{DF9720DD-1AB2-4155-AFA3-90DE31A37C37}"/>
    <cellStyle name="20% - Accent4 2 3 2" xfId="600" xr:uid="{A5AB8198-784A-44E1-8552-9B7342811E8C}"/>
    <cellStyle name="20% - Accent4 2 3 2 2" xfId="2026" xr:uid="{2ED917A2-8373-4676-9E1C-BBD173622214}"/>
    <cellStyle name="20% - Accent4 2 3 2 2 2" xfId="3940" xr:uid="{C2B5EDBC-ED1A-45DD-8E7D-AC8143A9C4A1}"/>
    <cellStyle name="20% - Accent4 2 3 2 2 2 2" xfId="3941" xr:uid="{AECE41B0-7B86-4FF8-9ACF-B7E302161C00}"/>
    <cellStyle name="20% - Accent4 2 3 2 2 2_Jurisdictional Study" xfId="8714" xr:uid="{2229224E-44D1-4895-9A7C-766CE3A1F5AC}"/>
    <cellStyle name="20% - Accent4 2 3 2 2 3" xfId="3942" xr:uid="{8AAD73C3-356C-4D57-920A-B6121DE46DE1}"/>
    <cellStyle name="20% - Accent4 2 3 2 2 4" xfId="3939" xr:uid="{6AE41DA8-8F09-4097-B45B-FE3F6B1E0B48}"/>
    <cellStyle name="20% - Accent4 2 3 2 2_Jurisdictional Study" xfId="8713" xr:uid="{1693B3B8-0145-42AE-AF28-73E7A2B5B892}"/>
    <cellStyle name="20% - Accent4 2 3 2 3" xfId="3943" xr:uid="{0EAE0C5B-B55C-423B-96FE-3CDB641D8743}"/>
    <cellStyle name="20% - Accent4 2 3 2 3 2" xfId="3944" xr:uid="{DB41C5CD-1131-4E98-84F0-B09F0C05355D}"/>
    <cellStyle name="20% - Accent4 2 3 2 3_Jurisdictional Study" xfId="8715" xr:uid="{CC426739-F2F2-498A-878E-DA8AA54D983D}"/>
    <cellStyle name="20% - Accent4 2 3 2 4" xfId="3945" xr:uid="{4725840C-4FFF-4399-8F0F-59861CF56412}"/>
    <cellStyle name="20% - Accent4 2 3 2 5" xfId="3938" xr:uid="{7DD8A19A-C20C-4F48-A111-C3E70DE51B8E}"/>
    <cellStyle name="20% - Accent4 2 3 2_Jurisdictional Study" xfId="8712" xr:uid="{BD7409E4-60DE-45BA-89A1-CE17725CA965}"/>
    <cellStyle name="20% - Accent4 2 3 3" xfId="1869" xr:uid="{10756916-191F-4764-9A99-161D03649408}"/>
    <cellStyle name="20% - Accent4 2 3 3 2" xfId="3947" xr:uid="{7ED69943-8064-440E-B459-B9E4C6A27607}"/>
    <cellStyle name="20% - Accent4 2 3 3 2 2" xfId="3948" xr:uid="{1C1BE52C-79DC-40D6-AE53-547C0A076EAC}"/>
    <cellStyle name="20% - Accent4 2 3 3 2_Jurisdictional Study" xfId="8717" xr:uid="{98CC8D2A-A1F5-417C-A72C-6F4ECB5969F4}"/>
    <cellStyle name="20% - Accent4 2 3 3 3" xfId="3949" xr:uid="{11A7B333-12A7-4AEC-B6A4-4EB0E483D246}"/>
    <cellStyle name="20% - Accent4 2 3 3 4" xfId="3946" xr:uid="{AE17213B-7217-452A-A458-7FCC3D9B6A6A}"/>
    <cellStyle name="20% - Accent4 2 3 3_Jurisdictional Study" xfId="8716" xr:uid="{359FF035-1ABD-49C7-877A-B65C60B08865}"/>
    <cellStyle name="20% - Accent4 2 3 4" xfId="3950" xr:uid="{C7436809-2D90-4A93-9453-5FCB1E29B404}"/>
    <cellStyle name="20% - Accent4 2 3 4 2" xfId="3951" xr:uid="{FC773AC7-C400-4DE9-873A-32AB2A59526D}"/>
    <cellStyle name="20% - Accent4 2 3 4_Jurisdictional Study" xfId="8718" xr:uid="{45A16325-C26A-41DC-A1C1-8AA21B81A49C}"/>
    <cellStyle name="20% - Accent4 2 3 5" xfId="3952" xr:uid="{3118F432-EEC3-4895-9C0D-79CCB20C5FB6}"/>
    <cellStyle name="20% - Accent4 2 3 6" xfId="3937" xr:uid="{C4D0E859-D299-4FC1-A40D-C255A6DC6154}"/>
    <cellStyle name="20% - Accent4 2 3_Jurisdictional Study" xfId="8711" xr:uid="{CA039331-E554-4C11-B47E-D801CD0769B2}"/>
    <cellStyle name="20% - Accent4 2 4" xfId="305" xr:uid="{6C43B4BB-F21B-46BF-AC30-2CBD38FFB7D9}"/>
    <cellStyle name="20% - Accent4 2 4 2" xfId="601" xr:uid="{68B81DC0-36F6-4366-A498-FFD9177865C8}"/>
    <cellStyle name="20% - Accent4 2 4 2 2" xfId="2027" xr:uid="{C08DBDE4-3DB3-48C5-9DA8-A88812BEA0CC}"/>
    <cellStyle name="20% - Accent4 2 4 2 2 2" xfId="3956" xr:uid="{86F048C7-F985-4D82-9E5D-5E4C0C49EEC0}"/>
    <cellStyle name="20% - Accent4 2 4 2 2 3" xfId="3955" xr:uid="{DCF7F19D-530B-45F9-BBCA-EAB37B1F1FFB}"/>
    <cellStyle name="20% - Accent4 2 4 2 2_Jurisdictional Study" xfId="8721" xr:uid="{44CCC8FD-0BFD-4D31-B16D-B5FED24DCB91}"/>
    <cellStyle name="20% - Accent4 2 4 2 3" xfId="3957" xr:uid="{95DBA38E-D7C6-4773-8044-E60788BE5DB2}"/>
    <cellStyle name="20% - Accent4 2 4 2 4" xfId="3954" xr:uid="{B8BBCA97-521E-4D06-98DF-CD649BF59330}"/>
    <cellStyle name="20% - Accent4 2 4 2_Jurisdictional Study" xfId="8720" xr:uid="{C347748C-4574-4AE8-9B17-A51EEEE95EF8}"/>
    <cellStyle name="20% - Accent4 2 4 3" xfId="1870" xr:uid="{89147C12-FB54-41E5-BCF5-9057B3C3CD6C}"/>
    <cellStyle name="20% - Accent4 2 4 3 2" xfId="3959" xr:uid="{CF5B4E8B-67B3-4028-8864-154EEA8C9BEA}"/>
    <cellStyle name="20% - Accent4 2 4 3 3" xfId="3958" xr:uid="{3DC0E432-2223-48AC-93FB-AEF3A1C8010B}"/>
    <cellStyle name="20% - Accent4 2 4 3_Jurisdictional Study" xfId="8722" xr:uid="{CE4B4DD9-10BE-4456-85DB-A6134A9905A2}"/>
    <cellStyle name="20% - Accent4 2 4 4" xfId="3960" xr:uid="{73DD7329-EB73-4297-A00F-D136A7DD8FD8}"/>
    <cellStyle name="20% - Accent4 2 4 5" xfId="3953" xr:uid="{B6F27953-D038-4945-BF6F-1F84D167EF67}"/>
    <cellStyle name="20% - Accent4 2 4_Jurisdictional Study" xfId="8719" xr:uid="{1C7F8779-526E-485C-A51E-54004DA95D8D}"/>
    <cellStyle name="20% - Accent4 2 5" xfId="479" xr:uid="{5D266BA2-533B-4E15-81E6-628F0A1875AB}"/>
    <cellStyle name="20% - Accent4 2 5 2" xfId="2019" xr:uid="{CE7EBE76-9A2C-46F4-B221-70047BA3DA79}"/>
    <cellStyle name="20% - Accent4 2 5 2 2" xfId="3963" xr:uid="{F3610783-C984-40AE-ACAF-540AE355AB0D}"/>
    <cellStyle name="20% - Accent4 2 5 2 3" xfId="3962" xr:uid="{2E701215-BF88-458E-B534-FBF10ED6E101}"/>
    <cellStyle name="20% - Accent4 2 5 2_Jurisdictional Study" xfId="8724" xr:uid="{52C665B9-E417-42DB-90DC-BC29CE2E7C9A}"/>
    <cellStyle name="20% - Accent4 2 5 3" xfId="3964" xr:uid="{903B7D7A-4B2B-4397-8B0D-99F64553C55C}"/>
    <cellStyle name="20% - Accent4 2 5 4" xfId="3961" xr:uid="{1D1A2C4E-D669-45B5-A4FD-87C178BC2A2E}"/>
    <cellStyle name="20% - Accent4 2 5_Jurisdictional Study" xfId="8723" xr:uid="{6A68609A-C3E5-4B5A-A14B-9C121E5DBF82}"/>
    <cellStyle name="20% - Accent4 2 6" xfId="1725" xr:uid="{701A5596-E078-4AF3-8F73-FD6BC9B92DC3}"/>
    <cellStyle name="20% - Accent4 2 6 2" xfId="3966" xr:uid="{59038B4F-69EE-44F6-BF45-04A1346CF145}"/>
    <cellStyle name="20% - Accent4 2 6 3" xfId="3965" xr:uid="{7BFE908F-8B58-4628-B533-60B76C255A12}"/>
    <cellStyle name="20% - Accent4 2 6_Jurisdictional Study" xfId="8725" xr:uid="{35FA0427-3913-4CCC-A85A-B52E1FCBEC4A}"/>
    <cellStyle name="20% - Accent4 2 7" xfId="3967" xr:uid="{A4D05F7E-A992-440A-AC96-CD501C3C43EC}"/>
    <cellStyle name="20% - Accent4 2 8" xfId="3904" xr:uid="{E936C2A2-AB36-4B5D-92D7-FC3A36C02240}"/>
    <cellStyle name="20% - Accent4 2_Jurisdictional Study" xfId="8694" xr:uid="{8FCB1B43-C25B-4858-B837-4DC21D242F8B}"/>
    <cellStyle name="20% - Accent4 3" xfId="243" xr:uid="{41BA8462-7742-428C-9817-2B71A1C9B65F}"/>
    <cellStyle name="20% - Accent4 3 2" xfId="306" xr:uid="{8E7C2CD4-6EB9-4E43-9570-F181E8D7C66F}"/>
    <cellStyle name="20% - Accent4 3 2 2" xfId="602" xr:uid="{261B6A08-9BA4-47C6-8B5D-D7381D81853E}"/>
    <cellStyle name="20% - Accent4 3 2 2 2" xfId="2028" xr:uid="{31FE3F55-ED1F-4F7C-9967-8EC40A656EF1}"/>
    <cellStyle name="20% - Accent4 3 2 2 2 2" xfId="3972" xr:uid="{3B4E8A0D-5566-4327-B737-E923080ED0F1}"/>
    <cellStyle name="20% - Accent4 3 2 2 2 2 2" xfId="3973" xr:uid="{CE580047-20BD-495B-A230-5DA94477388B}"/>
    <cellStyle name="20% - Accent4 3 2 2 2 2 2 2" xfId="3974" xr:uid="{A7EC12FA-9A49-45C3-9593-2FDB2419AE2B}"/>
    <cellStyle name="20% - Accent4 3 2 2 2 2 2_Jurisdictional Study" xfId="8731" xr:uid="{CE630153-5F99-495C-856A-7D00C05080AA}"/>
    <cellStyle name="20% - Accent4 3 2 2 2 2 3" xfId="3975" xr:uid="{359011DF-7F00-459D-8310-0AAFE7E723E6}"/>
    <cellStyle name="20% - Accent4 3 2 2 2 2_Jurisdictional Study" xfId="8730" xr:uid="{F2DF7634-7A3A-47A2-8C6C-AD9A813AF039}"/>
    <cellStyle name="20% - Accent4 3 2 2 2 3" xfId="3976" xr:uid="{FCF57985-8EF5-4376-BD77-A7856BC8816D}"/>
    <cellStyle name="20% - Accent4 3 2 2 2 3 2" xfId="3977" xr:uid="{ED1BF17F-861E-4D30-8FFA-7AFDC1856711}"/>
    <cellStyle name="20% - Accent4 3 2 2 2 3_Jurisdictional Study" xfId="8732" xr:uid="{E65D56F4-9364-4F01-B699-83AED9950C9C}"/>
    <cellStyle name="20% - Accent4 3 2 2 2 4" xfId="3978" xr:uid="{DAC5FF2C-624F-4B51-B264-0CCC1AD6F055}"/>
    <cellStyle name="20% - Accent4 3 2 2 2 5" xfId="3971" xr:uid="{61D1EF74-CAE5-4AA0-8263-57317CEFC8E9}"/>
    <cellStyle name="20% - Accent4 3 2 2 2_Jurisdictional Study" xfId="8729" xr:uid="{1DA39A27-1256-4005-832B-BFAC45432F33}"/>
    <cellStyle name="20% - Accent4 3 2 2 3" xfId="3979" xr:uid="{13839612-7E11-400B-931E-BAA0067B03C0}"/>
    <cellStyle name="20% - Accent4 3 2 2 3 2" xfId="3980" xr:uid="{65BB6D09-3342-48DB-ABB0-01B3495831AB}"/>
    <cellStyle name="20% - Accent4 3 2 2 3 2 2" xfId="3981" xr:uid="{1479B6B6-563C-4B23-9FBD-392C38172001}"/>
    <cellStyle name="20% - Accent4 3 2 2 3 2_Jurisdictional Study" xfId="8734" xr:uid="{966E0BE2-DD49-4AB3-9CAD-F192425AB7DC}"/>
    <cellStyle name="20% - Accent4 3 2 2 3 3" xfId="3982" xr:uid="{0200D282-41DC-4B58-8DA5-1CB33DEC6CC2}"/>
    <cellStyle name="20% - Accent4 3 2 2 3_Jurisdictional Study" xfId="8733" xr:uid="{61F0CCA1-BE1C-4159-BF94-FAF2A85614ED}"/>
    <cellStyle name="20% - Accent4 3 2 2 4" xfId="3983" xr:uid="{7B25E8E0-DD51-41F1-8A81-A59579FC5BF0}"/>
    <cellStyle name="20% - Accent4 3 2 2 4 2" xfId="3984" xr:uid="{2F2B00D4-88DC-4D15-A6D2-46D3E4C7F54E}"/>
    <cellStyle name="20% - Accent4 3 2 2 4_Jurisdictional Study" xfId="8735" xr:uid="{7D996856-A4BC-437F-87C8-94CD0E1C7428}"/>
    <cellStyle name="20% - Accent4 3 2 2 5" xfId="3985" xr:uid="{D8031BC8-49BF-4BB4-9B65-85872ACDE06B}"/>
    <cellStyle name="20% - Accent4 3 2 2 6" xfId="3970" xr:uid="{8EEEA552-4436-45BE-9638-5E85FE7005EE}"/>
    <cellStyle name="20% - Accent4 3 2 2_Jurisdictional Study" xfId="8728" xr:uid="{94B04BA5-5359-459E-B07E-44A67CE59150}"/>
    <cellStyle name="20% - Accent4 3 2 3" xfId="1871" xr:uid="{9D791E3C-92DA-4DD5-BFD6-1A89ECFB4B43}"/>
    <cellStyle name="20% - Accent4 3 2 3 2" xfId="3987" xr:uid="{23A078E1-DC40-4F8C-A4C2-F27565057C6E}"/>
    <cellStyle name="20% - Accent4 3 2 3 2 2" xfId="3988" xr:uid="{22130D54-C36E-4188-85D6-53A78B3B87FD}"/>
    <cellStyle name="20% - Accent4 3 2 3 2 2 2" xfId="3989" xr:uid="{C4C4E01E-A2A5-4552-A804-AA9F3BF5C067}"/>
    <cellStyle name="20% - Accent4 3 2 3 2 2_Jurisdictional Study" xfId="8738" xr:uid="{DB064324-AF1A-4244-996E-3596AC8B0321}"/>
    <cellStyle name="20% - Accent4 3 2 3 2 3" xfId="3990" xr:uid="{CFEDF84F-5CE8-4F6B-BD41-94B2A09A7175}"/>
    <cellStyle name="20% - Accent4 3 2 3 2_Jurisdictional Study" xfId="8737" xr:uid="{22BD63B7-531D-463C-B05C-C976A83BFECD}"/>
    <cellStyle name="20% - Accent4 3 2 3 3" xfId="3991" xr:uid="{F1CC32F5-BFB8-40D5-93BA-A671F90D6724}"/>
    <cellStyle name="20% - Accent4 3 2 3 3 2" xfId="3992" xr:uid="{A94909E6-FFCC-4ABF-9A35-E265A9EA50E4}"/>
    <cellStyle name="20% - Accent4 3 2 3 3_Jurisdictional Study" xfId="8739" xr:uid="{C9C60851-421B-4EB8-A1B8-468ADD944384}"/>
    <cellStyle name="20% - Accent4 3 2 3 4" xfId="3993" xr:uid="{283ED758-FC8F-4595-A1C9-4C92D7CC25EC}"/>
    <cellStyle name="20% - Accent4 3 2 3 5" xfId="3986" xr:uid="{35740311-20A1-488F-8FBB-2153968B36D9}"/>
    <cellStyle name="20% - Accent4 3 2 3_Jurisdictional Study" xfId="8736" xr:uid="{182361C4-448E-4DC9-A97D-B39D298CF1EF}"/>
    <cellStyle name="20% - Accent4 3 2 4" xfId="3994" xr:uid="{7B6F532A-8BC8-4D59-B921-578C336FD6AE}"/>
    <cellStyle name="20% - Accent4 3 2 4 2" xfId="3995" xr:uid="{51191FE6-594C-4A73-B7C8-4261ACA01B30}"/>
    <cellStyle name="20% - Accent4 3 2 4 2 2" xfId="3996" xr:uid="{AD2FC90B-14C5-40E6-BBA3-BD63666761F2}"/>
    <cellStyle name="20% - Accent4 3 2 4 2_Jurisdictional Study" xfId="8741" xr:uid="{94B3FE71-0CB5-4557-BF2A-1665E76C4DFF}"/>
    <cellStyle name="20% - Accent4 3 2 4 3" xfId="3997" xr:uid="{2E6C9FB7-3CFB-4BDA-85B5-EB71138E97B1}"/>
    <cellStyle name="20% - Accent4 3 2 4_Jurisdictional Study" xfId="8740" xr:uid="{86226148-FD6D-4B58-8461-35E980210F53}"/>
    <cellStyle name="20% - Accent4 3 2 5" xfId="3998" xr:uid="{6B06B9DA-03F1-453A-AEFD-B60430DF7835}"/>
    <cellStyle name="20% - Accent4 3 2 5 2" xfId="3999" xr:uid="{13E98171-F05E-42B5-8630-414F0FFBC233}"/>
    <cellStyle name="20% - Accent4 3 2 5_Jurisdictional Study" xfId="8742" xr:uid="{0C1C51EE-3889-411D-9A66-ED9A1C95F092}"/>
    <cellStyle name="20% - Accent4 3 2 6" xfId="4000" xr:uid="{A32CF3E7-5CD3-42E5-8569-673B740CFB8F}"/>
    <cellStyle name="20% - Accent4 3 2 7" xfId="3969" xr:uid="{4C3FEE9C-B3C4-40C5-9CAE-795F70445C70}"/>
    <cellStyle name="20% - Accent4 3 2_Jurisdictional Study" xfId="8727" xr:uid="{3AC08F9E-721C-47F9-B002-2419200B5BED}"/>
    <cellStyle name="20% - Accent4 3 3" xfId="307" xr:uid="{06FA2CE1-4282-4B9B-86DC-BA9B7BFD3479}"/>
    <cellStyle name="20% - Accent4 3 3 2" xfId="603" xr:uid="{8DC1BF9C-9FC7-4116-8F24-54D5530AE2DB}"/>
    <cellStyle name="20% - Accent4 3 3 2 2" xfId="2029" xr:uid="{7AD6D327-1864-41B5-8926-A278201E995E}"/>
    <cellStyle name="20% - Accent4 3 3 2 2 2" xfId="4004" xr:uid="{CF6D4761-F359-4F45-BCE1-1F6A802B8F0B}"/>
    <cellStyle name="20% - Accent4 3 3 2 2 2 2" xfId="4005" xr:uid="{9787AB9C-492B-4B94-B95D-DB59DD00C039}"/>
    <cellStyle name="20% - Accent4 3 3 2 2 2_Jurisdictional Study" xfId="8746" xr:uid="{F41EEC75-5ADF-4D01-88FB-3B4173F1D2ED}"/>
    <cellStyle name="20% - Accent4 3 3 2 2 3" xfId="4006" xr:uid="{5BD22131-DFD6-4C66-8E2C-7C3410B315C9}"/>
    <cellStyle name="20% - Accent4 3 3 2 2 4" xfId="4003" xr:uid="{78332434-7129-4F29-8611-D5E7188FF8AE}"/>
    <cellStyle name="20% - Accent4 3 3 2 2_Jurisdictional Study" xfId="8745" xr:uid="{8E821E56-CE6D-421D-94E9-F0ADE7F474B3}"/>
    <cellStyle name="20% - Accent4 3 3 2 3" xfId="4007" xr:uid="{27B68631-8799-4B6E-95BE-04DF917AE798}"/>
    <cellStyle name="20% - Accent4 3 3 2 3 2" xfId="4008" xr:uid="{98145BC3-E870-4392-935C-AC474C388F85}"/>
    <cellStyle name="20% - Accent4 3 3 2 3_Jurisdictional Study" xfId="8747" xr:uid="{FBA10F53-EEDC-4472-BB5B-6728FA975A21}"/>
    <cellStyle name="20% - Accent4 3 3 2 4" xfId="4009" xr:uid="{03AF080F-1D29-43D8-8809-C764B22724E2}"/>
    <cellStyle name="20% - Accent4 3 3 2 5" xfId="4002" xr:uid="{F17D836F-8004-4CE0-8BEE-4144190C9DDF}"/>
    <cellStyle name="20% - Accent4 3 3 2_Jurisdictional Study" xfId="8744" xr:uid="{467E7C97-B881-450A-A3A5-3D76C0D6EACE}"/>
    <cellStyle name="20% - Accent4 3 3 3" xfId="1872" xr:uid="{EB8F2E5A-A163-4F6E-9AC2-D7685DA0AABA}"/>
    <cellStyle name="20% - Accent4 3 3 3 2" xfId="4011" xr:uid="{42E052C5-0224-46D7-A9EF-8C262887B4B5}"/>
    <cellStyle name="20% - Accent4 3 3 3 2 2" xfId="4012" xr:uid="{C1E807B9-9AF3-496D-A351-C83AED15601F}"/>
    <cellStyle name="20% - Accent4 3 3 3 2_Jurisdictional Study" xfId="8749" xr:uid="{8BF41ACD-2C50-41B6-8B80-BCFDD41A681B}"/>
    <cellStyle name="20% - Accent4 3 3 3 3" xfId="4013" xr:uid="{75678800-A483-4F9D-AA0A-624FBCFEC461}"/>
    <cellStyle name="20% - Accent4 3 3 3 4" xfId="4010" xr:uid="{01B65C17-1581-442D-991E-F28F31967BEC}"/>
    <cellStyle name="20% - Accent4 3 3 3_Jurisdictional Study" xfId="8748" xr:uid="{E7C015CA-905E-427B-B841-9C9B2B04BB84}"/>
    <cellStyle name="20% - Accent4 3 3 4" xfId="4014" xr:uid="{CDDD46EB-FE17-42E6-B254-B0FC43F7F4FA}"/>
    <cellStyle name="20% - Accent4 3 3 4 2" xfId="4015" xr:uid="{9D1415B8-1E68-4A05-A190-C826E6005282}"/>
    <cellStyle name="20% - Accent4 3 3 4_Jurisdictional Study" xfId="8750" xr:uid="{68F79F61-DD1B-4769-AFE9-BD50F82FB726}"/>
    <cellStyle name="20% - Accent4 3 3 5" xfId="4016" xr:uid="{7E0CED26-A637-4B80-A21C-30E6F2682A89}"/>
    <cellStyle name="20% - Accent4 3 3 6" xfId="4001" xr:uid="{DE10DC28-F894-4EA8-9AAD-8A57C80D1BCD}"/>
    <cellStyle name="20% - Accent4 3 3_Jurisdictional Study" xfId="8743" xr:uid="{8C559F63-8861-4CF3-9BD0-4766F1DBB7A6}"/>
    <cellStyle name="20% - Accent4 3 4" xfId="308" xr:uid="{50DD2881-93E0-434C-BB8B-B7743CB9E071}"/>
    <cellStyle name="20% - Accent4 3 4 2" xfId="604" xr:uid="{4C380484-B3FA-49CF-84C2-56DE36070CD3}"/>
    <cellStyle name="20% - Accent4 3 4 2 2" xfId="2030" xr:uid="{69BBEDCA-017E-476D-8BDD-78CAA2CF1ED7}"/>
    <cellStyle name="20% - Accent4 3 4 2 2 2" xfId="4020" xr:uid="{35968619-8C3E-4FCA-AC1E-BFF40A418D32}"/>
    <cellStyle name="20% - Accent4 3 4 2 2 3" xfId="4019" xr:uid="{747A702B-6AAB-4D51-B120-7CD1E1FCE0FD}"/>
    <cellStyle name="20% - Accent4 3 4 2 2_Jurisdictional Study" xfId="8753" xr:uid="{E7998941-49CE-4AB6-8732-8AA020175C99}"/>
    <cellStyle name="20% - Accent4 3 4 2 3" xfId="4021" xr:uid="{9C36652A-CD77-40B2-8DC1-4864D597CA93}"/>
    <cellStyle name="20% - Accent4 3 4 2 4" xfId="4018" xr:uid="{B0BAD3B4-74D4-4892-AD84-C95F009B2EE5}"/>
    <cellStyle name="20% - Accent4 3 4 2_Jurisdictional Study" xfId="8752" xr:uid="{20CC636D-3611-4988-89D2-898D991D6A41}"/>
    <cellStyle name="20% - Accent4 3 4 3" xfId="1873" xr:uid="{1D3200E3-412B-4D2E-97AA-BD64A107392A}"/>
    <cellStyle name="20% - Accent4 3 4 3 2" xfId="4023" xr:uid="{D7D87B2C-CC81-42E8-B980-410349E4DAFB}"/>
    <cellStyle name="20% - Accent4 3 4 3 3" xfId="4022" xr:uid="{4BF58015-0468-4618-97D9-70508232AA1E}"/>
    <cellStyle name="20% - Accent4 3 4 3_Jurisdictional Study" xfId="8754" xr:uid="{BBD89B96-4FDB-4E25-9220-57AA051498BC}"/>
    <cellStyle name="20% - Accent4 3 4 4" xfId="4024" xr:uid="{91C5AE4A-6738-446F-808F-B2A3266B4948}"/>
    <cellStyle name="20% - Accent4 3 4 5" xfId="4017" xr:uid="{3CBF8FD0-6708-481F-835F-03296C3B9582}"/>
    <cellStyle name="20% - Accent4 3 4_Jurisdictional Study" xfId="8751" xr:uid="{E7EBF54E-97CC-4C1C-9775-72E0745C24B2}"/>
    <cellStyle name="20% - Accent4 3 5" xfId="555" xr:uid="{FEA1C5BA-8B65-4CA6-ABF9-9D37EF93CD56}"/>
    <cellStyle name="20% - Accent4 3 5 2" xfId="2021" xr:uid="{E8612726-121C-4D42-B77B-376F4D2165D5}"/>
    <cellStyle name="20% - Accent4 3 5 2 2" xfId="4027" xr:uid="{5C96630C-6A0F-4A73-92B5-9420CA99889B}"/>
    <cellStyle name="20% - Accent4 3 5 2 3" xfId="4026" xr:uid="{5F2059F4-15CA-45ED-88EC-AD918D15B16B}"/>
    <cellStyle name="20% - Accent4 3 5 2_Jurisdictional Study" xfId="8756" xr:uid="{62C73D01-EC29-4E6C-A468-11BC0CF6E4BF}"/>
    <cellStyle name="20% - Accent4 3 5 3" xfId="4028" xr:uid="{4B53DE41-71D5-4EF1-9512-A846813AE145}"/>
    <cellStyle name="20% - Accent4 3 5 4" xfId="4025" xr:uid="{F10F38CA-B3B4-49D1-BD46-34420B90EB5C}"/>
    <cellStyle name="20% - Accent4 3 5_Jurisdictional Study" xfId="8755" xr:uid="{E1142067-42CF-44B9-943C-AC33A7EB31B7}"/>
    <cellStyle name="20% - Accent4 3 6" xfId="1812" xr:uid="{09245DC4-8870-4377-BEBB-D6A2D6E0B217}"/>
    <cellStyle name="20% - Accent4 3 6 2" xfId="4030" xr:uid="{7BBBFA1F-798F-4889-B106-07526A557A9C}"/>
    <cellStyle name="20% - Accent4 3 6 3" xfId="4029" xr:uid="{5E4CB875-64AD-409A-92D2-7C32C36CAB9A}"/>
    <cellStyle name="20% - Accent4 3 6_Jurisdictional Study" xfId="8757" xr:uid="{31BBBC8D-1C4D-4A61-A88D-6AE6399028A9}"/>
    <cellStyle name="20% - Accent4 3 7" xfId="4031" xr:uid="{7F66CA49-D170-40AE-8A0B-409EE7604E90}"/>
    <cellStyle name="20% - Accent4 3 8" xfId="3968" xr:uid="{BDEC10E3-ED7F-4164-B4C8-ED679DFDB657}"/>
    <cellStyle name="20% - Accent4 3_Jurisdictional Study" xfId="8726" xr:uid="{1E65F406-7C9D-426A-ADD5-069CBAF372FB}"/>
    <cellStyle name="20% - Accent4 4" xfId="245" xr:uid="{4551C38C-B656-47F7-AA2A-C2548B4299D6}"/>
    <cellStyle name="20% - Accent4 4 2" xfId="309" xr:uid="{1FE16A3B-2D9F-47F3-83D8-38906759B553}"/>
    <cellStyle name="20% - Accent4 4 2 2" xfId="605" xr:uid="{1A89D279-17A6-408A-9C4F-6AD4D95D26D0}"/>
    <cellStyle name="20% - Accent4 4 2 2 2" xfId="2031" xr:uid="{F6299E54-3EF5-4932-B60B-624C82EB460E}"/>
    <cellStyle name="20% - Accent4 4 2 2 2 2" xfId="4036" xr:uid="{B1B39723-9761-4880-BBE7-73D498891A81}"/>
    <cellStyle name="20% - Accent4 4 2 2 2 2 2" xfId="4037" xr:uid="{1CC6339F-3EDD-4A1A-A700-0F44FE7EE8CC}"/>
    <cellStyle name="20% - Accent4 4 2 2 2 2 2 2" xfId="4038" xr:uid="{2585309E-2144-4ADC-9BBA-B3EAA037FF8E}"/>
    <cellStyle name="20% - Accent4 4 2 2 2 2 2_Jurisdictional Study" xfId="8763" xr:uid="{4CF62E4A-4FFE-4A0D-9D43-1BDC035E13DA}"/>
    <cellStyle name="20% - Accent4 4 2 2 2 2 3" xfId="4039" xr:uid="{E14A511E-1F1D-4E57-A2E1-19C05AC0E2AB}"/>
    <cellStyle name="20% - Accent4 4 2 2 2 2_Jurisdictional Study" xfId="8762" xr:uid="{E9223DC7-A367-4ED3-B300-73CD4014A4F4}"/>
    <cellStyle name="20% - Accent4 4 2 2 2 3" xfId="4040" xr:uid="{BBEA146F-09F7-49AA-9742-4517663EE564}"/>
    <cellStyle name="20% - Accent4 4 2 2 2 3 2" xfId="4041" xr:uid="{E3E41434-8015-4102-8300-6208B6F8A5D2}"/>
    <cellStyle name="20% - Accent4 4 2 2 2 3_Jurisdictional Study" xfId="8764" xr:uid="{22A8224A-00D9-4125-9C6C-DCDC49661F8C}"/>
    <cellStyle name="20% - Accent4 4 2 2 2 4" xfId="4042" xr:uid="{E42F8B49-AB3F-4DAF-86F3-5F868454D67D}"/>
    <cellStyle name="20% - Accent4 4 2 2 2 5" xfId="4035" xr:uid="{621A1F0A-49B2-4FCE-9026-3A4EE055A46B}"/>
    <cellStyle name="20% - Accent4 4 2 2 2_Jurisdictional Study" xfId="8761" xr:uid="{80C73176-DEB7-4B41-A6D7-344970BE9FFF}"/>
    <cellStyle name="20% - Accent4 4 2 2 3" xfId="4043" xr:uid="{8A1E8F35-3336-485C-938C-A9974755BA77}"/>
    <cellStyle name="20% - Accent4 4 2 2 3 2" xfId="4044" xr:uid="{935B73BB-7963-45CE-855D-BCFF765141B6}"/>
    <cellStyle name="20% - Accent4 4 2 2 3 2 2" xfId="4045" xr:uid="{43769D80-AAF7-4847-9562-483D996F2A4C}"/>
    <cellStyle name="20% - Accent4 4 2 2 3 2_Jurisdictional Study" xfId="8766" xr:uid="{543F34CB-D5CE-4FF0-84C7-83B0B096CF05}"/>
    <cellStyle name="20% - Accent4 4 2 2 3 3" xfId="4046" xr:uid="{206D2564-0D39-4900-91A3-87CEBE6E0CFE}"/>
    <cellStyle name="20% - Accent4 4 2 2 3_Jurisdictional Study" xfId="8765" xr:uid="{78156D7F-036A-4A9D-98F0-C0217F9B0014}"/>
    <cellStyle name="20% - Accent4 4 2 2 4" xfId="4047" xr:uid="{AC4B1F94-69FC-4637-A66D-5F46749CE0AF}"/>
    <cellStyle name="20% - Accent4 4 2 2 4 2" xfId="4048" xr:uid="{583B1387-A400-457D-804C-3E2E7B643522}"/>
    <cellStyle name="20% - Accent4 4 2 2 4_Jurisdictional Study" xfId="8767" xr:uid="{30AF2474-87A0-4B96-B586-0195EB8CA2F1}"/>
    <cellStyle name="20% - Accent4 4 2 2 5" xfId="4049" xr:uid="{365BA145-47DC-4D2D-A84A-3E86BD681F4E}"/>
    <cellStyle name="20% - Accent4 4 2 2 6" xfId="4034" xr:uid="{D98F82CB-6CD4-422C-8D6B-435FD922C883}"/>
    <cellStyle name="20% - Accent4 4 2 2_Jurisdictional Study" xfId="8760" xr:uid="{66B1A7A8-B8FB-4A11-AD58-E875C7DBDBEC}"/>
    <cellStyle name="20% - Accent4 4 2 3" xfId="1874" xr:uid="{E56B55FB-9C07-4812-A1BB-AEDC0761E666}"/>
    <cellStyle name="20% - Accent4 4 2 3 2" xfId="4051" xr:uid="{474CDD46-AAFD-4244-817A-074E66BB52F2}"/>
    <cellStyle name="20% - Accent4 4 2 3 2 2" xfId="4052" xr:uid="{9523D29B-7ED9-4E4A-9B6E-D033C5FAFCA1}"/>
    <cellStyle name="20% - Accent4 4 2 3 2 2 2" xfId="4053" xr:uid="{617EB79D-A927-4765-B576-7EB87A8D4328}"/>
    <cellStyle name="20% - Accent4 4 2 3 2 2_Jurisdictional Study" xfId="8770" xr:uid="{C2D96D1A-D766-4898-B9F9-E75D42026314}"/>
    <cellStyle name="20% - Accent4 4 2 3 2 3" xfId="4054" xr:uid="{47005E90-F3BD-4541-B0B3-C49B5D1E1DD3}"/>
    <cellStyle name="20% - Accent4 4 2 3 2_Jurisdictional Study" xfId="8769" xr:uid="{18DA82CA-6FB8-4FE1-8393-5D12929B5553}"/>
    <cellStyle name="20% - Accent4 4 2 3 3" xfId="4055" xr:uid="{DB2D6FF9-BD8D-4FD3-8A17-FA3186945649}"/>
    <cellStyle name="20% - Accent4 4 2 3 3 2" xfId="4056" xr:uid="{BAFE2B40-F14C-4D12-8746-A9B0A7872750}"/>
    <cellStyle name="20% - Accent4 4 2 3 3_Jurisdictional Study" xfId="8771" xr:uid="{F7FF1699-527A-47A7-9DC0-7040F0FA4C65}"/>
    <cellStyle name="20% - Accent4 4 2 3 4" xfId="4057" xr:uid="{9646E6E2-ADC1-460B-9E55-11647E9074CE}"/>
    <cellStyle name="20% - Accent4 4 2 3 5" xfId="4050" xr:uid="{12498605-B7B1-4EBD-B9CB-D71373DD6618}"/>
    <cellStyle name="20% - Accent4 4 2 3_Jurisdictional Study" xfId="8768" xr:uid="{E4E98572-8FAA-40D4-ABE3-63EDFEED3869}"/>
    <cellStyle name="20% - Accent4 4 2 4" xfId="4058" xr:uid="{A6E49DD1-B752-4B11-8AC1-FD57580705AA}"/>
    <cellStyle name="20% - Accent4 4 2 4 2" xfId="4059" xr:uid="{AB376101-7E79-4EEB-A7AC-05DCE93572BC}"/>
    <cellStyle name="20% - Accent4 4 2 4 2 2" xfId="4060" xr:uid="{B0A7369C-92E1-445B-A01C-A02A71341E91}"/>
    <cellStyle name="20% - Accent4 4 2 4 2_Jurisdictional Study" xfId="8773" xr:uid="{FC2700BA-6236-4304-8931-35C35C43561C}"/>
    <cellStyle name="20% - Accent4 4 2 4 3" xfId="4061" xr:uid="{3446972F-E26D-494F-A5B7-493AAFB0F2C5}"/>
    <cellStyle name="20% - Accent4 4 2 4_Jurisdictional Study" xfId="8772" xr:uid="{203D3413-CC06-4B1A-9A86-005625FC61F1}"/>
    <cellStyle name="20% - Accent4 4 2 5" xfId="4062" xr:uid="{78B9DF11-F9BD-418F-A8CE-E308F83FCE78}"/>
    <cellStyle name="20% - Accent4 4 2 5 2" xfId="4063" xr:uid="{057FA808-9F6A-4791-B85D-08B09CDCCF57}"/>
    <cellStyle name="20% - Accent4 4 2 5_Jurisdictional Study" xfId="8774" xr:uid="{9800DF3B-7707-42A9-836C-4DFACF75D640}"/>
    <cellStyle name="20% - Accent4 4 2 6" xfId="4064" xr:uid="{1A5A6992-3637-41EC-9C72-673857D13B0A}"/>
    <cellStyle name="20% - Accent4 4 2 7" xfId="4033" xr:uid="{969B1A43-E134-4C45-AFE9-03DD51445AB9}"/>
    <cellStyle name="20% - Accent4 4 2_Jurisdictional Study" xfId="8759" xr:uid="{CB3E10EB-905D-4D98-A44E-87C064F354E6}"/>
    <cellStyle name="20% - Accent4 4 3" xfId="310" xr:uid="{5C2310F4-2AD7-4BDC-853A-792191B26484}"/>
    <cellStyle name="20% - Accent4 4 3 2" xfId="606" xr:uid="{82B0A18A-D2B9-4111-B72E-FD6FE2402EB8}"/>
    <cellStyle name="20% - Accent4 4 3 2 2" xfId="2032" xr:uid="{D8271318-97E1-411A-9317-6607B46A12A8}"/>
    <cellStyle name="20% - Accent4 4 3 2 2 2" xfId="4068" xr:uid="{5E0B07F5-8EDC-4D9D-A7E9-6C21BEBD7C01}"/>
    <cellStyle name="20% - Accent4 4 3 2 2 2 2" xfId="4069" xr:uid="{3063761E-5240-4BBE-B1B3-682B6AB7FFE6}"/>
    <cellStyle name="20% - Accent4 4 3 2 2 2_Jurisdictional Study" xfId="8778" xr:uid="{6537849F-E62C-4213-B49E-2B8697E91C05}"/>
    <cellStyle name="20% - Accent4 4 3 2 2 3" xfId="4070" xr:uid="{E5436D6F-1C17-4FFE-9F06-6AE37412BA99}"/>
    <cellStyle name="20% - Accent4 4 3 2 2 4" xfId="4067" xr:uid="{9331055F-E15B-41DF-A4CA-B1D4F410E5C4}"/>
    <cellStyle name="20% - Accent4 4 3 2 2_Jurisdictional Study" xfId="8777" xr:uid="{C470EB8A-1F77-4A3D-A006-D090DC5BED4D}"/>
    <cellStyle name="20% - Accent4 4 3 2 3" xfId="4071" xr:uid="{2BDF92E8-50C6-49AC-8B41-85CCCFD503E2}"/>
    <cellStyle name="20% - Accent4 4 3 2 3 2" xfId="4072" xr:uid="{B42D0EA1-BE9A-456F-A981-D354401B1321}"/>
    <cellStyle name="20% - Accent4 4 3 2 3_Jurisdictional Study" xfId="8779" xr:uid="{95AC5847-DD44-45B6-B501-B68C088F2455}"/>
    <cellStyle name="20% - Accent4 4 3 2 4" xfId="4073" xr:uid="{6238EFA6-0F44-4891-B1C5-1D598764FE61}"/>
    <cellStyle name="20% - Accent4 4 3 2 5" xfId="4066" xr:uid="{9A95CA1E-EAB2-4C90-AFF8-EEC6C4B594F9}"/>
    <cellStyle name="20% - Accent4 4 3 2_Jurisdictional Study" xfId="8776" xr:uid="{E66AB055-1C12-4604-95A6-A68D74A42A65}"/>
    <cellStyle name="20% - Accent4 4 3 3" xfId="1875" xr:uid="{CB355C86-DD27-4264-B776-B4BC8280C82C}"/>
    <cellStyle name="20% - Accent4 4 3 3 2" xfId="4075" xr:uid="{4F41E32B-2B1C-46AA-9A26-4951C4D47717}"/>
    <cellStyle name="20% - Accent4 4 3 3 2 2" xfId="4076" xr:uid="{1711E526-5CF9-4E89-B6AF-DE3635D08800}"/>
    <cellStyle name="20% - Accent4 4 3 3 2_Jurisdictional Study" xfId="8781" xr:uid="{A969E29E-617F-46ED-91FA-F56FFE73C75B}"/>
    <cellStyle name="20% - Accent4 4 3 3 3" xfId="4077" xr:uid="{04C2D166-AE3E-4CB8-AB0F-0F33DEE10795}"/>
    <cellStyle name="20% - Accent4 4 3 3 4" xfId="4074" xr:uid="{C5F56F88-5FFE-48D1-AF49-BBD2FB813797}"/>
    <cellStyle name="20% - Accent4 4 3 3_Jurisdictional Study" xfId="8780" xr:uid="{5F1C9A6D-DD4E-4EB8-9540-ECED31B6D8A9}"/>
    <cellStyle name="20% - Accent4 4 3 4" xfId="4078" xr:uid="{CAB5DF0B-26E7-4858-8969-10655678D95D}"/>
    <cellStyle name="20% - Accent4 4 3 4 2" xfId="4079" xr:uid="{FAAF9C00-340E-4E6F-9449-B035D40799D2}"/>
    <cellStyle name="20% - Accent4 4 3 4_Jurisdictional Study" xfId="8782" xr:uid="{3DE7C092-BEC8-42F8-8260-2A07EA549796}"/>
    <cellStyle name="20% - Accent4 4 3 5" xfId="4080" xr:uid="{9738B271-8D4E-4C6A-8432-532991660515}"/>
    <cellStyle name="20% - Accent4 4 3 6" xfId="4065" xr:uid="{B9F389AE-6AFC-4B56-885E-109F35B5EA39}"/>
    <cellStyle name="20% - Accent4 4 3_Jurisdictional Study" xfId="8775" xr:uid="{60BA161C-5841-4833-B8E0-74621F15354E}"/>
    <cellStyle name="20% - Accent4 4 4" xfId="311" xr:uid="{846C9761-CCE6-4217-9CCF-015BAEBA9860}"/>
    <cellStyle name="20% - Accent4 4 4 2" xfId="607" xr:uid="{B51E059D-D3B3-4D2C-9440-E4F8E2272AA2}"/>
    <cellStyle name="20% - Accent4 4 4 2 2" xfId="2033" xr:uid="{F11A6AA9-AE03-48FE-B1CD-E8A0E0472F6A}"/>
    <cellStyle name="20% - Accent4 4 4 2 2 2" xfId="4084" xr:uid="{CC00FC7F-4A35-4B35-85AF-8C2433405390}"/>
    <cellStyle name="20% - Accent4 4 4 2 2 3" xfId="4083" xr:uid="{728327AA-2C39-4C2A-A260-A52C96234AE4}"/>
    <cellStyle name="20% - Accent4 4 4 2 2_Jurisdictional Study" xfId="8785" xr:uid="{B86DF143-D376-4CD0-9ABC-DF6D00BABC4D}"/>
    <cellStyle name="20% - Accent4 4 4 2 3" xfId="4085" xr:uid="{CD0C9033-8F17-4AEC-95DB-7AC1E7030B43}"/>
    <cellStyle name="20% - Accent4 4 4 2 4" xfId="4082" xr:uid="{8E8C4455-63F1-4600-B46E-53D8EE320B09}"/>
    <cellStyle name="20% - Accent4 4 4 2_Jurisdictional Study" xfId="8784" xr:uid="{5EC7842B-A061-4180-A5F8-B8C2E0BB61C4}"/>
    <cellStyle name="20% - Accent4 4 4 3" xfId="1876" xr:uid="{6331BDC0-47D3-4356-A763-F53ABE19E12B}"/>
    <cellStyle name="20% - Accent4 4 4 3 2" xfId="4087" xr:uid="{E9F54191-BDD8-4589-B8CF-104EBEBE2F2C}"/>
    <cellStyle name="20% - Accent4 4 4 3 3" xfId="4086" xr:uid="{CB92EAD2-F8EE-4D19-91CD-20E0CEB5EAD9}"/>
    <cellStyle name="20% - Accent4 4 4 3_Jurisdictional Study" xfId="8786" xr:uid="{CEDD7EDD-6333-4999-B551-682D51BB611E}"/>
    <cellStyle name="20% - Accent4 4 4 4" xfId="4088" xr:uid="{28FEB4D0-AF00-42A8-8A57-712524D567BD}"/>
    <cellStyle name="20% - Accent4 4 4 5" xfId="4081" xr:uid="{93B162F6-F971-4B58-A88C-FB2D04E00E75}"/>
    <cellStyle name="20% - Accent4 4 4_Jurisdictional Study" xfId="8783" xr:uid="{A1AAF85D-06E9-4D16-9DE3-F811E7EDE4FA}"/>
    <cellStyle name="20% - Accent4 4 5" xfId="556" xr:uid="{BDD9877F-9565-49B4-9584-08E6C86F7803}"/>
    <cellStyle name="20% - Accent4 4 5 2" xfId="2022" xr:uid="{BB990692-0324-4672-A70C-635122F8120E}"/>
    <cellStyle name="20% - Accent4 4 5 2 2" xfId="4091" xr:uid="{337AA3B1-16BB-4E4F-BF72-BA12A3957153}"/>
    <cellStyle name="20% - Accent4 4 5 2 3" xfId="4090" xr:uid="{F8AA9819-1C0D-4F49-9D3B-F25B5E40728B}"/>
    <cellStyle name="20% - Accent4 4 5 2_Jurisdictional Study" xfId="8788" xr:uid="{EB75D539-5FB3-49B7-B49D-996849977E9A}"/>
    <cellStyle name="20% - Accent4 4 5 3" xfId="4092" xr:uid="{AC963785-A1F1-49BC-A4F5-D2B6131158B1}"/>
    <cellStyle name="20% - Accent4 4 5 4" xfId="4089" xr:uid="{14BC3B21-AE58-41F6-B5E6-B9E73998762A}"/>
    <cellStyle name="20% - Accent4 4 5_Jurisdictional Study" xfId="8787" xr:uid="{57F231D9-C8BD-42FC-9D93-F849892A8B98}"/>
    <cellStyle name="20% - Accent4 4 6" xfId="1814" xr:uid="{A29E04B7-70A1-4673-A082-5F4A7FA0B7D4}"/>
    <cellStyle name="20% - Accent4 4 6 2" xfId="4094" xr:uid="{6FB77346-0304-4821-9962-38C10F2993BF}"/>
    <cellStyle name="20% - Accent4 4 6 3" xfId="4093" xr:uid="{CF3317FB-8C7E-4E86-A0B1-C5D2AC645350}"/>
    <cellStyle name="20% - Accent4 4 6_Jurisdictional Study" xfId="8789" xr:uid="{CABCB5E7-C767-4D48-BB72-0A2296D66307}"/>
    <cellStyle name="20% - Accent4 4 7" xfId="4095" xr:uid="{2E1A6118-2B4D-4E41-9796-92A95A125212}"/>
    <cellStyle name="20% - Accent4 4 8" xfId="4032" xr:uid="{24209A56-5830-4901-8DE2-7827CFB392C5}"/>
    <cellStyle name="20% - Accent4 4_Jurisdictional Study" xfId="8758" xr:uid="{5B966780-5728-43D7-AA1D-41FF260FCA7A}"/>
    <cellStyle name="20% - Accent4 5" xfId="250" xr:uid="{06CAE198-0FBA-4D12-BF35-0FAA43C6700C}"/>
    <cellStyle name="20% - Accent4 5 2" xfId="4097" xr:uid="{E37271C5-061D-4237-A59A-9912B226FAE1}"/>
    <cellStyle name="20% - Accent4 5 2 2" xfId="4098" xr:uid="{A0B67529-35A7-466A-A357-64D501AEB7F1}"/>
    <cellStyle name="20% - Accent4 5 2 2 2" xfId="4099" xr:uid="{34A13C70-0412-48FC-8A76-74FE96B374B9}"/>
    <cellStyle name="20% - Accent4 5 2 2 2 2" xfId="4100" xr:uid="{205F9BC9-6911-4EB3-A3AE-FAAC01DA5BA9}"/>
    <cellStyle name="20% - Accent4 5 2 2 2 2 2" xfId="4101" xr:uid="{9E5B8939-1FED-4299-911F-E15D1601761E}"/>
    <cellStyle name="20% - Accent4 5 2 2 2 2_Jurisdictional Study" xfId="8793" xr:uid="{8DAA8685-C968-4803-B2FE-81E7FF0648CA}"/>
    <cellStyle name="20% - Accent4 5 2 2 2 3" xfId="4102" xr:uid="{B4C0F583-42ED-4528-BFDB-2F20918B30EE}"/>
    <cellStyle name="20% - Accent4 5 2 2 2_Jurisdictional Study" xfId="8792" xr:uid="{0412FC96-3EDD-4F66-96C6-AD17D62945B7}"/>
    <cellStyle name="20% - Accent4 5 2 2 3" xfId="4103" xr:uid="{174834ED-1BA4-457E-B6CF-D43FBBF3562A}"/>
    <cellStyle name="20% - Accent4 5 2 2 3 2" xfId="4104" xr:uid="{2C55A5E4-9B08-4738-898D-190E8326FEB9}"/>
    <cellStyle name="20% - Accent4 5 2 2 3_Jurisdictional Study" xfId="8794" xr:uid="{3E78AB8C-F078-460D-9C27-E833AAAB0350}"/>
    <cellStyle name="20% - Accent4 5 2 2 4" xfId="4105" xr:uid="{2870C7BE-F2F8-4F02-943D-34980B697756}"/>
    <cellStyle name="20% - Accent4 5 2 2_Jurisdictional Study" xfId="8791" xr:uid="{500074E6-9847-4B4B-89AA-5BC51E7E4953}"/>
    <cellStyle name="20% - Accent4 5 2 3" xfId="4106" xr:uid="{0120CBC3-F748-434D-B91C-F250459B7218}"/>
    <cellStyle name="20% - Accent4 5 2 3 2" xfId="4107" xr:uid="{625B1BEC-2082-4CBB-9D36-09A84ECE24B4}"/>
    <cellStyle name="20% - Accent4 5 2 3 2 2" xfId="4108" xr:uid="{A0573A89-8767-484F-AAD5-A8E8CACC3358}"/>
    <cellStyle name="20% - Accent4 5 2 3 2_Jurisdictional Study" xfId="8796" xr:uid="{2C0D54F3-3E6C-426A-974C-41CB926DE745}"/>
    <cellStyle name="20% - Accent4 5 2 3 3" xfId="4109" xr:uid="{56B6DC1A-7BEF-4389-A559-EBD0D2492AC7}"/>
    <cellStyle name="20% - Accent4 5 2 3_Jurisdictional Study" xfId="8795" xr:uid="{949E6140-7F9B-4F9F-8AD2-F64D3206945E}"/>
    <cellStyle name="20% - Accent4 5 2 4" xfId="4110" xr:uid="{B680AA92-17CB-41A6-92B0-EC9554DE6E80}"/>
    <cellStyle name="20% - Accent4 5 2 4 2" xfId="4111" xr:uid="{202BDF3E-3566-4F2E-B4EF-7621C696F747}"/>
    <cellStyle name="20% - Accent4 5 2 4_Jurisdictional Study" xfId="8797" xr:uid="{6C25FB61-14EB-43FF-BF71-B55D23918715}"/>
    <cellStyle name="20% - Accent4 5 2 5" xfId="4112" xr:uid="{66A3D5C8-C461-4D5B-98FB-58C8F51314B4}"/>
    <cellStyle name="20% - Accent4 5 2_Jurisdictional Study" xfId="8790" xr:uid="{46D12BD5-568A-45DE-9D58-C1983C77688C}"/>
    <cellStyle name="20% - Accent4 5 3" xfId="4113" xr:uid="{399E5E19-B914-4EDA-9AEF-B6DCCE89F9E5}"/>
    <cellStyle name="20% - Accent4 5 3 2" xfId="4114" xr:uid="{28978B39-CC8F-4058-9021-F3EC952EF9E0}"/>
    <cellStyle name="20% - Accent4 5 3 2 2" xfId="4115" xr:uid="{9C73643D-75EC-4869-BBED-1BC9A9AE8FEB}"/>
    <cellStyle name="20% - Accent4 5 3 2 2 2" xfId="4116" xr:uid="{3AD00901-1F88-4128-BB46-1FC79115B1B2}"/>
    <cellStyle name="20% - Accent4 5 3 2 2_Jurisdictional Study" xfId="8800" xr:uid="{5FD24BEC-B537-4DC5-9A49-AC66A73B9E1E}"/>
    <cellStyle name="20% - Accent4 5 3 2 3" xfId="4117" xr:uid="{75E42F19-95D0-43EF-A3D3-11690436F7F4}"/>
    <cellStyle name="20% - Accent4 5 3 2_Jurisdictional Study" xfId="8799" xr:uid="{752A3725-C0FD-4C4D-8CD4-9F1FEFD4C78C}"/>
    <cellStyle name="20% - Accent4 5 3 3" xfId="4118" xr:uid="{618145A4-6030-4EF8-884C-75277BC786F3}"/>
    <cellStyle name="20% - Accent4 5 3 3 2" xfId="4119" xr:uid="{3FDB75AD-6E5B-4F96-9B9F-B69C6539232C}"/>
    <cellStyle name="20% - Accent4 5 3 3_Jurisdictional Study" xfId="8801" xr:uid="{8A910D53-2BD7-414F-B328-637DF1B4BB0A}"/>
    <cellStyle name="20% - Accent4 5 3 4" xfId="4120" xr:uid="{22B8392A-1F25-4BAD-BFF3-BEE74F132E79}"/>
    <cellStyle name="20% - Accent4 5 3_Jurisdictional Study" xfId="8798" xr:uid="{2399BCAE-8C80-42A9-93CB-2F3343143015}"/>
    <cellStyle name="20% - Accent4 5 4" xfId="4121" xr:uid="{3CAD2967-ADD5-446F-A312-34F938CCA405}"/>
    <cellStyle name="20% - Accent4 5 4 2" xfId="4122" xr:uid="{8DAC97A2-CD40-4ADF-A565-37BE121DCFF6}"/>
    <cellStyle name="20% - Accent4 5 4 2 2" xfId="4123" xr:uid="{0C3D5E0C-4D5D-4644-BF24-3FA6BCB026D3}"/>
    <cellStyle name="20% - Accent4 5 4 2_Jurisdictional Study" xfId="8803" xr:uid="{FAB5FCFC-1374-4E3D-BA8B-5653FE237F59}"/>
    <cellStyle name="20% - Accent4 5 4 3" xfId="4124" xr:uid="{A077607F-23A7-4917-8638-61227BCC8F22}"/>
    <cellStyle name="20% - Accent4 5 4_Jurisdictional Study" xfId="8802" xr:uid="{CD528072-2353-4EBA-B312-3F7BB11EE2A1}"/>
    <cellStyle name="20% - Accent4 5 5" xfId="4125" xr:uid="{C69CEEB9-6F05-43D1-B6B2-4AF485BE24E8}"/>
    <cellStyle name="20% - Accent4 5 5 2" xfId="4126" xr:uid="{4F499C37-D496-451B-87AD-147F2584BA2F}"/>
    <cellStyle name="20% - Accent4 5 5_Jurisdictional Study" xfId="8804" xr:uid="{5DCE57E4-672A-4419-894B-DBB382F4474F}"/>
    <cellStyle name="20% - Accent4 5 6" xfId="4127" xr:uid="{672B955B-29F1-42DA-8F80-8DE7EE94AFC8}"/>
    <cellStyle name="20% - Accent4 5 7" xfId="4096" xr:uid="{FE83B109-3B99-4314-8DF4-1766FEB0D2A1}"/>
    <cellStyle name="20% - Accent4 6" xfId="4128" xr:uid="{D897B6E1-17CB-4EA2-B4CC-E0EEA0FEE6B7}"/>
    <cellStyle name="20% - Accent4 6 2" xfId="4129" xr:uid="{98DD26C9-F509-44CA-B9D6-48C12B9B9A3C}"/>
    <cellStyle name="20% - Accent4 6 2 2" xfId="4130" xr:uid="{C9DAC7B2-EDC8-48F2-9941-CFA1DDC02BDE}"/>
    <cellStyle name="20% - Accent4 6 2 2 2" xfId="4131" xr:uid="{21A8930D-7661-4F9C-9FC6-8ED8D9E26858}"/>
    <cellStyle name="20% - Accent4 6 2 2 2 2" xfId="4132" xr:uid="{62DEAB1E-D750-4A5E-A12A-F3DAD8311C79}"/>
    <cellStyle name="20% - Accent4 6 2 2 2_Jurisdictional Study" xfId="8808" xr:uid="{46486B5A-0BFA-4B52-A922-A2CA4FB48DF7}"/>
    <cellStyle name="20% - Accent4 6 2 2 3" xfId="4133" xr:uid="{E579CDC3-67F5-4442-8995-1A54CCFDDBEA}"/>
    <cellStyle name="20% - Accent4 6 2 2_Jurisdictional Study" xfId="8807" xr:uid="{1592761E-3950-4B0D-98C6-7ADFCCC5220B}"/>
    <cellStyle name="20% - Accent4 6 2 3" xfId="4134" xr:uid="{477C4338-0E9E-4824-9D1C-A9D4EF1510D3}"/>
    <cellStyle name="20% - Accent4 6 2 3 2" xfId="4135" xr:uid="{CD06F0F0-94EF-45F8-A18F-D1986513911B}"/>
    <cellStyle name="20% - Accent4 6 2 3_Jurisdictional Study" xfId="8809" xr:uid="{D3C02934-199F-4054-A104-9FFF5C768392}"/>
    <cellStyle name="20% - Accent4 6 2 4" xfId="4136" xr:uid="{D0649BB6-C789-4CE3-98ED-B1932C51CF46}"/>
    <cellStyle name="20% - Accent4 6 2_Jurisdictional Study" xfId="8806" xr:uid="{78EA3F94-8F81-4FB7-98E7-58E2EB0CD15F}"/>
    <cellStyle name="20% - Accent4 6 3" xfId="4137" xr:uid="{E6FD2F0B-BE1B-4853-8002-9A21EB2610C1}"/>
    <cellStyle name="20% - Accent4 6 3 2" xfId="4138" xr:uid="{CB8A8C38-F68E-4EBC-A148-F745B2D04AE5}"/>
    <cellStyle name="20% - Accent4 6 3 2 2" xfId="4139" xr:uid="{32F25E05-81F8-4583-B9FC-FDC48F925552}"/>
    <cellStyle name="20% - Accent4 6 3 2_Jurisdictional Study" xfId="8811" xr:uid="{D18687ED-CE35-4E38-B92E-93B676212F64}"/>
    <cellStyle name="20% - Accent4 6 3 3" xfId="4140" xr:uid="{F18C6A69-CF19-4493-BC68-C9EAE75B2160}"/>
    <cellStyle name="20% - Accent4 6 3_Jurisdictional Study" xfId="8810" xr:uid="{D685553E-37F0-45E6-863C-D603F11FBEB8}"/>
    <cellStyle name="20% - Accent4 6 4" xfId="4141" xr:uid="{82E35A6E-2D7B-4E98-BE38-420FC58D4EBD}"/>
    <cellStyle name="20% - Accent4 6 4 2" xfId="4142" xr:uid="{F537191B-3190-4139-94B5-4E2F26E0842C}"/>
    <cellStyle name="20% - Accent4 6 4_Jurisdictional Study" xfId="8812" xr:uid="{5254F641-041F-4109-8490-EE27F01E7DC5}"/>
    <cellStyle name="20% - Accent4 6 5" xfId="4143" xr:uid="{76FA1547-4558-4791-804C-102FED054E6A}"/>
    <cellStyle name="20% - Accent4 6_Jurisdictional Study" xfId="8805" xr:uid="{054A6AD1-7602-4540-8F30-C5F7E03D5D22}"/>
    <cellStyle name="20% - Accent4 7" xfId="4144" xr:uid="{4E1DC3AD-E253-4EA3-AF9B-E53A092D783B}"/>
    <cellStyle name="20% - Accent4 7 2" xfId="4145" xr:uid="{39B1C9C8-590F-4E0F-8209-A70B66726E95}"/>
    <cellStyle name="20% - Accent4 7 2 2" xfId="4146" xr:uid="{2F16FDBF-E64D-49BF-9F5B-CF65FA12C899}"/>
    <cellStyle name="20% - Accent4 7 2 2 2" xfId="4147" xr:uid="{1F692FEC-03FC-4F47-9A88-FAA28DE013A6}"/>
    <cellStyle name="20% - Accent4 7 2 2_Jurisdictional Study" xfId="8815" xr:uid="{AF5E6168-B686-4656-8D52-9F048582B983}"/>
    <cellStyle name="20% - Accent4 7 2 3" xfId="4148" xr:uid="{10DD2633-570C-4594-9C60-341DBC94C9B8}"/>
    <cellStyle name="20% - Accent4 7 2_Jurisdictional Study" xfId="8814" xr:uid="{40B5B19B-54D1-43D5-BB80-1B7D3D2324B1}"/>
    <cellStyle name="20% - Accent4 7 3" xfId="4149" xr:uid="{50A14280-2D79-48DE-B2F7-6280EC0520DE}"/>
    <cellStyle name="20% - Accent4 7 3 2" xfId="4150" xr:uid="{826255D5-5BDA-4AEF-B687-6E3DECFEAE61}"/>
    <cellStyle name="20% - Accent4 7 3_Jurisdictional Study" xfId="8816" xr:uid="{D067C963-EEBB-4FA9-9E68-88B91FE5E2A1}"/>
    <cellStyle name="20% - Accent4 7 4" xfId="4151" xr:uid="{D8E13905-74C1-4F0E-AC8B-F373A5317582}"/>
    <cellStyle name="20% - Accent4 7_Jurisdictional Study" xfId="8813" xr:uid="{2D8C9A88-9846-47B7-AFD7-A650B572D786}"/>
    <cellStyle name="20% - Accent4 8" xfId="4152" xr:uid="{72502580-7CEE-45D2-A6D8-55952922611D}"/>
    <cellStyle name="20% - Accent4 8 2" xfId="4153" xr:uid="{C20941D6-9D24-440A-B8C2-EA1E8D55C898}"/>
    <cellStyle name="20% - Accent4 8 2 2" xfId="4154" xr:uid="{0092AF04-8AB6-444F-BCA1-85B85CD1ED3E}"/>
    <cellStyle name="20% - Accent4 8 2 2 2" xfId="4155" xr:uid="{72A574DE-457E-429B-9EAE-29E54091EF59}"/>
    <cellStyle name="20% - Accent4 8 2 2_Jurisdictional Study" xfId="8819" xr:uid="{F1A441E3-4FD1-475F-9D5F-1AF0FCB2EA18}"/>
    <cellStyle name="20% - Accent4 8 2 3" xfId="4156" xr:uid="{F8BCA14C-628D-4267-86DC-FC88D9CA66A6}"/>
    <cellStyle name="20% - Accent4 8 2_Jurisdictional Study" xfId="8818" xr:uid="{7481EEDD-1D0F-4487-B414-607CE0EED1C6}"/>
    <cellStyle name="20% - Accent4 8 3" xfId="4157" xr:uid="{D8B0085D-E2FC-4ACF-BBC1-D19D76F4D3D1}"/>
    <cellStyle name="20% - Accent4 8 3 2" xfId="4158" xr:uid="{16610F99-5553-4752-9AC7-F860621D5746}"/>
    <cellStyle name="20% - Accent4 8 3_Jurisdictional Study" xfId="8820" xr:uid="{863FD65C-438C-4DAA-A0CC-A39E6C55645B}"/>
    <cellStyle name="20% - Accent4 8 4" xfId="4159" xr:uid="{38E879CC-BEE8-4DA4-B469-20232695E0EB}"/>
    <cellStyle name="20% - Accent4 8_Jurisdictional Study" xfId="8817" xr:uid="{06B1654D-8E48-4CE6-8925-7323B1248D79}"/>
    <cellStyle name="20% - Accent4 9" xfId="4160" xr:uid="{6B27B295-1E1B-4841-81C9-8B5C9FBE23A5}"/>
    <cellStyle name="20% - Accent4 9 2" xfId="4161" xr:uid="{2BC158AD-383D-45FB-96A7-9F6129966523}"/>
    <cellStyle name="20% - Accent4 9 2 2" xfId="4162" xr:uid="{B18040D7-DA70-4D1E-A34B-B9CE68E6132A}"/>
    <cellStyle name="20% - Accent4 9 2 2 2" xfId="4163" xr:uid="{DC4CF4A1-13CF-49EC-957C-F9EA08389200}"/>
    <cellStyle name="20% - Accent4 9 2 2_Jurisdictional Study" xfId="8823" xr:uid="{A8986106-291B-44A9-8215-C3B32DD9882B}"/>
    <cellStyle name="20% - Accent4 9 2 3" xfId="4164" xr:uid="{6CFF826E-EAC4-412D-BAAD-FD90A9C49576}"/>
    <cellStyle name="20% - Accent4 9 2_Jurisdictional Study" xfId="8822" xr:uid="{D31E4EBA-3A5F-4CDA-8CB7-5A020D523874}"/>
    <cellStyle name="20% - Accent4 9 3" xfId="4165" xr:uid="{86E11252-14C3-4D38-8771-9C4B285F969B}"/>
    <cellStyle name="20% - Accent4 9 3 2" xfId="4166" xr:uid="{2155B607-3AC2-46B5-B177-F88B64E1DF55}"/>
    <cellStyle name="20% - Accent4 9 3_Jurisdictional Study" xfId="8824" xr:uid="{47DE8546-A21E-4897-B9A4-E854F5D91A93}"/>
    <cellStyle name="20% - Accent4 9 4" xfId="4167" xr:uid="{C6656831-B418-4EC5-B4BA-3F6BE0CF85BE}"/>
    <cellStyle name="20% - Accent4 9_Jurisdictional Study" xfId="8821" xr:uid="{49BD1B90-3D35-4314-8298-4745C7F5815B}"/>
    <cellStyle name="20% - Accent5" xfId="5" builtinId="46" customBuiltin="1"/>
    <cellStyle name="20% - Accent5 10" xfId="4168" xr:uid="{3B221EDE-CCF4-48E9-86BD-69CAC038BA78}"/>
    <cellStyle name="20% - Accent5 10 2" xfId="4169" xr:uid="{2A9CAFAC-6F51-4D9B-87C6-35BEDEE321F9}"/>
    <cellStyle name="20% - Accent5 10 2 2" xfId="4170" xr:uid="{7364E204-C77E-4301-BD8D-FFD6EAE74961}"/>
    <cellStyle name="20% - Accent5 10 2_Jurisdictional Study" xfId="8826" xr:uid="{4C7B1CF2-3241-4E29-8B3B-6FF4E49F242B}"/>
    <cellStyle name="20% - Accent5 10 3" xfId="4171" xr:uid="{C13748BF-267B-49AA-ADAC-D4B1FAC887B0}"/>
    <cellStyle name="20% - Accent5 10_Jurisdictional Study" xfId="8825" xr:uid="{6A9039FE-8AA3-4003-A2D6-28512AC8F504}"/>
    <cellStyle name="20% - Accent5 11" xfId="4172" xr:uid="{802A8B38-CA76-4F48-99C5-B3220F26DD27}"/>
    <cellStyle name="20% - Accent5 11 2" xfId="4173" xr:uid="{20D12E9C-4B4B-476E-A0FE-34E1283E60BF}"/>
    <cellStyle name="20% - Accent5 11 2 2" xfId="4174" xr:uid="{C4143E79-AFAE-4743-A5F9-8829BAFCF39B}"/>
    <cellStyle name="20% - Accent5 11 2_Jurisdictional Study" xfId="8828" xr:uid="{39144307-C19E-4D08-921A-892534991AA1}"/>
    <cellStyle name="20% - Accent5 11 3" xfId="4175" xr:uid="{1026BF3E-EFBB-4A72-8D8A-2C82EB8A815F}"/>
    <cellStyle name="20% - Accent5 11_Jurisdictional Study" xfId="8827" xr:uid="{C08A3B91-8164-4DFF-975B-408549A917A7}"/>
    <cellStyle name="20% - Accent5 12" xfId="4176" xr:uid="{68346D04-27A5-47A9-9CB9-26B377D447D4}"/>
    <cellStyle name="20% - Accent5 12 2" xfId="4177" xr:uid="{5B3084D6-C295-4C02-9A8F-3B30E4F6E601}"/>
    <cellStyle name="20% - Accent5 12_Jurisdictional Study" xfId="8829" xr:uid="{20E12CDB-D405-4F89-874A-661FC4CD5057}"/>
    <cellStyle name="20% - Accent5 13" xfId="4178" xr:uid="{846C7DF4-238F-4933-AC82-7FA444356449}"/>
    <cellStyle name="20% - Accent5 14" xfId="3186" xr:uid="{652651D2-CEE8-4FB7-9F2A-7F615F648F84}"/>
    <cellStyle name="20% - Accent5 2" xfId="251" xr:uid="{350E6153-9262-4F57-918F-C57AEAD7F3E8}"/>
    <cellStyle name="20% - Accent5 2 2" xfId="4180" xr:uid="{6CA6B68D-B6C8-4CF5-8CCC-BE682ABEE650}"/>
    <cellStyle name="20% - Accent5 2 2 2" xfId="4181" xr:uid="{634F68BA-CECB-4DEA-BE04-1AAB786D8E9D}"/>
    <cellStyle name="20% - Accent5 2 2 2 2" xfId="4182" xr:uid="{13582AE9-5693-44A9-A521-82ED4113C071}"/>
    <cellStyle name="20% - Accent5 2 2 2 2 2" xfId="4183" xr:uid="{61D77730-4BD4-4D9F-87BF-78F3774498F4}"/>
    <cellStyle name="20% - Accent5 2 2 2 2 2 2" xfId="4184" xr:uid="{4C24E930-462D-4871-83F2-2997C264FDCF}"/>
    <cellStyle name="20% - Accent5 2 2 2 2 2 2 2" xfId="4185" xr:uid="{F8B2ADDA-26F3-4F89-A716-831855EF685A}"/>
    <cellStyle name="20% - Accent5 2 2 2 2 2 2_Jurisdictional Study" xfId="8834" xr:uid="{1B7D094C-6B3E-479D-8512-ED29D8C9CCD3}"/>
    <cellStyle name="20% - Accent5 2 2 2 2 2 3" xfId="4186" xr:uid="{CD23AE04-BF47-4386-ADE4-F23111905156}"/>
    <cellStyle name="20% - Accent5 2 2 2 2 2_Jurisdictional Study" xfId="8833" xr:uid="{8355474D-700D-4FFD-9FDC-B5E5671ADF59}"/>
    <cellStyle name="20% - Accent5 2 2 2 2 3" xfId="4187" xr:uid="{958301B1-483C-4D90-8A8C-F8E690CC5A0D}"/>
    <cellStyle name="20% - Accent5 2 2 2 2 3 2" xfId="4188" xr:uid="{F938FE6E-5735-438E-B97E-6D2D45527822}"/>
    <cellStyle name="20% - Accent5 2 2 2 2 3_Jurisdictional Study" xfId="8835" xr:uid="{AB1DDB92-4B5D-4138-9092-CDACC15853BD}"/>
    <cellStyle name="20% - Accent5 2 2 2 2 4" xfId="4189" xr:uid="{552E2A88-5461-40B6-8EBA-3F9E391E28E6}"/>
    <cellStyle name="20% - Accent5 2 2 2 2_Jurisdictional Study" xfId="8832" xr:uid="{CC7D86F6-1A0F-4DA4-B9F8-A3B10AFFFD66}"/>
    <cellStyle name="20% - Accent5 2 2 2 3" xfId="4190" xr:uid="{4223F759-98C8-4D57-98C4-E77D5F575B22}"/>
    <cellStyle name="20% - Accent5 2 2 2 3 2" xfId="4191" xr:uid="{778FC1AC-B023-4C4A-9538-6EE13650E56E}"/>
    <cellStyle name="20% - Accent5 2 2 2 3 2 2" xfId="4192" xr:uid="{0C074046-F576-40F6-9301-A5DCE86706CF}"/>
    <cellStyle name="20% - Accent5 2 2 2 3 2_Jurisdictional Study" xfId="8837" xr:uid="{6B639198-63DC-4EB1-83AD-1325E44D4D89}"/>
    <cellStyle name="20% - Accent5 2 2 2 3 3" xfId="4193" xr:uid="{3737D44F-2327-4D2A-83C6-73E5959B69FF}"/>
    <cellStyle name="20% - Accent5 2 2 2 3_Jurisdictional Study" xfId="8836" xr:uid="{049C33E9-9405-4EEB-90EF-9544E69A5B0D}"/>
    <cellStyle name="20% - Accent5 2 2 2 4" xfId="4194" xr:uid="{AC2AA89E-12E2-4140-AE0A-6073F8AA83DF}"/>
    <cellStyle name="20% - Accent5 2 2 2 4 2" xfId="4195" xr:uid="{0A1D5BF1-5273-498C-BC5D-141EF5139137}"/>
    <cellStyle name="20% - Accent5 2 2 2 4_Jurisdictional Study" xfId="8838" xr:uid="{1E2E8511-BAED-4334-90D1-21C614C5231E}"/>
    <cellStyle name="20% - Accent5 2 2 2 5" xfId="4196" xr:uid="{DD6D369F-85F7-436F-A844-4A4D8141E1AA}"/>
    <cellStyle name="20% - Accent5 2 2 2_Jurisdictional Study" xfId="8831" xr:uid="{E80A9E43-AD71-4539-96C1-CA2579FDD972}"/>
    <cellStyle name="20% - Accent5 2 2 3" xfId="4197" xr:uid="{4838AF85-FD8A-4C4B-92C6-E40BDFD2F9A8}"/>
    <cellStyle name="20% - Accent5 2 2 3 2" xfId="4198" xr:uid="{FFB8088D-D907-4D09-8005-0FADF1DD610A}"/>
    <cellStyle name="20% - Accent5 2 2 3 2 2" xfId="4199" xr:uid="{48C757DE-FB87-4F4B-AB8A-69A78BE0DBAF}"/>
    <cellStyle name="20% - Accent5 2 2 3 2 2 2" xfId="4200" xr:uid="{46021231-E850-4903-A944-3909C4806BE7}"/>
    <cellStyle name="20% - Accent5 2 2 3 2 2_Jurisdictional Study" xfId="8841" xr:uid="{EA59E356-60A6-4FEE-9C60-98427BB3014D}"/>
    <cellStyle name="20% - Accent5 2 2 3 2 3" xfId="4201" xr:uid="{A26D231E-7CC1-46F8-9E17-2E50FB759B45}"/>
    <cellStyle name="20% - Accent5 2 2 3 2_Jurisdictional Study" xfId="8840" xr:uid="{F73BB41E-3B37-4AAB-8317-D79093A5D0CB}"/>
    <cellStyle name="20% - Accent5 2 2 3 3" xfId="4202" xr:uid="{AD8EB8AB-91F6-4F19-9024-1EF013AE8A0C}"/>
    <cellStyle name="20% - Accent5 2 2 3 3 2" xfId="4203" xr:uid="{1E8F0067-8612-4F57-9D10-513E2FE95B68}"/>
    <cellStyle name="20% - Accent5 2 2 3 3_Jurisdictional Study" xfId="8842" xr:uid="{49022275-987B-46B7-9ACA-CE50BAFEAB2F}"/>
    <cellStyle name="20% - Accent5 2 2 3 4" xfId="4204" xr:uid="{64E8E119-1B0D-4E71-8158-0C1F06C9600D}"/>
    <cellStyle name="20% - Accent5 2 2 3_Jurisdictional Study" xfId="8839" xr:uid="{FD380AB3-51F9-4137-8B15-8D5D05AC4139}"/>
    <cellStyle name="20% - Accent5 2 2 4" xfId="4205" xr:uid="{DB1CE4DC-408C-4FF8-9837-74AC8E15EA89}"/>
    <cellStyle name="20% - Accent5 2 2 4 2" xfId="4206" xr:uid="{88E81674-79F6-4585-84E5-6ECF7F7706B2}"/>
    <cellStyle name="20% - Accent5 2 2 4 2 2" xfId="4207" xr:uid="{3E506EFE-8DBF-4FE3-A83F-9E3079E53EE9}"/>
    <cellStyle name="20% - Accent5 2 2 4 2_Jurisdictional Study" xfId="8844" xr:uid="{D5020ECD-B1EE-4032-8FBE-0E1B99324703}"/>
    <cellStyle name="20% - Accent5 2 2 4 3" xfId="4208" xr:uid="{37C7638C-1BDC-4CB4-B969-5C692AA378BA}"/>
    <cellStyle name="20% - Accent5 2 2 4_Jurisdictional Study" xfId="8843" xr:uid="{C833995A-C8B0-4553-8F34-420D981EF3FA}"/>
    <cellStyle name="20% - Accent5 2 2 5" xfId="4209" xr:uid="{C9D98014-788F-4253-8A75-C38C4F3B1A41}"/>
    <cellStyle name="20% - Accent5 2 2 5 2" xfId="4210" xr:uid="{A2187B80-A4E3-4876-BE2F-DBBE261AF7BD}"/>
    <cellStyle name="20% - Accent5 2 2 5_Jurisdictional Study" xfId="8845" xr:uid="{76AB0C7D-7770-49A5-AE51-E037E3F1C342}"/>
    <cellStyle name="20% - Accent5 2 2 6" xfId="4211" xr:uid="{78E1C6F9-A05E-46F6-BCEC-E73786B6FF7E}"/>
    <cellStyle name="20% - Accent5 2 2_Jurisdictional Study" xfId="8830" xr:uid="{6CDC1533-AFEE-4332-B799-997938561E69}"/>
    <cellStyle name="20% - Accent5 2 3" xfId="4212" xr:uid="{B93BBDDC-7540-49C9-943E-A36B5EBA46A9}"/>
    <cellStyle name="20% - Accent5 2 3 2" xfId="4213" xr:uid="{8B15B9F3-57E2-4002-8EB9-715B1F5898EC}"/>
    <cellStyle name="20% - Accent5 2 3 2 2" xfId="4214" xr:uid="{017D0450-9665-4C08-B7A6-9B2CB99EE3D1}"/>
    <cellStyle name="20% - Accent5 2 3 2 2 2" xfId="4215" xr:uid="{B9C20B79-DFF2-4C8B-BB32-C9B09687E0B6}"/>
    <cellStyle name="20% - Accent5 2 3 2 2 2 2" xfId="4216" xr:uid="{43E0AD2E-9F7B-40B6-9F3B-55ADD7A996FA}"/>
    <cellStyle name="20% - Accent5 2 3 2 2 2_Jurisdictional Study" xfId="8849" xr:uid="{F35DB78E-FD91-4514-9173-75051378C50B}"/>
    <cellStyle name="20% - Accent5 2 3 2 2 3" xfId="4217" xr:uid="{2E7865F2-577A-48AD-933E-8F340E4C1953}"/>
    <cellStyle name="20% - Accent5 2 3 2 2_Jurisdictional Study" xfId="8848" xr:uid="{075F40B0-5D10-4D43-A302-C9B6FAD03A11}"/>
    <cellStyle name="20% - Accent5 2 3 2 3" xfId="4218" xr:uid="{BF7E2A3C-0087-4F6F-80CC-F4BBB8E73971}"/>
    <cellStyle name="20% - Accent5 2 3 2 3 2" xfId="4219" xr:uid="{A856F4D2-E55B-46DC-A969-A78AE4E8715E}"/>
    <cellStyle name="20% - Accent5 2 3 2 3_Jurisdictional Study" xfId="8850" xr:uid="{10E222D3-4D92-4547-834A-0E6AFC653ED0}"/>
    <cellStyle name="20% - Accent5 2 3 2 4" xfId="4220" xr:uid="{BDAB5AAB-A4E6-44A7-8871-6DF52FD39F83}"/>
    <cellStyle name="20% - Accent5 2 3 2_Jurisdictional Study" xfId="8847" xr:uid="{D562815A-B11A-4FC2-8414-ECCE392D1FC8}"/>
    <cellStyle name="20% - Accent5 2 3 3" xfId="4221" xr:uid="{FB96A9A8-11A2-4277-AC6B-E626C003A7BF}"/>
    <cellStyle name="20% - Accent5 2 3 3 2" xfId="4222" xr:uid="{A6892BDC-8AEE-4848-A735-6B078D20E2FA}"/>
    <cellStyle name="20% - Accent5 2 3 3 2 2" xfId="4223" xr:uid="{1E3CD01A-1584-4B49-B0AD-B2290BF0ABCE}"/>
    <cellStyle name="20% - Accent5 2 3 3 2_Jurisdictional Study" xfId="8852" xr:uid="{2FA07984-43A5-45BB-9ED2-DC3FB2251171}"/>
    <cellStyle name="20% - Accent5 2 3 3 3" xfId="4224" xr:uid="{53BDC7C1-4505-4D22-A04D-F9F48D6FA52B}"/>
    <cellStyle name="20% - Accent5 2 3 3_Jurisdictional Study" xfId="8851" xr:uid="{8694D1D3-A494-4AA4-8221-475DD2585CD4}"/>
    <cellStyle name="20% - Accent5 2 3 4" xfId="4225" xr:uid="{20ABBD82-443B-4707-AE6B-A91AC6E91647}"/>
    <cellStyle name="20% - Accent5 2 3 4 2" xfId="4226" xr:uid="{5B40F421-759E-4E24-A117-AC4A73FB4883}"/>
    <cellStyle name="20% - Accent5 2 3 4_Jurisdictional Study" xfId="8853" xr:uid="{F06E8C24-3F4F-492A-A688-E9E818F16454}"/>
    <cellStyle name="20% - Accent5 2 3 5" xfId="4227" xr:uid="{F66B0528-F47C-44E4-8BD5-6AB560641899}"/>
    <cellStyle name="20% - Accent5 2 3_Jurisdictional Study" xfId="8846" xr:uid="{1EBEA847-431F-4B24-802F-B6FED36851FB}"/>
    <cellStyle name="20% - Accent5 2 4" xfId="4228" xr:uid="{EBD0F2B1-B253-463E-9059-6E78B60F46DE}"/>
    <cellStyle name="20% - Accent5 2 4 2" xfId="4229" xr:uid="{1720BFC6-5372-436F-ADB3-A1761A97DD8B}"/>
    <cellStyle name="20% - Accent5 2 4 2 2" xfId="4230" xr:uid="{DCEBDA0D-1CE9-4C71-B201-A3F6A7EE9C28}"/>
    <cellStyle name="20% - Accent5 2 4 2 2 2" xfId="4231" xr:uid="{F5D90872-91C0-451A-B1AD-F1F0E687B996}"/>
    <cellStyle name="20% - Accent5 2 4 2 2_Jurisdictional Study" xfId="8856" xr:uid="{FBABEEEB-9271-40F2-BAF8-4E652B076E93}"/>
    <cellStyle name="20% - Accent5 2 4 2 3" xfId="4232" xr:uid="{0312203D-7477-4AD2-A072-5CB66B53C8CE}"/>
    <cellStyle name="20% - Accent5 2 4 2_Jurisdictional Study" xfId="8855" xr:uid="{35C262DB-9C69-4E24-A3D9-D14CFBAB0CAB}"/>
    <cellStyle name="20% - Accent5 2 4 3" xfId="4233" xr:uid="{D10D9A05-6D44-4355-8739-1CE6F25E0A29}"/>
    <cellStyle name="20% - Accent5 2 4 3 2" xfId="4234" xr:uid="{299B56BE-0C8F-445F-B7A1-2CE9D65E2A06}"/>
    <cellStyle name="20% - Accent5 2 4 3_Jurisdictional Study" xfId="8857" xr:uid="{A34F06A2-EAE8-42BE-B853-6F30465BBAA0}"/>
    <cellStyle name="20% - Accent5 2 4 4" xfId="4235" xr:uid="{F5502E71-1D5B-48D8-BE68-986274DC98F4}"/>
    <cellStyle name="20% - Accent5 2 4_Jurisdictional Study" xfId="8854" xr:uid="{D9674349-DFD1-4F00-937C-99D564B58847}"/>
    <cellStyle name="20% - Accent5 2 5" xfId="4236" xr:uid="{DD41170A-E2E6-473D-914C-931539949144}"/>
    <cellStyle name="20% - Accent5 2 5 2" xfId="4237" xr:uid="{50466D35-CAE7-40B1-86C0-0BDB3A43F0E2}"/>
    <cellStyle name="20% - Accent5 2 5 2 2" xfId="4238" xr:uid="{281BEBDC-B72F-40B2-8236-ED467CD38C01}"/>
    <cellStyle name="20% - Accent5 2 5 2_Jurisdictional Study" xfId="8859" xr:uid="{4A000773-DCE3-423A-ABDF-8A2375C8ABE9}"/>
    <cellStyle name="20% - Accent5 2 5 3" xfId="4239" xr:uid="{2E3A3404-D5CD-4300-99FC-B77567D84914}"/>
    <cellStyle name="20% - Accent5 2 5_Jurisdictional Study" xfId="8858" xr:uid="{9A9DD388-4402-42C7-88B4-72C62BDE41A0}"/>
    <cellStyle name="20% - Accent5 2 6" xfId="4240" xr:uid="{572BBB5B-C74E-414B-825C-74211D399CC0}"/>
    <cellStyle name="20% - Accent5 2 6 2" xfId="4241" xr:uid="{2C4E629B-2568-493B-BDDE-A83719168159}"/>
    <cellStyle name="20% - Accent5 2 6_Jurisdictional Study" xfId="8860" xr:uid="{27B9BC30-B5BD-4623-A6B0-9C564B10E240}"/>
    <cellStyle name="20% - Accent5 2 7" xfId="4242" xr:uid="{3098FC83-4E56-4DE5-82C8-E2DB75CC9E6C}"/>
    <cellStyle name="20% - Accent5 2 8" xfId="4179" xr:uid="{AF9BBD4E-38AF-4408-9D78-E94ED6963B00}"/>
    <cellStyle name="20% - Accent5 3" xfId="3208" xr:uid="{A8DAACB2-D4AB-487A-8842-73DC16976B5C}"/>
    <cellStyle name="20% - Accent5 3 2" xfId="4244" xr:uid="{DFC1B8A2-351D-4C08-B7D3-EBBF284C3DD8}"/>
    <cellStyle name="20% - Accent5 3 2 2" xfId="4245" xr:uid="{F053E2CB-B0E2-4338-964D-8E622FE54BF3}"/>
    <cellStyle name="20% - Accent5 3 2 2 2" xfId="4246" xr:uid="{D2CCAB30-4CE1-4347-9C92-CDEE8D51FA66}"/>
    <cellStyle name="20% - Accent5 3 2 2 2 2" xfId="4247" xr:uid="{FD6CBFA2-E453-461C-8241-639A0F846D86}"/>
    <cellStyle name="20% - Accent5 3 2 2 2 2 2" xfId="4248" xr:uid="{633129CF-3C50-4C5B-85FE-EBBD520AF654}"/>
    <cellStyle name="20% - Accent5 3 2 2 2 2 2 2" xfId="4249" xr:uid="{F0379CF7-2ED4-41FD-ABD9-B534CD1E24B6}"/>
    <cellStyle name="20% - Accent5 3 2 2 2 2 2_Jurisdictional Study" xfId="8866" xr:uid="{2DA45137-D06A-436F-8945-911218D80C3E}"/>
    <cellStyle name="20% - Accent5 3 2 2 2 2 3" xfId="4250" xr:uid="{136C58A8-C9C9-40FC-88C2-61ECE5DD62B8}"/>
    <cellStyle name="20% - Accent5 3 2 2 2 2_Jurisdictional Study" xfId="8865" xr:uid="{7886AD0D-428F-4637-8974-4318567710CD}"/>
    <cellStyle name="20% - Accent5 3 2 2 2 3" xfId="4251" xr:uid="{546B20FF-C8D8-4F71-B0DF-0F7E28509517}"/>
    <cellStyle name="20% - Accent5 3 2 2 2 3 2" xfId="4252" xr:uid="{7236BBB7-FE0B-4201-9558-37BEB4086C33}"/>
    <cellStyle name="20% - Accent5 3 2 2 2 3_Jurisdictional Study" xfId="8867" xr:uid="{0327B2BD-8B56-4971-8F88-07E0B1A704F0}"/>
    <cellStyle name="20% - Accent5 3 2 2 2 4" xfId="4253" xr:uid="{CB947CB1-F21C-4FBC-B406-6086F32ADE7C}"/>
    <cellStyle name="20% - Accent5 3 2 2 2_Jurisdictional Study" xfId="8864" xr:uid="{D2E7FA21-1595-4F72-9A66-E943E9818175}"/>
    <cellStyle name="20% - Accent5 3 2 2 3" xfId="4254" xr:uid="{EF30E7F9-93D7-4FB9-BA1D-408B3135EECD}"/>
    <cellStyle name="20% - Accent5 3 2 2 3 2" xfId="4255" xr:uid="{59C70830-F447-453A-AE03-87DBBC082057}"/>
    <cellStyle name="20% - Accent5 3 2 2 3 2 2" xfId="4256" xr:uid="{036CA828-E583-40A2-B3A3-A8B0647F9EF1}"/>
    <cellStyle name="20% - Accent5 3 2 2 3 2_Jurisdictional Study" xfId="8869" xr:uid="{0C67C089-0C50-49E5-96CE-7432ADD23962}"/>
    <cellStyle name="20% - Accent5 3 2 2 3 3" xfId="4257" xr:uid="{A872B8E8-438C-4683-BEF4-CA990756B858}"/>
    <cellStyle name="20% - Accent5 3 2 2 3_Jurisdictional Study" xfId="8868" xr:uid="{40BA257F-75DB-4591-AF47-84031F091310}"/>
    <cellStyle name="20% - Accent5 3 2 2 4" xfId="4258" xr:uid="{A580CFA9-CABD-4016-980A-EB49432BE0E9}"/>
    <cellStyle name="20% - Accent5 3 2 2 4 2" xfId="4259" xr:uid="{DEACB482-5341-4FA1-8AED-A60CCD6552E6}"/>
    <cellStyle name="20% - Accent5 3 2 2 4_Jurisdictional Study" xfId="8870" xr:uid="{B42A6F26-BF4E-4A79-8B46-F2EB6E914AF4}"/>
    <cellStyle name="20% - Accent5 3 2 2 5" xfId="4260" xr:uid="{D7B5639D-BC08-4DBE-BE1B-33CCD9F97397}"/>
    <cellStyle name="20% - Accent5 3 2 2_Jurisdictional Study" xfId="8863" xr:uid="{8F820420-C7CA-4B5B-8E83-3B416D170200}"/>
    <cellStyle name="20% - Accent5 3 2 3" xfId="4261" xr:uid="{E62BB789-3A87-4104-BC44-CB59D354E736}"/>
    <cellStyle name="20% - Accent5 3 2 3 2" xfId="4262" xr:uid="{0D309AA9-6A0E-495E-BF0E-0885E1241B5F}"/>
    <cellStyle name="20% - Accent5 3 2 3 2 2" xfId="4263" xr:uid="{33E63895-DF92-4A4A-8100-176D93CB0C3A}"/>
    <cellStyle name="20% - Accent5 3 2 3 2 2 2" xfId="4264" xr:uid="{8E301B8B-A726-4265-AD73-35C893ED5EB6}"/>
    <cellStyle name="20% - Accent5 3 2 3 2 2_Jurisdictional Study" xfId="8873" xr:uid="{FAE6D2F0-92E4-4C5D-AD45-1704935AF8FD}"/>
    <cellStyle name="20% - Accent5 3 2 3 2 3" xfId="4265" xr:uid="{07CF14D9-494E-472E-A2EF-584911D5791F}"/>
    <cellStyle name="20% - Accent5 3 2 3 2_Jurisdictional Study" xfId="8872" xr:uid="{D0F4E0E5-DBC0-4638-A0AE-672B685858A2}"/>
    <cellStyle name="20% - Accent5 3 2 3 3" xfId="4266" xr:uid="{1D830DD5-C2A1-47FD-B9AB-11C96C002876}"/>
    <cellStyle name="20% - Accent5 3 2 3 3 2" xfId="4267" xr:uid="{992C5592-6467-4575-879D-4A1517B258A7}"/>
    <cellStyle name="20% - Accent5 3 2 3 3_Jurisdictional Study" xfId="8874" xr:uid="{F763EE2B-B4BA-4323-A561-771BCF8D20A3}"/>
    <cellStyle name="20% - Accent5 3 2 3 4" xfId="4268" xr:uid="{E5D714DF-C391-46C7-8BBB-F6016CE9DA77}"/>
    <cellStyle name="20% - Accent5 3 2 3_Jurisdictional Study" xfId="8871" xr:uid="{7505EEE0-A30E-49C8-ACBC-EB110C6331E1}"/>
    <cellStyle name="20% - Accent5 3 2 4" xfId="4269" xr:uid="{1B4AE926-D720-4D3F-A0C4-17F064CFF22D}"/>
    <cellStyle name="20% - Accent5 3 2 4 2" xfId="4270" xr:uid="{800993D9-1271-4A27-865B-5FE0DB910531}"/>
    <cellStyle name="20% - Accent5 3 2 4 2 2" xfId="4271" xr:uid="{3D65130A-AA02-49CC-B163-BB72E9DFD7DA}"/>
    <cellStyle name="20% - Accent5 3 2 4 2_Jurisdictional Study" xfId="8876" xr:uid="{03FFD3E5-CE96-469B-8EDB-D4B02618ED6B}"/>
    <cellStyle name="20% - Accent5 3 2 4 3" xfId="4272" xr:uid="{0DE61238-D882-4E84-B4E0-01AD4164E180}"/>
    <cellStyle name="20% - Accent5 3 2 4_Jurisdictional Study" xfId="8875" xr:uid="{CB03841B-7102-4453-B9F4-B1047E135DFA}"/>
    <cellStyle name="20% - Accent5 3 2 5" xfId="4273" xr:uid="{51216277-502B-4276-9410-6627F294CDBD}"/>
    <cellStyle name="20% - Accent5 3 2 5 2" xfId="4274" xr:uid="{81FADBEC-4572-4654-8622-03C363535ACC}"/>
    <cellStyle name="20% - Accent5 3 2 5_Jurisdictional Study" xfId="8877" xr:uid="{ABA68BE3-B59F-4438-BF3E-648BADFD5C98}"/>
    <cellStyle name="20% - Accent5 3 2 6" xfId="4275" xr:uid="{21B49F20-F6A1-4124-8849-79A630EDB4AC}"/>
    <cellStyle name="20% - Accent5 3 2_Jurisdictional Study" xfId="8862" xr:uid="{6505A6B3-6278-4AFD-A551-1014D779CAC6}"/>
    <cellStyle name="20% - Accent5 3 3" xfId="4276" xr:uid="{8A956F66-F43C-431B-9239-E063191BEAA2}"/>
    <cellStyle name="20% - Accent5 3 3 2" xfId="4277" xr:uid="{AD14AF53-7A0E-4ED2-9175-E52084E5A2F1}"/>
    <cellStyle name="20% - Accent5 3 3 2 2" xfId="4278" xr:uid="{7A7D1BAF-AA6E-40D3-85CD-338CA3CF4964}"/>
    <cellStyle name="20% - Accent5 3 3 2 2 2" xfId="4279" xr:uid="{0246BF73-1D66-4A02-B4AE-8550D4F7478D}"/>
    <cellStyle name="20% - Accent5 3 3 2 2 2 2" xfId="4280" xr:uid="{099DBAD4-89C6-4D89-BB02-E3D9085ED13B}"/>
    <cellStyle name="20% - Accent5 3 3 2 2 2_Jurisdictional Study" xfId="8881" xr:uid="{D2D85D76-CEB2-40C2-B7D7-7186F081F451}"/>
    <cellStyle name="20% - Accent5 3 3 2 2 3" xfId="4281" xr:uid="{26B2D213-BEAE-4057-8351-287A53D77B5F}"/>
    <cellStyle name="20% - Accent5 3 3 2 2_Jurisdictional Study" xfId="8880" xr:uid="{BED29F9B-BBA1-4CEF-A056-4EC9FC259D9A}"/>
    <cellStyle name="20% - Accent5 3 3 2 3" xfId="4282" xr:uid="{6F62AD56-0602-4186-B033-8F9B877E7F32}"/>
    <cellStyle name="20% - Accent5 3 3 2 3 2" xfId="4283" xr:uid="{C717C87D-77EB-4E1D-879A-AF8F2B56C38D}"/>
    <cellStyle name="20% - Accent5 3 3 2 3_Jurisdictional Study" xfId="8882" xr:uid="{9DD89BB6-2ECF-4C26-9AC4-9AC1C0C82530}"/>
    <cellStyle name="20% - Accent5 3 3 2 4" xfId="4284" xr:uid="{C61418CC-EB5B-4E74-BF1B-12FB58121A39}"/>
    <cellStyle name="20% - Accent5 3 3 2_Jurisdictional Study" xfId="8879" xr:uid="{47AC5AE7-23E6-4CC8-A7E3-5446939D7C35}"/>
    <cellStyle name="20% - Accent5 3 3 3" xfId="4285" xr:uid="{E2E346EE-1AD0-48E3-BEAD-137302B59D66}"/>
    <cellStyle name="20% - Accent5 3 3 3 2" xfId="4286" xr:uid="{2E20349C-04E4-4269-9051-F5A29B2037E9}"/>
    <cellStyle name="20% - Accent5 3 3 3 2 2" xfId="4287" xr:uid="{DFB5E749-B0A4-4BEC-85CB-F87D45972DFB}"/>
    <cellStyle name="20% - Accent5 3 3 3 2_Jurisdictional Study" xfId="8884" xr:uid="{7CC2AC28-7D9B-4071-8AF7-3F58FFBCA9B0}"/>
    <cellStyle name="20% - Accent5 3 3 3 3" xfId="4288" xr:uid="{AC317DA2-E698-466F-8849-FF8DC5C83893}"/>
    <cellStyle name="20% - Accent5 3 3 3_Jurisdictional Study" xfId="8883" xr:uid="{7EE65A7F-FBB6-4006-B65C-EC5919DB425E}"/>
    <cellStyle name="20% - Accent5 3 3 4" xfId="4289" xr:uid="{2F805FD0-568A-4264-9E69-D00F21485590}"/>
    <cellStyle name="20% - Accent5 3 3 4 2" xfId="4290" xr:uid="{70CD43E8-6067-482A-8458-797385650B6F}"/>
    <cellStyle name="20% - Accent5 3 3 4_Jurisdictional Study" xfId="8885" xr:uid="{5F5C68A3-A6C9-4538-9FD1-267E58ED3C69}"/>
    <cellStyle name="20% - Accent5 3 3 5" xfId="4291" xr:uid="{7EDB042E-B37A-4B5E-BE7A-651FD85513C5}"/>
    <cellStyle name="20% - Accent5 3 3_Jurisdictional Study" xfId="8878" xr:uid="{DF048393-51F5-4BF7-91E3-C20FFA50AE82}"/>
    <cellStyle name="20% - Accent5 3 4" xfId="4292" xr:uid="{3571F213-33A9-4E4B-9EB7-AD7E6BBBB636}"/>
    <cellStyle name="20% - Accent5 3 4 2" xfId="4293" xr:uid="{85240BFC-F944-491D-8D21-BEF28E785873}"/>
    <cellStyle name="20% - Accent5 3 4 2 2" xfId="4294" xr:uid="{F8AB4AA3-488E-4C6F-B507-384881B94028}"/>
    <cellStyle name="20% - Accent5 3 4 2 2 2" xfId="4295" xr:uid="{2AA09BB2-18C1-41A3-9ACA-DB3343ABDF3D}"/>
    <cellStyle name="20% - Accent5 3 4 2 2_Jurisdictional Study" xfId="8888" xr:uid="{D314AB96-D63B-4DDE-9E19-64F50C0D57BE}"/>
    <cellStyle name="20% - Accent5 3 4 2 3" xfId="4296" xr:uid="{18BD2080-38BB-4D11-8824-0E7488D95DA1}"/>
    <cellStyle name="20% - Accent5 3 4 2_Jurisdictional Study" xfId="8887" xr:uid="{6A94E770-01B5-468F-A10C-63C464B00720}"/>
    <cellStyle name="20% - Accent5 3 4 3" xfId="4297" xr:uid="{BFF9323F-3B7C-4232-AAC2-D4C0E19FC0F8}"/>
    <cellStyle name="20% - Accent5 3 4 3 2" xfId="4298" xr:uid="{52070B65-50A1-44BF-9106-037D1AD92ADA}"/>
    <cellStyle name="20% - Accent5 3 4 3_Jurisdictional Study" xfId="8889" xr:uid="{AA65C32A-89B1-468E-9174-C8074554B9F0}"/>
    <cellStyle name="20% - Accent5 3 4 4" xfId="4299" xr:uid="{F4DDD385-BA70-4BD2-B0C6-C0A038ACEBF1}"/>
    <cellStyle name="20% - Accent5 3 4_Jurisdictional Study" xfId="8886" xr:uid="{DF229DF2-474F-4A81-9F5E-8603E9575293}"/>
    <cellStyle name="20% - Accent5 3 5" xfId="4300" xr:uid="{847B0DCC-8BA3-4076-BB52-6D1DF8D693C0}"/>
    <cellStyle name="20% - Accent5 3 5 2" xfId="4301" xr:uid="{90F0A54B-748D-497C-8682-E2B8B77CDC06}"/>
    <cellStyle name="20% - Accent5 3 5 2 2" xfId="4302" xr:uid="{5D170AFC-08E3-491A-9F56-98B4FF1EC423}"/>
    <cellStyle name="20% - Accent5 3 5 2_Jurisdictional Study" xfId="8891" xr:uid="{CCA02F81-75F4-406E-B3F5-B33B3ECDC2C9}"/>
    <cellStyle name="20% - Accent5 3 5 3" xfId="4303" xr:uid="{463CFCED-F759-453A-8333-5BC6D8966BC7}"/>
    <cellStyle name="20% - Accent5 3 5_Jurisdictional Study" xfId="8890" xr:uid="{8D3BECA3-494B-4CE7-9BDA-8BB1322106B2}"/>
    <cellStyle name="20% - Accent5 3 6" xfId="4304" xr:uid="{BF84B644-E003-417A-8757-5FC5902E8296}"/>
    <cellStyle name="20% - Accent5 3 6 2" xfId="4305" xr:uid="{19ADF104-66FF-4904-807A-9453932159EC}"/>
    <cellStyle name="20% - Accent5 3 6_Jurisdictional Study" xfId="8892" xr:uid="{E9462080-068B-4D21-BCC0-E3351DE32F82}"/>
    <cellStyle name="20% - Accent5 3 7" xfId="4306" xr:uid="{FE380469-DFD9-450E-9451-617C61C9F56D}"/>
    <cellStyle name="20% - Accent5 3 8" xfId="4243" xr:uid="{35BA63B7-D476-4C84-B717-7FD102A4EF15}"/>
    <cellStyle name="20% - Accent5 3_Jurisdictional Study" xfId="8861" xr:uid="{CEC35BBA-10E4-4A67-8ADE-E86C6A5588DE}"/>
    <cellStyle name="20% - Accent5 4" xfId="4307" xr:uid="{BA3CD3A4-4055-448B-ADEA-E2507A7DC91D}"/>
    <cellStyle name="20% - Accent5 4 2" xfId="4308" xr:uid="{12FFF92B-093B-46C1-B035-17F95CBDBC3F}"/>
    <cellStyle name="20% - Accent5 4 2 2" xfId="4309" xr:uid="{E8D0C1D1-7A34-44C3-8EF7-369D77C38D61}"/>
    <cellStyle name="20% - Accent5 4 2 2 2" xfId="4310" xr:uid="{4570C71A-42FD-464C-9E42-A3C3E0E7AD7A}"/>
    <cellStyle name="20% - Accent5 4 2 2 2 2" xfId="4311" xr:uid="{7788D656-1029-4269-B175-94633DDFC0D8}"/>
    <cellStyle name="20% - Accent5 4 2 2 2 2 2" xfId="4312" xr:uid="{E531B793-7534-41B1-B5F8-DDCA1FC87410}"/>
    <cellStyle name="20% - Accent5 4 2 2 2 2_Jurisdictional Study" xfId="8897" xr:uid="{63803A54-0DB4-40B1-AD1D-FE5046C36CC3}"/>
    <cellStyle name="20% - Accent5 4 2 2 2 3" xfId="4313" xr:uid="{6C3F466A-D943-4838-8518-DDD09339A7BF}"/>
    <cellStyle name="20% - Accent5 4 2 2 2_Jurisdictional Study" xfId="8896" xr:uid="{271FAA4B-8DD2-4EB5-BF17-D937501AEDC9}"/>
    <cellStyle name="20% - Accent5 4 2 2 3" xfId="4314" xr:uid="{2C3A9311-7462-4D4C-9BA6-9512D17A84A6}"/>
    <cellStyle name="20% - Accent5 4 2 2 3 2" xfId="4315" xr:uid="{B644A72D-7E95-43A2-938C-8E9A0EECF4D0}"/>
    <cellStyle name="20% - Accent5 4 2 2 3_Jurisdictional Study" xfId="8898" xr:uid="{D1EA0E09-73B3-42AE-8DC2-B005ED60AAD0}"/>
    <cellStyle name="20% - Accent5 4 2 2 4" xfId="4316" xr:uid="{ADF9F41D-6F1D-4DA4-BE94-36BF6AD6D598}"/>
    <cellStyle name="20% - Accent5 4 2 2_Jurisdictional Study" xfId="8895" xr:uid="{E3233D81-D218-47FF-AEE9-A0E5F2776411}"/>
    <cellStyle name="20% - Accent5 4 2 3" xfId="4317" xr:uid="{0DA9D407-5E3B-408A-AB4F-DB987004B44B}"/>
    <cellStyle name="20% - Accent5 4 2 3 2" xfId="4318" xr:uid="{9093E2B1-6C19-401C-919F-0ED526FD5D78}"/>
    <cellStyle name="20% - Accent5 4 2 3 2 2" xfId="4319" xr:uid="{A9FAD9C4-6C56-466C-A59C-96B15F3C6175}"/>
    <cellStyle name="20% - Accent5 4 2 3 2_Jurisdictional Study" xfId="8900" xr:uid="{C833BA21-D23F-4FB1-8270-A9CFD882D312}"/>
    <cellStyle name="20% - Accent5 4 2 3 3" xfId="4320" xr:uid="{38FF31C7-BD23-493B-A789-770D899599B1}"/>
    <cellStyle name="20% - Accent5 4 2 3_Jurisdictional Study" xfId="8899" xr:uid="{BC4DFABF-4681-4468-9C55-30CD15F3CD62}"/>
    <cellStyle name="20% - Accent5 4 2 4" xfId="4321" xr:uid="{5D571E23-5694-48C7-B597-F5D11711A341}"/>
    <cellStyle name="20% - Accent5 4 2 4 2" xfId="4322" xr:uid="{6B7C86D8-551F-4CA1-B703-06FAE8AEEDE4}"/>
    <cellStyle name="20% - Accent5 4 2 4_Jurisdictional Study" xfId="8901" xr:uid="{3FA0DB41-167D-48FA-9CA7-8890982B14A6}"/>
    <cellStyle name="20% - Accent5 4 2 5" xfId="4323" xr:uid="{CA6857D5-0E36-40C4-8FBE-5BA7F50DD708}"/>
    <cellStyle name="20% - Accent5 4 2_Jurisdictional Study" xfId="8894" xr:uid="{4BCADFCA-AE73-4FB7-85A7-B7BD0DE5B3F9}"/>
    <cellStyle name="20% - Accent5 4 3" xfId="4324" xr:uid="{ABC4496C-34A9-4751-B9E2-A73673D9C3CD}"/>
    <cellStyle name="20% - Accent5 4 3 2" xfId="4325" xr:uid="{1BF819C3-5995-4B50-8C29-1EE2D9F702A6}"/>
    <cellStyle name="20% - Accent5 4 3 2 2" xfId="4326" xr:uid="{13307C45-8A06-4BA6-8A35-61D9D391F8AF}"/>
    <cellStyle name="20% - Accent5 4 3 2 2 2" xfId="4327" xr:uid="{92F267CB-EE19-4588-944E-8CB0BAE3FAD1}"/>
    <cellStyle name="20% - Accent5 4 3 2 2_Jurisdictional Study" xfId="8904" xr:uid="{B029815E-A749-4F41-927D-96E715E9009E}"/>
    <cellStyle name="20% - Accent5 4 3 2 3" xfId="4328" xr:uid="{F79356EC-FB48-46CB-B6DF-EFFD17834C6D}"/>
    <cellStyle name="20% - Accent5 4 3 2_Jurisdictional Study" xfId="8903" xr:uid="{81AB0771-C970-4F42-8C3E-5CF37272749B}"/>
    <cellStyle name="20% - Accent5 4 3 3" xfId="4329" xr:uid="{A07D7801-5B2F-459E-896C-5EB4451EC00C}"/>
    <cellStyle name="20% - Accent5 4 3 3 2" xfId="4330" xr:uid="{AB2AEA72-83D6-41B2-8888-898A772ED373}"/>
    <cellStyle name="20% - Accent5 4 3 3_Jurisdictional Study" xfId="8905" xr:uid="{E457F856-DCA4-4925-ABA3-75B807D535FD}"/>
    <cellStyle name="20% - Accent5 4 3 4" xfId="4331" xr:uid="{D0A9776C-9EB6-4A37-84AD-651A3EA40EA9}"/>
    <cellStyle name="20% - Accent5 4 3_Jurisdictional Study" xfId="8902" xr:uid="{4AF3843C-A965-4746-A5E8-48393733EC37}"/>
    <cellStyle name="20% - Accent5 4 4" xfId="4332" xr:uid="{E99C7133-4168-41BB-9000-6C3561936F31}"/>
    <cellStyle name="20% - Accent5 4 4 2" xfId="4333" xr:uid="{B44E09AA-01A5-4131-BB4C-8FE43715E4D6}"/>
    <cellStyle name="20% - Accent5 4 4 2 2" xfId="4334" xr:uid="{F7D6DADD-91A6-4921-ABCA-0B241259ECFD}"/>
    <cellStyle name="20% - Accent5 4 4 2_Jurisdictional Study" xfId="8907" xr:uid="{EACC41B5-A252-4E59-8165-FA1A1A822BFB}"/>
    <cellStyle name="20% - Accent5 4 4 3" xfId="4335" xr:uid="{48FE6EA5-5982-4EF8-B486-2A5DB5AB5882}"/>
    <cellStyle name="20% - Accent5 4 4_Jurisdictional Study" xfId="8906" xr:uid="{EB3E8CA2-0ED7-4302-A409-DE0BD0FDA367}"/>
    <cellStyle name="20% - Accent5 4 5" xfId="4336" xr:uid="{6940339D-6F0C-472A-874E-AFFC4B523D83}"/>
    <cellStyle name="20% - Accent5 4 5 2" xfId="4337" xr:uid="{5F961D25-7E19-4656-B523-FDCCB0AC2726}"/>
    <cellStyle name="20% - Accent5 4 5_Jurisdictional Study" xfId="8908" xr:uid="{E896C07E-2A31-4C10-AF76-40C804FAE228}"/>
    <cellStyle name="20% - Accent5 4 6" xfId="4338" xr:uid="{608CBCD8-FBBD-4568-A56B-AB038BC2CD4C}"/>
    <cellStyle name="20% - Accent5 4_Jurisdictional Study" xfId="8893" xr:uid="{9968A062-C229-4867-80A4-93D3EC722718}"/>
    <cellStyle name="20% - Accent5 5" xfId="4339" xr:uid="{198A1495-3FB0-4C0A-AD4D-B79A4A1CA3C8}"/>
    <cellStyle name="20% - Accent5 5 2" xfId="4340" xr:uid="{C67468D3-FE14-423B-B670-03602435A9E0}"/>
    <cellStyle name="20% - Accent5 5 2 2" xfId="4341" xr:uid="{9B2F3AFC-A6EA-4FFD-80B0-E7D483A61D4F}"/>
    <cellStyle name="20% - Accent5 5 2 2 2" xfId="4342" xr:uid="{9E27D85A-A0B2-4296-94E3-86A6DB32C579}"/>
    <cellStyle name="20% - Accent5 5 2 2 2 2" xfId="4343" xr:uid="{BD121488-F29E-4BBA-A415-7CF8CDA2508C}"/>
    <cellStyle name="20% - Accent5 5 2 2 2_Jurisdictional Study" xfId="8912" xr:uid="{B36B025A-6F58-42EA-95B4-136F0260404B}"/>
    <cellStyle name="20% - Accent5 5 2 2 3" xfId="4344" xr:uid="{2CBAEFC9-74DB-4176-AC3B-2CD77ECBBA05}"/>
    <cellStyle name="20% - Accent5 5 2 2_Jurisdictional Study" xfId="8911" xr:uid="{7546A026-1AB0-4DB6-8DDF-CA80EEFC3DA3}"/>
    <cellStyle name="20% - Accent5 5 2 3" xfId="4345" xr:uid="{9AA6503F-E055-404E-A18B-190E7704A4F8}"/>
    <cellStyle name="20% - Accent5 5 2 3 2" xfId="4346" xr:uid="{B5997743-3411-42AB-828C-638C7CB45E2D}"/>
    <cellStyle name="20% - Accent5 5 2 3_Jurisdictional Study" xfId="8913" xr:uid="{9B04FE9C-77AD-4E04-A4E8-E044C11E0E74}"/>
    <cellStyle name="20% - Accent5 5 2 4" xfId="4347" xr:uid="{B585031F-7EF7-4AFA-9374-329661E657DA}"/>
    <cellStyle name="20% - Accent5 5 2_Jurisdictional Study" xfId="8910" xr:uid="{D3E4600F-E570-4310-912E-DF086C5B5961}"/>
    <cellStyle name="20% - Accent5 5 3" xfId="4348" xr:uid="{863F0D04-E56F-4365-B3C9-D12A01173609}"/>
    <cellStyle name="20% - Accent5 5 3 2" xfId="4349" xr:uid="{DC5FAF7B-B040-4CE1-A3C4-2528C1FCF098}"/>
    <cellStyle name="20% - Accent5 5 3 2 2" xfId="4350" xr:uid="{6FB062E0-9315-4E9B-8154-C7FE60135316}"/>
    <cellStyle name="20% - Accent5 5 3 2_Jurisdictional Study" xfId="8915" xr:uid="{E2E2CD3B-E430-40F5-97FC-C918CECF95B6}"/>
    <cellStyle name="20% - Accent5 5 3 3" xfId="4351" xr:uid="{577B4B2B-8028-44F6-AB33-2B6A17138EF4}"/>
    <cellStyle name="20% - Accent5 5 3_Jurisdictional Study" xfId="8914" xr:uid="{82322AA3-C9AF-4C93-BE52-677805260300}"/>
    <cellStyle name="20% - Accent5 5 4" xfId="4352" xr:uid="{8570B43D-DFB9-49E2-AE28-0A19DCE0F09D}"/>
    <cellStyle name="20% - Accent5 5 4 2" xfId="4353" xr:uid="{B5D0411D-248F-4203-94AB-45F4E00B5D12}"/>
    <cellStyle name="20% - Accent5 5 4_Jurisdictional Study" xfId="8916" xr:uid="{B30C3256-AD2C-4137-9B16-E4528CA886F9}"/>
    <cellStyle name="20% - Accent5 5 5" xfId="4354" xr:uid="{9A7E8CA1-3DAF-4022-AE08-2CC8FABD8524}"/>
    <cellStyle name="20% - Accent5 5_Jurisdictional Study" xfId="8909" xr:uid="{5D868C3C-C2B5-4E85-9381-5BE41524EECF}"/>
    <cellStyle name="20% - Accent5 6" xfId="4355" xr:uid="{0CE684BF-E216-4250-A734-CCB41D4003C7}"/>
    <cellStyle name="20% - Accent5 6 2" xfId="4356" xr:uid="{165D7BE4-A0B0-438A-B60F-D3AF52B46172}"/>
    <cellStyle name="20% - Accent5 6 2 2" xfId="4357" xr:uid="{225BBE3F-0849-443C-BF19-FF2873CEE255}"/>
    <cellStyle name="20% - Accent5 6 2 2 2" xfId="4358" xr:uid="{0A7BE261-A71E-49CC-B064-ABD535917613}"/>
    <cellStyle name="20% - Accent5 6 2 2_Jurisdictional Study" xfId="8919" xr:uid="{6EF8BA0F-A475-4483-AAEB-80F17F113DB1}"/>
    <cellStyle name="20% - Accent5 6 2 3" xfId="4359" xr:uid="{5C197875-2B44-4C02-AFC7-BD0DA064E2F4}"/>
    <cellStyle name="20% - Accent5 6 2_Jurisdictional Study" xfId="8918" xr:uid="{6E020176-5825-46BB-8E77-D3C66736D3AC}"/>
    <cellStyle name="20% - Accent5 6 3" xfId="4360" xr:uid="{61D9BC2D-9E10-4F19-8542-8780C45C1B3B}"/>
    <cellStyle name="20% - Accent5 6 3 2" xfId="4361" xr:uid="{F757B8A6-E499-4C88-AA84-F72762A64C45}"/>
    <cellStyle name="20% - Accent5 6 3_Jurisdictional Study" xfId="8920" xr:uid="{C0E2286A-C8B9-4605-BFD7-FCEE9C66CC95}"/>
    <cellStyle name="20% - Accent5 6 4" xfId="4362" xr:uid="{7D26837A-4668-45D7-B5D9-AE4AF3DA91B4}"/>
    <cellStyle name="20% - Accent5 6_Jurisdictional Study" xfId="8917" xr:uid="{3F8007B5-3C98-45FB-AB28-715477C43923}"/>
    <cellStyle name="20% - Accent5 7" xfId="4363" xr:uid="{54D38958-E103-4E51-B7BB-532041FC5473}"/>
    <cellStyle name="20% - Accent5 7 2" xfId="4364" xr:uid="{5BD85B39-78F5-4D6C-B854-D7DA6DF5E55A}"/>
    <cellStyle name="20% - Accent5 7 2 2" xfId="4365" xr:uid="{ED72746E-3443-4F14-AC14-A4D66B0660AA}"/>
    <cellStyle name="20% - Accent5 7 2 2 2" xfId="4366" xr:uid="{D01451CC-FE1E-44AF-A981-02DFDB7871F3}"/>
    <cellStyle name="20% - Accent5 7 2 2_Jurisdictional Study" xfId="8923" xr:uid="{E16719A1-7811-4340-9F89-3AB2D23C275C}"/>
    <cellStyle name="20% - Accent5 7 2 3" xfId="4367" xr:uid="{2B1E7239-DF61-4728-B709-E372C7573ADA}"/>
    <cellStyle name="20% - Accent5 7 2_Jurisdictional Study" xfId="8922" xr:uid="{271598E3-903F-4D91-B71E-E6510118406A}"/>
    <cellStyle name="20% - Accent5 7 3" xfId="4368" xr:uid="{60F65B90-6B90-4CC2-AE16-FDA33A9FD337}"/>
    <cellStyle name="20% - Accent5 7 3 2" xfId="4369" xr:uid="{9968B989-B2BF-4DEA-A047-0E07A9DA13BE}"/>
    <cellStyle name="20% - Accent5 7 3_Jurisdictional Study" xfId="8924" xr:uid="{08794EA1-616E-4D02-9EBC-6711624B6142}"/>
    <cellStyle name="20% - Accent5 7 4" xfId="4370" xr:uid="{9EB4BAB9-BC42-4951-88CB-884094EDC181}"/>
    <cellStyle name="20% - Accent5 7_Jurisdictional Study" xfId="8921" xr:uid="{454965E6-558E-4B85-AA0A-10F497080F3D}"/>
    <cellStyle name="20% - Accent5 8" xfId="4371" xr:uid="{F62519AD-7CCF-45E9-A43B-0A3E78930E51}"/>
    <cellStyle name="20% - Accent5 8 2" xfId="4372" xr:uid="{651FFB2B-ADCD-4DB5-8C1C-B7A44BD73E92}"/>
    <cellStyle name="20% - Accent5 8 2 2" xfId="4373" xr:uid="{000E586F-ACE7-4681-9334-D337C5C86401}"/>
    <cellStyle name="20% - Accent5 8 2 2 2" xfId="4374" xr:uid="{ACA5B090-777D-43D6-827B-22073F7B161D}"/>
    <cellStyle name="20% - Accent5 8 2 2_Jurisdictional Study" xfId="8927" xr:uid="{5824D0D8-FF4F-473E-B3DD-2994E32702A7}"/>
    <cellStyle name="20% - Accent5 8 2 3" xfId="4375" xr:uid="{88187E00-D3D4-43FF-8C33-AAA4D2D3C9BF}"/>
    <cellStyle name="20% - Accent5 8 2_Jurisdictional Study" xfId="8926" xr:uid="{14334644-BA26-4EE1-A3B6-FEBEC44BE309}"/>
    <cellStyle name="20% - Accent5 8 3" xfId="4376" xr:uid="{7CAD6A53-EDCA-4472-BA0C-308F087230E4}"/>
    <cellStyle name="20% - Accent5 8 3 2" xfId="4377" xr:uid="{17C699A5-FD60-42CD-8CB3-930A86E9D95A}"/>
    <cellStyle name="20% - Accent5 8 3_Jurisdictional Study" xfId="8928" xr:uid="{88A120E1-20C0-4254-89E7-C4C60759EB56}"/>
    <cellStyle name="20% - Accent5 8 4" xfId="4378" xr:uid="{16175415-C882-42CA-96A2-BF37BBA1CA09}"/>
    <cellStyle name="20% - Accent5 8_Jurisdictional Study" xfId="8925" xr:uid="{974FC4EA-D760-45B7-82B4-8839C4C2522E}"/>
    <cellStyle name="20% - Accent5 9" xfId="4379" xr:uid="{5AC06B07-40FD-412E-B996-CD8322C4B72C}"/>
    <cellStyle name="20% - Accent5 9 2" xfId="4380" xr:uid="{93EBECC8-3056-4B3B-B8C1-D6F81F67D4B0}"/>
    <cellStyle name="20% - Accent5 9 2 2" xfId="4381" xr:uid="{F2168942-EECC-4BFE-9589-4207541F6D3E}"/>
    <cellStyle name="20% - Accent5 9 2_Jurisdictional Study" xfId="8930" xr:uid="{8253E93B-44BA-4819-9CA7-7809B7588705}"/>
    <cellStyle name="20% - Accent5 9 3" xfId="4382" xr:uid="{12A29A63-2DBC-46DE-9113-56C84987A717}"/>
    <cellStyle name="20% - Accent5 9_Jurisdictional Study" xfId="8929" xr:uid="{DB835C2E-BE34-4FA5-B415-FD5881E7DE51}"/>
    <cellStyle name="20% - Accent6" xfId="6" builtinId="50" customBuiltin="1"/>
    <cellStyle name="20% - Accent6 10" xfId="4383" xr:uid="{BA8E1365-93EA-4609-994C-6AF151281BC2}"/>
    <cellStyle name="20% - Accent6 10 2" xfId="4384" xr:uid="{12A289F3-A440-45CC-AFC1-86AF232FDD11}"/>
    <cellStyle name="20% - Accent6 10 2 2" xfId="4385" xr:uid="{E6D24E3F-3415-4C5B-AA89-C3D3576EA0C2}"/>
    <cellStyle name="20% - Accent6 10 2_Jurisdictional Study" xfId="8932" xr:uid="{B2B2D550-7F66-4B11-AC0F-D752ADA4540E}"/>
    <cellStyle name="20% - Accent6 10 3" xfId="4386" xr:uid="{F0A849A8-755A-4BB4-B684-FD7624B11F71}"/>
    <cellStyle name="20% - Accent6 10_Jurisdictional Study" xfId="8931" xr:uid="{05458468-A105-4203-AAE8-00C38AA9573A}"/>
    <cellStyle name="20% - Accent6 11" xfId="4387" xr:uid="{0B6B3AC1-ACA9-4561-96A7-22AB9D97FA55}"/>
    <cellStyle name="20% - Accent6 11 2" xfId="4388" xr:uid="{209AEB1E-C613-4412-9C87-065EAC1FC232}"/>
    <cellStyle name="20% - Accent6 11 2 2" xfId="4389" xr:uid="{F69CEBC9-FDAA-4262-BF1B-12AF9330ED32}"/>
    <cellStyle name="20% - Accent6 11 2_Jurisdictional Study" xfId="8934" xr:uid="{C3326B03-E5EE-4549-8F68-93A064F8F661}"/>
    <cellStyle name="20% - Accent6 11 3" xfId="4390" xr:uid="{1A6F8968-CA9A-4BF9-94BD-97DC384D9715}"/>
    <cellStyle name="20% - Accent6 11_Jurisdictional Study" xfId="8933" xr:uid="{207246A2-B370-42F9-82A6-AB5B79C43C78}"/>
    <cellStyle name="20% - Accent6 12" xfId="4391" xr:uid="{37D8D475-E986-494A-A31C-B9498693DA21}"/>
    <cellStyle name="20% - Accent6 12 2" xfId="4392" xr:uid="{2E2680C1-05AB-4644-B09B-7A978011A1B9}"/>
    <cellStyle name="20% - Accent6 12_Jurisdictional Study" xfId="8935" xr:uid="{AD4D9AF7-9373-4845-95BA-F62450A56CAA}"/>
    <cellStyle name="20% - Accent6 13" xfId="4393" xr:uid="{D7156DFF-F04F-47F1-9055-1CDFAB07BF48}"/>
    <cellStyle name="20% - Accent6 14" xfId="3190" xr:uid="{E5FC8B48-ACC2-4689-A7A9-31E6609F9D69}"/>
    <cellStyle name="20% - Accent6 2" xfId="252" xr:uid="{71DF262E-BA7F-44E3-9E31-EC1D4142CC7D}"/>
    <cellStyle name="20% - Accent6 2 2" xfId="4395" xr:uid="{0272B425-D4FE-443E-B31B-1214B173C957}"/>
    <cellStyle name="20% - Accent6 2 2 2" xfId="4396" xr:uid="{2D1E3702-A20F-4055-B83B-EDF722C2BCC9}"/>
    <cellStyle name="20% - Accent6 2 2 2 2" xfId="4397" xr:uid="{133370ED-3B5C-481E-9317-37ED59190FE7}"/>
    <cellStyle name="20% - Accent6 2 2 2 2 2" xfId="4398" xr:uid="{6926C757-C365-410E-A20C-ECB8D1F0B3C4}"/>
    <cellStyle name="20% - Accent6 2 2 2 2 2 2" xfId="4399" xr:uid="{9C7A4CE5-9C30-4F84-A668-D07371D762AC}"/>
    <cellStyle name="20% - Accent6 2 2 2 2 2 2 2" xfId="4400" xr:uid="{9E7AAAED-D8F1-430C-882F-EF2EE97F8A99}"/>
    <cellStyle name="20% - Accent6 2 2 2 2 2 2_Jurisdictional Study" xfId="8940" xr:uid="{EB8998CE-4763-4032-8C83-F59F0DBCFFCB}"/>
    <cellStyle name="20% - Accent6 2 2 2 2 2 3" xfId="4401" xr:uid="{0F027CFD-A0B9-4F65-BE1E-99309FCF00CE}"/>
    <cellStyle name="20% - Accent6 2 2 2 2 2_Jurisdictional Study" xfId="8939" xr:uid="{285783D1-E433-485F-A31A-EB8B2373DA9E}"/>
    <cellStyle name="20% - Accent6 2 2 2 2 3" xfId="4402" xr:uid="{69131DAA-77D6-41A7-AFB2-CA5CA4F3F2F8}"/>
    <cellStyle name="20% - Accent6 2 2 2 2 3 2" xfId="4403" xr:uid="{EAEFF946-8C3F-42FB-882B-2F3F780F55BC}"/>
    <cellStyle name="20% - Accent6 2 2 2 2 3_Jurisdictional Study" xfId="8941" xr:uid="{61029220-E69A-4F23-8CA0-B30BA298399E}"/>
    <cellStyle name="20% - Accent6 2 2 2 2 4" xfId="4404" xr:uid="{7F528871-CD82-4D27-B070-690C5AA5BBAA}"/>
    <cellStyle name="20% - Accent6 2 2 2 2_Jurisdictional Study" xfId="8938" xr:uid="{6D8B2DDB-D524-4804-96CC-D53664FDC361}"/>
    <cellStyle name="20% - Accent6 2 2 2 3" xfId="4405" xr:uid="{9CD0E1DD-ACD0-4214-AF93-95E54C7834AA}"/>
    <cellStyle name="20% - Accent6 2 2 2 3 2" xfId="4406" xr:uid="{5853CC01-8BD9-41D8-94CD-EC15CED14F3F}"/>
    <cellStyle name="20% - Accent6 2 2 2 3 2 2" xfId="4407" xr:uid="{6D3932A6-AA90-4E0A-BBDC-89A95C411866}"/>
    <cellStyle name="20% - Accent6 2 2 2 3 2_Jurisdictional Study" xfId="8943" xr:uid="{C1FE5AD1-8D89-40DC-BE16-DBAB12835BC4}"/>
    <cellStyle name="20% - Accent6 2 2 2 3 3" xfId="4408" xr:uid="{80ECD8D6-9371-4AA0-8F84-17B22EF7DACC}"/>
    <cellStyle name="20% - Accent6 2 2 2 3_Jurisdictional Study" xfId="8942" xr:uid="{2C674D84-D0BD-4AD4-91C3-3483F62C221C}"/>
    <cellStyle name="20% - Accent6 2 2 2 4" xfId="4409" xr:uid="{A581DB9C-BC98-490B-B2C5-48C17ECB49F1}"/>
    <cellStyle name="20% - Accent6 2 2 2 4 2" xfId="4410" xr:uid="{FC0A0366-8DC2-473A-B891-7FBE39EA4E2B}"/>
    <cellStyle name="20% - Accent6 2 2 2 4_Jurisdictional Study" xfId="8944" xr:uid="{A94D9082-BBF6-46FA-9B6D-F6D408268304}"/>
    <cellStyle name="20% - Accent6 2 2 2 5" xfId="4411" xr:uid="{1932FD4F-02FE-496B-817E-3153383CD322}"/>
    <cellStyle name="20% - Accent6 2 2 2_Jurisdictional Study" xfId="8937" xr:uid="{91C51A75-8952-4448-AB4F-8BED58CFACA5}"/>
    <cellStyle name="20% - Accent6 2 2 3" xfId="4412" xr:uid="{3B9443E4-1A59-4FD9-AA14-C54E284068B9}"/>
    <cellStyle name="20% - Accent6 2 2 3 2" xfId="4413" xr:uid="{9899482B-9A5B-4C6C-9086-2576E3561CA5}"/>
    <cellStyle name="20% - Accent6 2 2 3 2 2" xfId="4414" xr:uid="{8A7845FE-90D8-4E97-9E3C-D7D7D51A9EE7}"/>
    <cellStyle name="20% - Accent6 2 2 3 2 2 2" xfId="4415" xr:uid="{3F32F362-FD20-4AD8-8BB4-49E5711F90B7}"/>
    <cellStyle name="20% - Accent6 2 2 3 2 2_Jurisdictional Study" xfId="8947" xr:uid="{AD7B0615-1164-41F5-8186-31B3E4D78E74}"/>
    <cellStyle name="20% - Accent6 2 2 3 2 3" xfId="4416" xr:uid="{291D228F-26A6-413B-825F-1DE2546ED32C}"/>
    <cellStyle name="20% - Accent6 2 2 3 2_Jurisdictional Study" xfId="8946" xr:uid="{C83A47EF-BB73-40A7-AB12-134F4E677741}"/>
    <cellStyle name="20% - Accent6 2 2 3 3" xfId="4417" xr:uid="{493D9247-00E5-494A-B961-6CE19A11E4A4}"/>
    <cellStyle name="20% - Accent6 2 2 3 3 2" xfId="4418" xr:uid="{C65E933F-985F-418D-9142-002F3301EAA0}"/>
    <cellStyle name="20% - Accent6 2 2 3 3_Jurisdictional Study" xfId="8948" xr:uid="{70BE582B-391B-4F3A-9B30-79D352E32386}"/>
    <cellStyle name="20% - Accent6 2 2 3 4" xfId="4419" xr:uid="{B0640DCC-9BBD-4EF0-B78A-448E94C143F7}"/>
    <cellStyle name="20% - Accent6 2 2 3_Jurisdictional Study" xfId="8945" xr:uid="{3B357643-1219-49EA-808F-642F50002E57}"/>
    <cellStyle name="20% - Accent6 2 2 4" xfId="4420" xr:uid="{98D7833A-1F6C-4E04-9203-36FF2590765C}"/>
    <cellStyle name="20% - Accent6 2 2 4 2" xfId="4421" xr:uid="{F0C0367A-C95D-4309-8945-87CD5A5F1D61}"/>
    <cellStyle name="20% - Accent6 2 2 4 2 2" xfId="4422" xr:uid="{8B1EC9E8-BD98-446A-9F8C-3E4A18294EFB}"/>
    <cellStyle name="20% - Accent6 2 2 4 2_Jurisdictional Study" xfId="8950" xr:uid="{26EA9AC4-DA59-4590-A1EC-C3EB71540EBC}"/>
    <cellStyle name="20% - Accent6 2 2 4 3" xfId="4423" xr:uid="{70D235A9-C3C8-4F2B-9541-77B00BC9F603}"/>
    <cellStyle name="20% - Accent6 2 2 4_Jurisdictional Study" xfId="8949" xr:uid="{95B5A12B-535D-44D4-AF3B-0C1CEFD62D1B}"/>
    <cellStyle name="20% - Accent6 2 2 5" xfId="4424" xr:uid="{99CC09B9-555B-4DDA-8FB0-9F53B378A129}"/>
    <cellStyle name="20% - Accent6 2 2 5 2" xfId="4425" xr:uid="{769B1623-A8A5-4BBC-9A3A-20A36F1296E4}"/>
    <cellStyle name="20% - Accent6 2 2 5_Jurisdictional Study" xfId="8951" xr:uid="{B5853892-8A0B-45F9-A191-442A57330755}"/>
    <cellStyle name="20% - Accent6 2 2 6" xfId="4426" xr:uid="{D3AAF2B2-1CEE-403A-80CE-7CD0EFA798D9}"/>
    <cellStyle name="20% - Accent6 2 2_Jurisdictional Study" xfId="8936" xr:uid="{D96D2F04-AA79-4F61-8120-F2A99E9ED519}"/>
    <cellStyle name="20% - Accent6 2 3" xfId="4427" xr:uid="{B9978F4A-E0FC-4BE7-A59D-72F42DE8D016}"/>
    <cellStyle name="20% - Accent6 2 3 2" xfId="4428" xr:uid="{68ADB21A-A8FB-4D78-AFE7-ED207B74BEAF}"/>
    <cellStyle name="20% - Accent6 2 3 2 2" xfId="4429" xr:uid="{7B04C88D-EB5E-4F15-A1B6-0050421DB361}"/>
    <cellStyle name="20% - Accent6 2 3 2 2 2" xfId="4430" xr:uid="{C094455C-F2EF-4103-8B70-8A4A3DCD3CEE}"/>
    <cellStyle name="20% - Accent6 2 3 2 2 2 2" xfId="4431" xr:uid="{B537FEC0-0DEB-4D00-A1D5-B2BB5FF4E24E}"/>
    <cellStyle name="20% - Accent6 2 3 2 2 2_Jurisdictional Study" xfId="8955" xr:uid="{499E681F-A077-46B7-A7E8-F266818BF17B}"/>
    <cellStyle name="20% - Accent6 2 3 2 2 3" xfId="4432" xr:uid="{C06D2EEB-2939-4B02-88EB-1608DE3179CB}"/>
    <cellStyle name="20% - Accent6 2 3 2 2_Jurisdictional Study" xfId="8954" xr:uid="{5C07B5F9-0E13-4F9E-8A5F-6088994F6AFD}"/>
    <cellStyle name="20% - Accent6 2 3 2 3" xfId="4433" xr:uid="{D69F66F9-8D7A-4771-A735-850CB3B1CB8F}"/>
    <cellStyle name="20% - Accent6 2 3 2 3 2" xfId="4434" xr:uid="{121C0775-E7EC-428E-B8D6-63811F4A687F}"/>
    <cellStyle name="20% - Accent6 2 3 2 3_Jurisdictional Study" xfId="8956" xr:uid="{B41207A0-4D3A-4DE5-9A00-B4A75A754146}"/>
    <cellStyle name="20% - Accent6 2 3 2 4" xfId="4435" xr:uid="{52E08F9B-5530-4976-9EBE-EDC75DA3D729}"/>
    <cellStyle name="20% - Accent6 2 3 2_Jurisdictional Study" xfId="8953" xr:uid="{03E201E9-B027-4627-AA7B-C034BD09BAC0}"/>
    <cellStyle name="20% - Accent6 2 3 3" xfId="4436" xr:uid="{15690FE7-46F7-46DD-957B-2F1212B76E72}"/>
    <cellStyle name="20% - Accent6 2 3 3 2" xfId="4437" xr:uid="{2AC02CFB-6DF7-4FAB-9432-FA30DC34035E}"/>
    <cellStyle name="20% - Accent6 2 3 3 2 2" xfId="4438" xr:uid="{4FA4A9A0-A3CC-4C22-A26A-C8E541667AC3}"/>
    <cellStyle name="20% - Accent6 2 3 3 2_Jurisdictional Study" xfId="8958" xr:uid="{E5269F4B-FE2E-435C-B01B-77086094037C}"/>
    <cellStyle name="20% - Accent6 2 3 3 3" xfId="4439" xr:uid="{F96A405C-1F65-44D9-96E2-2B088F0630B5}"/>
    <cellStyle name="20% - Accent6 2 3 3_Jurisdictional Study" xfId="8957" xr:uid="{4CE71745-6D3F-44C9-BD1D-A12159ACE60E}"/>
    <cellStyle name="20% - Accent6 2 3 4" xfId="4440" xr:uid="{5144F0DF-5D9F-47CA-896B-AAE163675E94}"/>
    <cellStyle name="20% - Accent6 2 3 4 2" xfId="4441" xr:uid="{8DF6E84D-D3E7-46B5-B7E7-A123BA2067D0}"/>
    <cellStyle name="20% - Accent6 2 3 4_Jurisdictional Study" xfId="8959" xr:uid="{67B0DB50-34C5-4BA6-A4B5-C37AD43000E0}"/>
    <cellStyle name="20% - Accent6 2 3 5" xfId="4442" xr:uid="{5B05DC81-F441-45C9-9AFB-B6BE100546D5}"/>
    <cellStyle name="20% - Accent6 2 3_Jurisdictional Study" xfId="8952" xr:uid="{8FE919FD-FAAA-4ACB-9DB0-4B9E1DE22DDC}"/>
    <cellStyle name="20% - Accent6 2 4" xfId="4443" xr:uid="{154BA28F-4E92-43DC-9510-080A3027101E}"/>
    <cellStyle name="20% - Accent6 2 4 2" xfId="4444" xr:uid="{5FD56DB9-D27B-4783-9B3E-2C555F17F9FD}"/>
    <cellStyle name="20% - Accent6 2 4 2 2" xfId="4445" xr:uid="{24326A42-7A01-4D91-91FD-BF19DB4BC90B}"/>
    <cellStyle name="20% - Accent6 2 4 2 2 2" xfId="4446" xr:uid="{A3463D85-E6AC-480D-BD56-866D09B745C6}"/>
    <cellStyle name="20% - Accent6 2 4 2 2_Jurisdictional Study" xfId="8962" xr:uid="{BE342B17-C739-419E-8CCA-DF8A0C1EF8F6}"/>
    <cellStyle name="20% - Accent6 2 4 2 3" xfId="4447" xr:uid="{8D4DCF72-0BEF-4597-87D0-BC40DF3290EC}"/>
    <cellStyle name="20% - Accent6 2 4 2_Jurisdictional Study" xfId="8961" xr:uid="{56F77CD8-D1AC-4A24-8C62-395B5513AFE8}"/>
    <cellStyle name="20% - Accent6 2 4 3" xfId="4448" xr:uid="{F8E0564F-4D13-4DE2-A276-DBEFD50C1DF0}"/>
    <cellStyle name="20% - Accent6 2 4 3 2" xfId="4449" xr:uid="{ED090F2B-3792-4110-9765-952F2917FE9E}"/>
    <cellStyle name="20% - Accent6 2 4 3_Jurisdictional Study" xfId="8963" xr:uid="{269FA082-C1EA-41A0-B386-129541E4BA96}"/>
    <cellStyle name="20% - Accent6 2 4 4" xfId="4450" xr:uid="{9A53B048-2091-4397-9219-B65E2F2118E9}"/>
    <cellStyle name="20% - Accent6 2 4_Jurisdictional Study" xfId="8960" xr:uid="{F61182DF-3E44-470F-889B-C2CC869F9AA7}"/>
    <cellStyle name="20% - Accent6 2 5" xfId="4451" xr:uid="{B7EB83D9-8D7D-4DDC-A9A8-C3215D234A05}"/>
    <cellStyle name="20% - Accent6 2 5 2" xfId="4452" xr:uid="{03DF969A-80EE-454A-BC03-1042811D1C16}"/>
    <cellStyle name="20% - Accent6 2 5 2 2" xfId="4453" xr:uid="{B079360F-288D-4710-9904-4FE0BB3DE91C}"/>
    <cellStyle name="20% - Accent6 2 5 2_Jurisdictional Study" xfId="8965" xr:uid="{B1BEF0AB-638D-4658-B06B-395DC3A6ABB8}"/>
    <cellStyle name="20% - Accent6 2 5 3" xfId="4454" xr:uid="{5AFD60C3-D0C2-40C9-AA2A-434918BA6824}"/>
    <cellStyle name="20% - Accent6 2 5_Jurisdictional Study" xfId="8964" xr:uid="{86DE1F35-8E9E-4641-8855-B8C26828FDD9}"/>
    <cellStyle name="20% - Accent6 2 6" xfId="4455" xr:uid="{63FA6102-C10E-4111-AC28-01AB1795F7CA}"/>
    <cellStyle name="20% - Accent6 2 6 2" xfId="4456" xr:uid="{9DB52198-C5FA-4694-8569-3F5EF91FB70C}"/>
    <cellStyle name="20% - Accent6 2 6_Jurisdictional Study" xfId="8966" xr:uid="{0F648C27-1CA1-48AC-A4CD-24DA53978B33}"/>
    <cellStyle name="20% - Accent6 2 7" xfId="4457" xr:uid="{F49B4466-89C4-41CC-99CA-153D926B32A9}"/>
    <cellStyle name="20% - Accent6 2 8" xfId="4394" xr:uid="{CB23739C-3DFE-4D76-8A16-4B5EF43AF201}"/>
    <cellStyle name="20% - Accent6 3" xfId="3209" xr:uid="{76A95209-2369-4A9D-9E4B-6768A896D733}"/>
    <cellStyle name="20% - Accent6 3 2" xfId="4459" xr:uid="{98CFCF58-2093-4D20-9B82-B841E899F4BC}"/>
    <cellStyle name="20% - Accent6 3 2 2" xfId="4460" xr:uid="{9FD46576-EF69-4E5B-BD54-109EA880AE1B}"/>
    <cellStyle name="20% - Accent6 3 2 2 2" xfId="4461" xr:uid="{52AE1EFA-D110-4341-86F3-77C563403F0A}"/>
    <cellStyle name="20% - Accent6 3 2 2 2 2" xfId="4462" xr:uid="{69D5D503-DF90-4689-BFC0-B4E558AAC2D1}"/>
    <cellStyle name="20% - Accent6 3 2 2 2 2 2" xfId="4463" xr:uid="{3525C5AD-C247-46C3-9397-543A038A5748}"/>
    <cellStyle name="20% - Accent6 3 2 2 2 2 2 2" xfId="4464" xr:uid="{15A9CD07-293C-4D97-A204-C3E0155BDCA2}"/>
    <cellStyle name="20% - Accent6 3 2 2 2 2 2_Jurisdictional Study" xfId="8972" xr:uid="{9E6DA11A-4C7A-4C35-8E02-1C719D988FB2}"/>
    <cellStyle name="20% - Accent6 3 2 2 2 2 3" xfId="4465" xr:uid="{B3EDA535-D514-4D16-BC5F-67111E0F551B}"/>
    <cellStyle name="20% - Accent6 3 2 2 2 2_Jurisdictional Study" xfId="8971" xr:uid="{3CFFADF5-2B83-4491-BF8B-FA5871F3B9B6}"/>
    <cellStyle name="20% - Accent6 3 2 2 2 3" xfId="4466" xr:uid="{4D18B98A-64B2-4BDC-B35C-70087ABF4A26}"/>
    <cellStyle name="20% - Accent6 3 2 2 2 3 2" xfId="4467" xr:uid="{18FFAA64-1C7A-45CD-B975-3D2E036972E9}"/>
    <cellStyle name="20% - Accent6 3 2 2 2 3_Jurisdictional Study" xfId="8973" xr:uid="{86A5DD48-983C-4B16-9206-9F208AC71A15}"/>
    <cellStyle name="20% - Accent6 3 2 2 2 4" xfId="4468" xr:uid="{4A5D9741-2B23-4553-883E-DCF7D9D99665}"/>
    <cellStyle name="20% - Accent6 3 2 2 2_Jurisdictional Study" xfId="8970" xr:uid="{6E5B5660-3E02-4228-BD5B-81EA90945502}"/>
    <cellStyle name="20% - Accent6 3 2 2 3" xfId="4469" xr:uid="{ECE0571E-2AD2-43E1-8A28-7FCB5EF16794}"/>
    <cellStyle name="20% - Accent6 3 2 2 3 2" xfId="4470" xr:uid="{110186B4-7E5B-4584-B649-4CE14EAAE322}"/>
    <cellStyle name="20% - Accent6 3 2 2 3 2 2" xfId="4471" xr:uid="{0EC64608-093C-4D5B-A157-B0BE009397A4}"/>
    <cellStyle name="20% - Accent6 3 2 2 3 2_Jurisdictional Study" xfId="8975" xr:uid="{08880F65-D6FD-4F76-BD1B-4E1AA6096A43}"/>
    <cellStyle name="20% - Accent6 3 2 2 3 3" xfId="4472" xr:uid="{2BE9F553-EC0A-458F-93F3-C3C69F87F77B}"/>
    <cellStyle name="20% - Accent6 3 2 2 3_Jurisdictional Study" xfId="8974" xr:uid="{E3830D82-8708-4B64-8B91-FE52408F3B82}"/>
    <cellStyle name="20% - Accent6 3 2 2 4" xfId="4473" xr:uid="{CEDEB029-24F3-4FCD-B62B-A2E6E77BCCCE}"/>
    <cellStyle name="20% - Accent6 3 2 2 4 2" xfId="4474" xr:uid="{F368B746-BB94-4DA8-A0D4-BD4A70FA2338}"/>
    <cellStyle name="20% - Accent6 3 2 2 4_Jurisdictional Study" xfId="8976" xr:uid="{1B969675-F432-439F-B70D-9FCD0A4758B5}"/>
    <cellStyle name="20% - Accent6 3 2 2 5" xfId="4475" xr:uid="{D41B07FE-2B05-40BC-8DD4-56B8DDD76F18}"/>
    <cellStyle name="20% - Accent6 3 2 2_Jurisdictional Study" xfId="8969" xr:uid="{E36F466B-957F-441E-AA3B-E22BE03E21DF}"/>
    <cellStyle name="20% - Accent6 3 2 3" xfId="4476" xr:uid="{9332A71B-5A09-4678-ABC1-C34A1C386220}"/>
    <cellStyle name="20% - Accent6 3 2 3 2" xfId="4477" xr:uid="{B3B9E403-5BB0-450E-87B8-BD59F8CA4428}"/>
    <cellStyle name="20% - Accent6 3 2 3 2 2" xfId="4478" xr:uid="{10515ECE-C0AD-4590-BC5C-B6F45BC58379}"/>
    <cellStyle name="20% - Accent6 3 2 3 2 2 2" xfId="4479" xr:uid="{FBD7F965-C565-48BA-BE5A-E9D5B2E379EA}"/>
    <cellStyle name="20% - Accent6 3 2 3 2 2_Jurisdictional Study" xfId="8979" xr:uid="{73AD7304-0D70-47FB-AB55-1ED42032D822}"/>
    <cellStyle name="20% - Accent6 3 2 3 2 3" xfId="4480" xr:uid="{766EB427-7D68-4FE6-BCFD-55B8CBBFE646}"/>
    <cellStyle name="20% - Accent6 3 2 3 2_Jurisdictional Study" xfId="8978" xr:uid="{5F79624F-DA71-4FB4-A8C8-1F25FD31BFCF}"/>
    <cellStyle name="20% - Accent6 3 2 3 3" xfId="4481" xr:uid="{EEA5F0BD-54EB-4EEF-A245-113507984C37}"/>
    <cellStyle name="20% - Accent6 3 2 3 3 2" xfId="4482" xr:uid="{B2BE5109-00C5-4274-B95E-8A9134B1E155}"/>
    <cellStyle name="20% - Accent6 3 2 3 3_Jurisdictional Study" xfId="8980" xr:uid="{86A5CF40-965C-47DB-A1C6-4112146CCDDA}"/>
    <cellStyle name="20% - Accent6 3 2 3 4" xfId="4483" xr:uid="{7165FAB3-60A7-480C-BA4F-7DEE6275BC97}"/>
    <cellStyle name="20% - Accent6 3 2 3_Jurisdictional Study" xfId="8977" xr:uid="{5CE64C8C-E618-49E2-8BD5-934BB3A57AE1}"/>
    <cellStyle name="20% - Accent6 3 2 4" xfId="4484" xr:uid="{532E469C-1544-4B73-BACA-1D9DF9934C63}"/>
    <cellStyle name="20% - Accent6 3 2 4 2" xfId="4485" xr:uid="{5A876935-9883-49E2-A3C7-C0C852064D50}"/>
    <cellStyle name="20% - Accent6 3 2 4 2 2" xfId="4486" xr:uid="{CC34AA93-38BF-4980-842F-0D3960362B3D}"/>
    <cellStyle name="20% - Accent6 3 2 4 2_Jurisdictional Study" xfId="8982" xr:uid="{573177F5-5F72-4BED-B741-ED26759A6B80}"/>
    <cellStyle name="20% - Accent6 3 2 4 3" xfId="4487" xr:uid="{14F1B01D-2D3D-460B-ACBD-1566C85261C1}"/>
    <cellStyle name="20% - Accent6 3 2 4_Jurisdictional Study" xfId="8981" xr:uid="{8C6BC9DF-A01D-45D7-82E0-BC2902C4E952}"/>
    <cellStyle name="20% - Accent6 3 2 5" xfId="4488" xr:uid="{B966C58F-2D2F-418E-ABDF-6BB948A51ACA}"/>
    <cellStyle name="20% - Accent6 3 2 5 2" xfId="4489" xr:uid="{96EDEE8D-A04F-4181-9E9E-CFC4084E1387}"/>
    <cellStyle name="20% - Accent6 3 2 5_Jurisdictional Study" xfId="8983" xr:uid="{516B3F18-006B-45E1-923E-91E3C1B3D340}"/>
    <cellStyle name="20% - Accent6 3 2 6" xfId="4490" xr:uid="{C603C7ED-30C2-4366-8F7E-85D38950B95D}"/>
    <cellStyle name="20% - Accent6 3 2_Jurisdictional Study" xfId="8968" xr:uid="{6D39E03A-F1D5-4102-B0F6-C9C9193BE36F}"/>
    <cellStyle name="20% - Accent6 3 3" xfId="4491" xr:uid="{44C290BD-8059-47A8-A50E-1F510221F33A}"/>
    <cellStyle name="20% - Accent6 3 3 2" xfId="4492" xr:uid="{5F286922-ECC2-4617-939D-9F7BA1EFF559}"/>
    <cellStyle name="20% - Accent6 3 3 2 2" xfId="4493" xr:uid="{17635A18-2F13-46CB-9720-B5FDAAEF9AEC}"/>
    <cellStyle name="20% - Accent6 3 3 2 2 2" xfId="4494" xr:uid="{D26E51E8-09CE-4C0B-B701-19B7BCCA8106}"/>
    <cellStyle name="20% - Accent6 3 3 2 2 2 2" xfId="4495" xr:uid="{1DD5EB1A-7459-45A8-B1C3-4BC132DEFDE2}"/>
    <cellStyle name="20% - Accent6 3 3 2 2 2_Jurisdictional Study" xfId="8987" xr:uid="{7FFE1EFB-F06C-4D0B-B92F-B5FF609D5BE5}"/>
    <cellStyle name="20% - Accent6 3 3 2 2 3" xfId="4496" xr:uid="{3F4BBCD2-A17F-4A1A-A0CE-7571E0995A74}"/>
    <cellStyle name="20% - Accent6 3 3 2 2_Jurisdictional Study" xfId="8986" xr:uid="{3D10BF0F-F433-44FA-BAA1-06D31DA3C0FD}"/>
    <cellStyle name="20% - Accent6 3 3 2 3" xfId="4497" xr:uid="{E05D2C67-A6CB-4B37-8DD1-20BF13A6D713}"/>
    <cellStyle name="20% - Accent6 3 3 2 3 2" xfId="4498" xr:uid="{BF0754F6-D1D5-4C97-BDF1-EB6E6AC5C46B}"/>
    <cellStyle name="20% - Accent6 3 3 2 3_Jurisdictional Study" xfId="8988" xr:uid="{F63BD674-B503-475B-94DA-8A0CB1A26A45}"/>
    <cellStyle name="20% - Accent6 3 3 2 4" xfId="4499" xr:uid="{7B320F14-6FF6-44A6-9162-949CF750EB2F}"/>
    <cellStyle name="20% - Accent6 3 3 2_Jurisdictional Study" xfId="8985" xr:uid="{C6BC19AD-48CA-4A58-A762-246E100CFE4B}"/>
    <cellStyle name="20% - Accent6 3 3 3" xfId="4500" xr:uid="{CEDC7DE3-91D1-4AA3-BEFB-FF074AF54607}"/>
    <cellStyle name="20% - Accent6 3 3 3 2" xfId="4501" xr:uid="{A75196D0-4041-42B2-A7B2-52D8F4FFD97C}"/>
    <cellStyle name="20% - Accent6 3 3 3 2 2" xfId="4502" xr:uid="{3C9F8015-C5AE-406A-B2C5-0E19E9FC3A6C}"/>
    <cellStyle name="20% - Accent6 3 3 3 2_Jurisdictional Study" xfId="8990" xr:uid="{9C7B0A39-5812-4625-9F0B-CCFA930DF00A}"/>
    <cellStyle name="20% - Accent6 3 3 3 3" xfId="4503" xr:uid="{796F4D41-1E2D-46A8-80B6-2A5E80637DDE}"/>
    <cellStyle name="20% - Accent6 3 3 3_Jurisdictional Study" xfId="8989" xr:uid="{32E6EE31-FB59-436F-A607-46B427BEB3AD}"/>
    <cellStyle name="20% - Accent6 3 3 4" xfId="4504" xr:uid="{93E2282B-07AB-4D30-8019-01460BFEA158}"/>
    <cellStyle name="20% - Accent6 3 3 4 2" xfId="4505" xr:uid="{78B460BD-64AC-40F1-81AF-414E84755784}"/>
    <cellStyle name="20% - Accent6 3 3 4_Jurisdictional Study" xfId="8991" xr:uid="{CB95E9D9-FC5D-4F59-9434-B0CD692AE808}"/>
    <cellStyle name="20% - Accent6 3 3 5" xfId="4506" xr:uid="{6B1F1CAD-2D49-4BA4-8B37-7AA034B08DA7}"/>
    <cellStyle name="20% - Accent6 3 3_Jurisdictional Study" xfId="8984" xr:uid="{63E3EE9C-1108-41E2-874A-C48546E1836E}"/>
    <cellStyle name="20% - Accent6 3 4" xfId="4507" xr:uid="{30129BCD-66B7-4DB0-87EB-BA559681057D}"/>
    <cellStyle name="20% - Accent6 3 4 2" xfId="4508" xr:uid="{49A3752A-C226-4047-9DD2-2000CCBEB3B8}"/>
    <cellStyle name="20% - Accent6 3 4 2 2" xfId="4509" xr:uid="{A4136CF4-5CE5-41C9-BC50-3F867FB08F55}"/>
    <cellStyle name="20% - Accent6 3 4 2 2 2" xfId="4510" xr:uid="{C6EBF084-92C6-4A5C-ACDE-4DF8974341CD}"/>
    <cellStyle name="20% - Accent6 3 4 2 2_Jurisdictional Study" xfId="8994" xr:uid="{1DFA5320-B65F-45CB-8000-86C83032C564}"/>
    <cellStyle name="20% - Accent6 3 4 2 3" xfId="4511" xr:uid="{9A5C9074-525D-4EF5-8CEA-DDB6F8131877}"/>
    <cellStyle name="20% - Accent6 3 4 2_Jurisdictional Study" xfId="8993" xr:uid="{2308CA0A-C815-4C8B-AB1B-1893838F7815}"/>
    <cellStyle name="20% - Accent6 3 4 3" xfId="4512" xr:uid="{60E2F63C-A5D6-4C41-A99D-781C078E3FC1}"/>
    <cellStyle name="20% - Accent6 3 4 3 2" xfId="4513" xr:uid="{37FB2226-1E85-44D2-998E-44EECB081000}"/>
    <cellStyle name="20% - Accent6 3 4 3_Jurisdictional Study" xfId="8995" xr:uid="{29284108-FCEF-4C70-A29E-92854933C8C9}"/>
    <cellStyle name="20% - Accent6 3 4 4" xfId="4514" xr:uid="{7777ADA1-9F65-4076-854E-6B09415E95A6}"/>
    <cellStyle name="20% - Accent6 3 4_Jurisdictional Study" xfId="8992" xr:uid="{1063C0C9-F021-4CB5-A060-A673B40EFE9E}"/>
    <cellStyle name="20% - Accent6 3 5" xfId="4515" xr:uid="{B1F5678E-F169-4D35-BDCA-FCF339B9BFB5}"/>
    <cellStyle name="20% - Accent6 3 5 2" xfId="4516" xr:uid="{AAA21F7C-44E8-4B15-9158-AF016853AA56}"/>
    <cellStyle name="20% - Accent6 3 5 2 2" xfId="4517" xr:uid="{6D0636C9-37D7-4742-B2A8-C3606F7EAC34}"/>
    <cellStyle name="20% - Accent6 3 5 2_Jurisdictional Study" xfId="8997" xr:uid="{64A9FE3B-0602-4BF5-A8B6-C4015736239F}"/>
    <cellStyle name="20% - Accent6 3 5 3" xfId="4518" xr:uid="{EE7735A2-5972-4D12-9617-17CE11305D79}"/>
    <cellStyle name="20% - Accent6 3 5_Jurisdictional Study" xfId="8996" xr:uid="{A27EFBBC-A495-4829-90C5-61AFD63A5F14}"/>
    <cellStyle name="20% - Accent6 3 6" xfId="4519" xr:uid="{943EF765-27B2-46D7-81C0-96E6836FD9AA}"/>
    <cellStyle name="20% - Accent6 3 6 2" xfId="4520" xr:uid="{A9A2CC29-630B-4D97-9B7C-4A06844F358E}"/>
    <cellStyle name="20% - Accent6 3 6_Jurisdictional Study" xfId="8998" xr:uid="{59EC0BEC-71BB-4E78-B382-67FE21780AAD}"/>
    <cellStyle name="20% - Accent6 3 7" xfId="4521" xr:uid="{53CEA226-E9F7-4A7D-B976-E1A734B26ECA}"/>
    <cellStyle name="20% - Accent6 3 8" xfId="4458" xr:uid="{5802F186-1880-441C-AA8F-0FCDE4ACCB4A}"/>
    <cellStyle name="20% - Accent6 3_Jurisdictional Study" xfId="8967" xr:uid="{BC32474E-9C99-4373-B97E-D9C239312F0B}"/>
    <cellStyle name="20% - Accent6 4" xfId="4522" xr:uid="{06FE73BD-A15D-4177-A9FE-FC0144697923}"/>
    <cellStyle name="20% - Accent6 4 2" xfId="4523" xr:uid="{FBB27567-B78C-4F52-985D-14B47B105D5F}"/>
    <cellStyle name="20% - Accent6 4 2 2" xfId="4524" xr:uid="{ABAFA2B5-032E-41EE-8A23-6B37F00BD7C0}"/>
    <cellStyle name="20% - Accent6 4 2 2 2" xfId="4525" xr:uid="{A05DCCFE-B12B-48DB-8994-AC8BD46A2CBC}"/>
    <cellStyle name="20% - Accent6 4 2 2 2 2" xfId="4526" xr:uid="{18351638-B5AE-432B-9EF2-4D15D544FEDF}"/>
    <cellStyle name="20% - Accent6 4 2 2 2 2 2" xfId="4527" xr:uid="{0F20280C-D523-42E2-9E63-4DF554905371}"/>
    <cellStyle name="20% - Accent6 4 2 2 2 2_Jurisdictional Study" xfId="9003" xr:uid="{0FADBD04-6DB3-4231-972B-1F495B82A937}"/>
    <cellStyle name="20% - Accent6 4 2 2 2 3" xfId="4528" xr:uid="{72D7B832-54C1-4FEF-943D-D8F5AC6B1B59}"/>
    <cellStyle name="20% - Accent6 4 2 2 2_Jurisdictional Study" xfId="9002" xr:uid="{3D4C4317-FFB6-4051-B3FA-FE5E09EDFF62}"/>
    <cellStyle name="20% - Accent6 4 2 2 3" xfId="4529" xr:uid="{681877BB-3DD2-400E-8E30-C9988EB0800C}"/>
    <cellStyle name="20% - Accent6 4 2 2 3 2" xfId="4530" xr:uid="{59057486-62CF-43D7-B952-0140DBFEDD6A}"/>
    <cellStyle name="20% - Accent6 4 2 2 3_Jurisdictional Study" xfId="9004" xr:uid="{280D59BF-B871-4D5F-A9E9-3A4D3C6975BD}"/>
    <cellStyle name="20% - Accent6 4 2 2 4" xfId="4531" xr:uid="{0517E2D2-20EA-4053-A917-58817306628B}"/>
    <cellStyle name="20% - Accent6 4 2 2_Jurisdictional Study" xfId="9001" xr:uid="{CB8D8AD9-4B88-41C7-BCD7-DC5297BC28A6}"/>
    <cellStyle name="20% - Accent6 4 2 3" xfId="4532" xr:uid="{6F120EB3-F6F0-42AC-8729-0EA3CAD021AF}"/>
    <cellStyle name="20% - Accent6 4 2 3 2" xfId="4533" xr:uid="{C6AEACB1-B124-4273-B817-B14922753B6E}"/>
    <cellStyle name="20% - Accent6 4 2 3 2 2" xfId="4534" xr:uid="{54E344D6-5BEF-482D-B9B2-4021D619E0DE}"/>
    <cellStyle name="20% - Accent6 4 2 3 2_Jurisdictional Study" xfId="9006" xr:uid="{0D262D0D-019E-4780-B7C8-85894D2778E4}"/>
    <cellStyle name="20% - Accent6 4 2 3 3" xfId="4535" xr:uid="{ADDBC42E-10B7-49C7-8BFE-CDD00B56AC73}"/>
    <cellStyle name="20% - Accent6 4 2 3_Jurisdictional Study" xfId="9005" xr:uid="{62900147-DD38-4C81-95FA-DB43205F2C54}"/>
    <cellStyle name="20% - Accent6 4 2 4" xfId="4536" xr:uid="{77B5685E-D542-42D8-9A05-ECB3D8891311}"/>
    <cellStyle name="20% - Accent6 4 2 4 2" xfId="4537" xr:uid="{F7F8C3D1-C91D-484D-9770-A587538540A2}"/>
    <cellStyle name="20% - Accent6 4 2 4_Jurisdictional Study" xfId="9007" xr:uid="{3F3F1459-306A-44E8-95B9-E70C92E5F2A9}"/>
    <cellStyle name="20% - Accent6 4 2 5" xfId="4538" xr:uid="{AF6E6E9F-0D7E-4796-9F67-F045C70F4DFE}"/>
    <cellStyle name="20% - Accent6 4 2_Jurisdictional Study" xfId="9000" xr:uid="{309DBF44-38D9-469A-8113-3DCCE4BE860D}"/>
    <cellStyle name="20% - Accent6 4 3" xfId="4539" xr:uid="{2BB53330-0473-457E-BA5E-7F04B114841A}"/>
    <cellStyle name="20% - Accent6 4 3 2" xfId="4540" xr:uid="{021E81EA-3400-4C90-85D4-0C2B26E0BAF7}"/>
    <cellStyle name="20% - Accent6 4 3 2 2" xfId="4541" xr:uid="{749C0296-36EF-450A-9AC8-852CDB1D6830}"/>
    <cellStyle name="20% - Accent6 4 3 2 2 2" xfId="4542" xr:uid="{69F1824D-9D33-4564-90C4-FB99DF533CB1}"/>
    <cellStyle name="20% - Accent6 4 3 2 2_Jurisdictional Study" xfId="9010" xr:uid="{21C7AEC2-2451-4DF9-A65A-A3F7FB41A663}"/>
    <cellStyle name="20% - Accent6 4 3 2 3" xfId="4543" xr:uid="{0C996A12-347A-437D-B8C2-60A468082D0E}"/>
    <cellStyle name="20% - Accent6 4 3 2_Jurisdictional Study" xfId="9009" xr:uid="{3E18820D-4E26-4883-9155-FE825E20C1F7}"/>
    <cellStyle name="20% - Accent6 4 3 3" xfId="4544" xr:uid="{11EB06C3-5A6A-4E2C-96B5-0E8D60299EA3}"/>
    <cellStyle name="20% - Accent6 4 3 3 2" xfId="4545" xr:uid="{78EC337B-DF6E-4E65-9632-DD4445FF5E02}"/>
    <cellStyle name="20% - Accent6 4 3 3_Jurisdictional Study" xfId="9011" xr:uid="{9879A0D4-0CBB-4B0B-807F-C184B1913429}"/>
    <cellStyle name="20% - Accent6 4 3 4" xfId="4546" xr:uid="{D6C53A35-044F-458A-AF63-D0A8ABB231A7}"/>
    <cellStyle name="20% - Accent6 4 3_Jurisdictional Study" xfId="9008" xr:uid="{E3378694-3A9E-4B96-AC41-7864014A0B5B}"/>
    <cellStyle name="20% - Accent6 4 4" xfId="4547" xr:uid="{E76D6184-C812-4F6B-8EF0-660AF7A152E4}"/>
    <cellStyle name="20% - Accent6 4 4 2" xfId="4548" xr:uid="{2CBBC18D-5FB0-40EC-BBAC-D8733F95FBB6}"/>
    <cellStyle name="20% - Accent6 4 4 2 2" xfId="4549" xr:uid="{2524DD9C-51C8-4124-AAC0-C878D8ACF8A2}"/>
    <cellStyle name="20% - Accent6 4 4 2_Jurisdictional Study" xfId="9013" xr:uid="{AC8E0B33-426C-4D79-926E-B86364A8D1DC}"/>
    <cellStyle name="20% - Accent6 4 4 3" xfId="4550" xr:uid="{7A031254-56EC-464F-970D-9CC07D2E1C20}"/>
    <cellStyle name="20% - Accent6 4 4_Jurisdictional Study" xfId="9012" xr:uid="{E9D4DF05-CCCF-4814-97C1-0DD33AC99104}"/>
    <cellStyle name="20% - Accent6 4 5" xfId="4551" xr:uid="{0BBB06C7-D981-4BA0-888C-F6A9F5B29562}"/>
    <cellStyle name="20% - Accent6 4 5 2" xfId="4552" xr:uid="{5AFF72D5-1256-4EC3-BC87-30DF51B6FBC0}"/>
    <cellStyle name="20% - Accent6 4 5_Jurisdictional Study" xfId="9014" xr:uid="{BF71B22E-A347-4935-8CA6-9803ABCCC6ED}"/>
    <cellStyle name="20% - Accent6 4 6" xfId="4553" xr:uid="{3B502619-9BC1-4F7D-8C70-B4A370D0A9F0}"/>
    <cellStyle name="20% - Accent6 4_Jurisdictional Study" xfId="8999" xr:uid="{C7A8A180-C678-416A-A86E-C79D4E14F813}"/>
    <cellStyle name="20% - Accent6 5" xfId="4554" xr:uid="{B5AF21BF-CDA4-4BC5-B757-2354A53F54AD}"/>
    <cellStyle name="20% - Accent6 5 2" xfId="4555" xr:uid="{87A64B40-F3BB-425E-88B2-04D054008C2D}"/>
    <cellStyle name="20% - Accent6 5 2 2" xfId="4556" xr:uid="{DA36E5C5-BF14-401A-A61A-8B06FC990F2A}"/>
    <cellStyle name="20% - Accent6 5 2 2 2" xfId="4557" xr:uid="{D323935A-6008-485F-A6B9-D943B4E1C5C4}"/>
    <cellStyle name="20% - Accent6 5 2 2 2 2" xfId="4558" xr:uid="{8C2E90E8-E331-4CA7-80D0-09F62C0508C3}"/>
    <cellStyle name="20% - Accent6 5 2 2 2_Jurisdictional Study" xfId="9018" xr:uid="{D122C5D9-192D-4599-8E21-3D80C07E6D54}"/>
    <cellStyle name="20% - Accent6 5 2 2 3" xfId="4559" xr:uid="{96D83157-9BB0-4B39-8A2A-14A7003C5B4A}"/>
    <cellStyle name="20% - Accent6 5 2 2_Jurisdictional Study" xfId="9017" xr:uid="{608F1B31-B1B5-4924-BBC2-FBB9E755AA38}"/>
    <cellStyle name="20% - Accent6 5 2 3" xfId="4560" xr:uid="{06C32872-131C-4691-9982-0E1A9DF96FED}"/>
    <cellStyle name="20% - Accent6 5 2 3 2" xfId="4561" xr:uid="{5DCB7A67-6A7C-4A14-A669-9275454FAED3}"/>
    <cellStyle name="20% - Accent6 5 2 3_Jurisdictional Study" xfId="9019" xr:uid="{4DD2C300-FAC8-434C-AEF8-4F3A77136BCF}"/>
    <cellStyle name="20% - Accent6 5 2 4" xfId="4562" xr:uid="{A0258B54-4E5C-4DA4-8136-26F123E79EE8}"/>
    <cellStyle name="20% - Accent6 5 2_Jurisdictional Study" xfId="9016" xr:uid="{F7882B1E-A321-45DF-82A6-C84AAD17457B}"/>
    <cellStyle name="20% - Accent6 5 3" xfId="4563" xr:uid="{ED7AD744-BCC1-4395-806B-8E4CA86FEB5D}"/>
    <cellStyle name="20% - Accent6 5 3 2" xfId="4564" xr:uid="{3845A616-C0E9-4C17-B14B-ED07F5C4DC09}"/>
    <cellStyle name="20% - Accent6 5 3 2 2" xfId="4565" xr:uid="{535619C6-9127-405D-8FFE-3231BE409F12}"/>
    <cellStyle name="20% - Accent6 5 3 2_Jurisdictional Study" xfId="9021" xr:uid="{C3D1423F-C5D0-492A-815C-3BF22F5FF350}"/>
    <cellStyle name="20% - Accent6 5 3 3" xfId="4566" xr:uid="{D203BDC1-34F4-48E9-8AF5-04E233FFF6F0}"/>
    <cellStyle name="20% - Accent6 5 3_Jurisdictional Study" xfId="9020" xr:uid="{7030D39D-1349-4EF3-8569-771CF4934096}"/>
    <cellStyle name="20% - Accent6 5 4" xfId="4567" xr:uid="{5662CD39-1644-49E4-A169-E29FCAD1D98C}"/>
    <cellStyle name="20% - Accent6 5 4 2" xfId="4568" xr:uid="{7626912A-AE89-48B9-A611-17FED4DC93EF}"/>
    <cellStyle name="20% - Accent6 5 4_Jurisdictional Study" xfId="9022" xr:uid="{38D63A63-6993-4BAA-9BF2-359C50E97663}"/>
    <cellStyle name="20% - Accent6 5 5" xfId="4569" xr:uid="{22E28574-E8D9-4B3A-ACBA-61A7ED49CBFC}"/>
    <cellStyle name="20% - Accent6 5_Jurisdictional Study" xfId="9015" xr:uid="{FCAAB93C-F2DA-46B6-8DD6-4A548B04D866}"/>
    <cellStyle name="20% - Accent6 6" xfId="4570" xr:uid="{EDB64C6C-CBEA-41D3-A7E9-38FF6ECD04AD}"/>
    <cellStyle name="20% - Accent6 6 2" xfId="4571" xr:uid="{A00C4B5E-6C48-4BE5-89A0-42EECA86810E}"/>
    <cellStyle name="20% - Accent6 6 2 2" xfId="4572" xr:uid="{3D24298D-FB78-4A0C-92E9-7E59BCDE25D6}"/>
    <cellStyle name="20% - Accent6 6 2 2 2" xfId="4573" xr:uid="{3FF76F74-BD1A-4D2E-A437-62A4165371D7}"/>
    <cellStyle name="20% - Accent6 6 2 2_Jurisdictional Study" xfId="9025" xr:uid="{7DE08659-7A64-49A0-8B40-D5C8C9379EF3}"/>
    <cellStyle name="20% - Accent6 6 2 3" xfId="4574" xr:uid="{42543384-8F37-4B72-B8D8-DA32C4836ECD}"/>
    <cellStyle name="20% - Accent6 6 2_Jurisdictional Study" xfId="9024" xr:uid="{5C218A4C-82F3-4CEE-B707-61C83689FA54}"/>
    <cellStyle name="20% - Accent6 6 3" xfId="4575" xr:uid="{C1576011-D5C9-46A5-9462-D1BDC7314C4A}"/>
    <cellStyle name="20% - Accent6 6 3 2" xfId="4576" xr:uid="{74EDF7BD-6662-44FA-AA44-24FC7907EF55}"/>
    <cellStyle name="20% - Accent6 6 3_Jurisdictional Study" xfId="9026" xr:uid="{A51FF498-71DB-4D56-A634-CF124300DF17}"/>
    <cellStyle name="20% - Accent6 6 4" xfId="4577" xr:uid="{C0FBA679-892B-467F-B284-C08162EC184D}"/>
    <cellStyle name="20% - Accent6 6_Jurisdictional Study" xfId="9023" xr:uid="{EAA3CC33-4EEC-4F52-B502-C1A0B6E55D6B}"/>
    <cellStyle name="20% - Accent6 7" xfId="4578" xr:uid="{F026C3D6-2EA6-4B29-8851-D5930F0BAD63}"/>
    <cellStyle name="20% - Accent6 7 2" xfId="4579" xr:uid="{A789D2B2-6994-4E74-AB9C-D000C1BB532C}"/>
    <cellStyle name="20% - Accent6 7 2 2" xfId="4580" xr:uid="{6BAE5C44-1E32-41C6-8E84-6CCB7D70A1E4}"/>
    <cellStyle name="20% - Accent6 7 2 2 2" xfId="4581" xr:uid="{9017891D-4063-43DB-A493-8232D4E6B39E}"/>
    <cellStyle name="20% - Accent6 7 2 2_Jurisdictional Study" xfId="9029" xr:uid="{82406787-BC27-4CB6-B0FC-C8773E811351}"/>
    <cellStyle name="20% - Accent6 7 2 3" xfId="4582" xr:uid="{CB1D15E5-6DC5-40E6-A282-DB0233C0467F}"/>
    <cellStyle name="20% - Accent6 7 2_Jurisdictional Study" xfId="9028" xr:uid="{69496DF2-46D3-4534-A060-0FE58AAC777F}"/>
    <cellStyle name="20% - Accent6 7 3" xfId="4583" xr:uid="{9D82FEB5-3810-4F85-898D-2E74E0004D78}"/>
    <cellStyle name="20% - Accent6 7 3 2" xfId="4584" xr:uid="{1FFA109D-C44A-4B39-829F-604C975E6E0C}"/>
    <cellStyle name="20% - Accent6 7 3_Jurisdictional Study" xfId="9030" xr:uid="{FF4EBE3E-430E-49B6-9D96-145F139104FA}"/>
    <cellStyle name="20% - Accent6 7 4" xfId="4585" xr:uid="{72EE0D61-B4EF-4C4C-B877-791C2C47BE72}"/>
    <cellStyle name="20% - Accent6 7_Jurisdictional Study" xfId="9027" xr:uid="{4B92A6FE-F574-4D31-8E5B-5E0B84752D56}"/>
    <cellStyle name="20% - Accent6 8" xfId="4586" xr:uid="{7D70DF58-2F5A-4D13-8882-29986837B27B}"/>
    <cellStyle name="20% - Accent6 8 2" xfId="4587" xr:uid="{1F95C29E-317F-421B-AEDF-D07F97679CF4}"/>
    <cellStyle name="20% - Accent6 8 2 2" xfId="4588" xr:uid="{1F5530F4-614C-4F06-9FFE-6F26A6073D2C}"/>
    <cellStyle name="20% - Accent6 8 2 2 2" xfId="4589" xr:uid="{E3FFC284-60ED-46DA-ADF3-1C24D192A5E8}"/>
    <cellStyle name="20% - Accent6 8 2 2_Jurisdictional Study" xfId="9033" xr:uid="{D53F7809-9A73-4753-9119-643CCBA19555}"/>
    <cellStyle name="20% - Accent6 8 2 3" xfId="4590" xr:uid="{8494E5AE-9541-4C85-81C4-58D0FFA841B1}"/>
    <cellStyle name="20% - Accent6 8 2_Jurisdictional Study" xfId="9032" xr:uid="{497DA3DB-5D42-465C-9034-CF16E0433A17}"/>
    <cellStyle name="20% - Accent6 8 3" xfId="4591" xr:uid="{9FDA4B06-6324-400C-B43E-9D9ED5F51A68}"/>
    <cellStyle name="20% - Accent6 8 3 2" xfId="4592" xr:uid="{0A219FF5-5263-427A-AE3E-26CC89BC83A0}"/>
    <cellStyle name="20% - Accent6 8 3_Jurisdictional Study" xfId="9034" xr:uid="{3A5AA5BA-2419-48CD-B5E0-9F854A2DD080}"/>
    <cellStyle name="20% - Accent6 8 4" xfId="4593" xr:uid="{A0DBBEE7-C97E-4501-9EA4-8F0BF748983C}"/>
    <cellStyle name="20% - Accent6 8_Jurisdictional Study" xfId="9031" xr:uid="{BD975249-D925-4E6A-A977-86465509CA40}"/>
    <cellStyle name="20% - Accent6 9" xfId="4594" xr:uid="{85B9BAF0-6A95-463C-9B7B-987E3D7DAF35}"/>
    <cellStyle name="20% - Accent6 9 2" xfId="4595" xr:uid="{BD1FB4BD-8A4C-462D-8AC6-3232CE91FD5C}"/>
    <cellStyle name="20% - Accent6 9 2 2" xfId="4596" xr:uid="{4E58395F-A978-4D40-8ECD-7CF10CBB8234}"/>
    <cellStyle name="20% - Accent6 9 2_Jurisdictional Study" xfId="9036" xr:uid="{359B0FFA-1ECC-413E-9BDF-8903702352C4}"/>
    <cellStyle name="20% - Accent6 9 3" xfId="4597" xr:uid="{1AE7DC2F-DED7-4DC9-8E12-59F36CBF2D01}"/>
    <cellStyle name="20% - Accent6 9_Jurisdictional Study" xfId="9035" xr:uid="{0D564FB7-6AD3-41E1-9871-49AD33F8B000}"/>
    <cellStyle name="40% - Accent1" xfId="7" builtinId="31" customBuiltin="1"/>
    <cellStyle name="40% - Accent1 10" xfId="4598" xr:uid="{F6565EB0-3112-4B3B-B6E4-7198AE927749}"/>
    <cellStyle name="40% - Accent1 10 2" xfId="4599" xr:uid="{253CB755-8E22-4E1E-966E-5F62474B6441}"/>
    <cellStyle name="40% - Accent1 10 2 2" xfId="4600" xr:uid="{0088D178-86DD-4EB1-873A-22698B61880E}"/>
    <cellStyle name="40% - Accent1 10 2_Jurisdictional Study" xfId="9038" xr:uid="{837112C6-5042-4849-AF83-29685FA46BF1}"/>
    <cellStyle name="40% - Accent1 10 3" xfId="4601" xr:uid="{E5D64AC5-DA0B-40D4-A2DF-5D3AE8645956}"/>
    <cellStyle name="40% - Accent1 10_Jurisdictional Study" xfId="9037" xr:uid="{0F45033F-B970-4652-9EAD-52420EA76ACE}"/>
    <cellStyle name="40% - Accent1 11" xfId="4602" xr:uid="{C228D61E-5C29-4BEF-A6FF-4FA9D78FE5B2}"/>
    <cellStyle name="40% - Accent1 11 2" xfId="4603" xr:uid="{5DB5E1C0-D184-4379-A20E-4982A841079B}"/>
    <cellStyle name="40% - Accent1 11 2 2" xfId="4604" xr:uid="{EBE6ADBE-52B6-4AF5-9AF5-0075098B9226}"/>
    <cellStyle name="40% - Accent1 11 2_Jurisdictional Study" xfId="9040" xr:uid="{0958E98F-0C58-4890-A6B3-E48AC9C2C053}"/>
    <cellStyle name="40% - Accent1 11 3" xfId="4605" xr:uid="{651921F0-F277-433A-A84E-9098FBFAF9E4}"/>
    <cellStyle name="40% - Accent1 11_Jurisdictional Study" xfId="9039" xr:uid="{B50ECFD0-0D71-4792-8063-5411247A8045}"/>
    <cellStyle name="40% - Accent1 12" xfId="4606" xr:uid="{BBAE5333-415B-4018-9BE4-8CFC2DC2A589}"/>
    <cellStyle name="40% - Accent1 12 2" xfId="4607" xr:uid="{3DDA971B-096F-4EA1-9C64-DFCF3FB76B5D}"/>
    <cellStyle name="40% - Accent1 12_Jurisdictional Study" xfId="9041" xr:uid="{05D12D1D-3F1F-4693-8B9C-59D556C6E307}"/>
    <cellStyle name="40% - Accent1 13" xfId="4608" xr:uid="{2D9A3C97-E214-4CFB-8F90-41FE33BD16B7}"/>
    <cellStyle name="40% - Accent1 14" xfId="3171" xr:uid="{DAB1DF8C-3345-43E7-AFAB-FEB9EE5F427D}"/>
    <cellStyle name="40% - Accent1 2" xfId="253" xr:uid="{33BE5B06-8E6F-446D-978D-E4137FD82D5F}"/>
    <cellStyle name="40% - Accent1 2 2" xfId="4610" xr:uid="{C4F537B6-F1AC-4470-9647-B4BD6A331BF4}"/>
    <cellStyle name="40% - Accent1 2 2 2" xfId="4611" xr:uid="{D2CF35CE-4135-4DDF-8B9C-25CB2E535B77}"/>
    <cellStyle name="40% - Accent1 2 2 2 2" xfId="4612" xr:uid="{8B08189B-CC81-4B4B-B72F-36E717AF9338}"/>
    <cellStyle name="40% - Accent1 2 2 2 2 2" xfId="4613" xr:uid="{2448F8DF-7352-4D1F-81CD-40A48DBDEB65}"/>
    <cellStyle name="40% - Accent1 2 2 2 2 2 2" xfId="4614" xr:uid="{68249D3D-896F-4898-929A-6AAEADEFFE7E}"/>
    <cellStyle name="40% - Accent1 2 2 2 2 2 2 2" xfId="4615" xr:uid="{9903CBD6-DFC1-4646-AD3A-84CDF044903A}"/>
    <cellStyle name="40% - Accent1 2 2 2 2 2 2_Jurisdictional Study" xfId="9046" xr:uid="{3C86ECC5-1ED1-496E-98F7-F5FE7FC36275}"/>
    <cellStyle name="40% - Accent1 2 2 2 2 2 3" xfId="4616" xr:uid="{86FC20A4-3480-494D-AB21-FD5F4959B3A6}"/>
    <cellStyle name="40% - Accent1 2 2 2 2 2_Jurisdictional Study" xfId="9045" xr:uid="{168DA589-D54A-4132-B428-56E3D0B638EE}"/>
    <cellStyle name="40% - Accent1 2 2 2 2 3" xfId="4617" xr:uid="{42B0FAAA-6F57-475C-A38C-103CBCDAA113}"/>
    <cellStyle name="40% - Accent1 2 2 2 2 3 2" xfId="4618" xr:uid="{7EF3EE73-91CE-441A-BD62-F52C8B311419}"/>
    <cellStyle name="40% - Accent1 2 2 2 2 3_Jurisdictional Study" xfId="9047" xr:uid="{CF4C669C-1BD2-421C-9BD0-A49AF541B1BB}"/>
    <cellStyle name="40% - Accent1 2 2 2 2 4" xfId="4619" xr:uid="{44A03F31-7363-4885-B84C-D50BD9F82ABE}"/>
    <cellStyle name="40% - Accent1 2 2 2 2_Jurisdictional Study" xfId="9044" xr:uid="{148E35A4-AFC5-4FA8-937F-A980FDEEA4F7}"/>
    <cellStyle name="40% - Accent1 2 2 2 3" xfId="4620" xr:uid="{90993FA8-015B-4C02-BCA6-88134EF195A6}"/>
    <cellStyle name="40% - Accent1 2 2 2 3 2" xfId="4621" xr:uid="{E9C95A05-42A1-405A-AE14-11A53EE3E519}"/>
    <cellStyle name="40% - Accent1 2 2 2 3 2 2" xfId="4622" xr:uid="{2A4EC16E-D453-4A92-88F4-AF3CD24FB78D}"/>
    <cellStyle name="40% - Accent1 2 2 2 3 2_Jurisdictional Study" xfId="9049" xr:uid="{62AE1C4B-218D-4135-9DC0-BED3D5C241F1}"/>
    <cellStyle name="40% - Accent1 2 2 2 3 3" xfId="4623" xr:uid="{CE05E107-914F-4B2E-88B3-3CA8A486BDBD}"/>
    <cellStyle name="40% - Accent1 2 2 2 3_Jurisdictional Study" xfId="9048" xr:uid="{B4C97A97-9B6B-4BCF-92EA-DCB212EA4B00}"/>
    <cellStyle name="40% - Accent1 2 2 2 4" xfId="4624" xr:uid="{B39500E6-9827-49A7-9356-88B0CEB5A378}"/>
    <cellStyle name="40% - Accent1 2 2 2 4 2" xfId="4625" xr:uid="{9F195A08-7C71-4C54-9B51-EB93077C8503}"/>
    <cellStyle name="40% - Accent1 2 2 2 4_Jurisdictional Study" xfId="9050" xr:uid="{2B4070D9-319E-4DBE-A110-FF0F080022FE}"/>
    <cellStyle name="40% - Accent1 2 2 2 5" xfId="4626" xr:uid="{91F401FD-3289-4F3D-B362-6CFACB179743}"/>
    <cellStyle name="40% - Accent1 2 2 2_Jurisdictional Study" xfId="9043" xr:uid="{1A4E3403-FB51-4242-95E2-88E34BC1C87F}"/>
    <cellStyle name="40% - Accent1 2 2 3" xfId="4627" xr:uid="{E5FB6160-D17F-45E7-B068-35DA315071C7}"/>
    <cellStyle name="40% - Accent1 2 2 3 2" xfId="4628" xr:uid="{3E9DE504-C3CA-4B8D-AE95-1368749A82E5}"/>
    <cellStyle name="40% - Accent1 2 2 3 2 2" xfId="4629" xr:uid="{F82AD699-57E5-4CDB-B00A-25759678E29A}"/>
    <cellStyle name="40% - Accent1 2 2 3 2 2 2" xfId="4630" xr:uid="{59FFF2C3-31B2-4CFA-B790-B745BABDAF79}"/>
    <cellStyle name="40% - Accent1 2 2 3 2 2_Jurisdictional Study" xfId="9053" xr:uid="{A3C65F39-FC0E-4157-8448-532BC876C6DD}"/>
    <cellStyle name="40% - Accent1 2 2 3 2 3" xfId="4631" xr:uid="{0474FF6E-79F4-4458-94F4-2BC53FEA61F5}"/>
    <cellStyle name="40% - Accent1 2 2 3 2_Jurisdictional Study" xfId="9052" xr:uid="{BB09AA3D-639B-4CB7-B267-6E8D347E4F7C}"/>
    <cellStyle name="40% - Accent1 2 2 3 3" xfId="4632" xr:uid="{AB46BFFF-B9D1-41CC-AB69-4F9FF41FE723}"/>
    <cellStyle name="40% - Accent1 2 2 3 3 2" xfId="4633" xr:uid="{FCBDCD7D-EA95-447E-9820-FE8C4699070A}"/>
    <cellStyle name="40% - Accent1 2 2 3 3_Jurisdictional Study" xfId="9054" xr:uid="{87F103F2-8AEC-4E11-9060-4FB46CDE6A38}"/>
    <cellStyle name="40% - Accent1 2 2 3 4" xfId="4634" xr:uid="{816749F1-E01A-44E0-845D-D98B4DBB3601}"/>
    <cellStyle name="40% - Accent1 2 2 3_Jurisdictional Study" xfId="9051" xr:uid="{E48FC374-26D5-4F9D-81D4-4414A50095A0}"/>
    <cellStyle name="40% - Accent1 2 2 4" xfId="4635" xr:uid="{4292007E-52D2-4380-B825-D1B85D080D72}"/>
    <cellStyle name="40% - Accent1 2 2 4 2" xfId="4636" xr:uid="{44329091-88C8-47D4-9075-5E301A2D3F06}"/>
    <cellStyle name="40% - Accent1 2 2 4 2 2" xfId="4637" xr:uid="{C405C4F3-C433-4B11-A48F-5D355EB7A17D}"/>
    <cellStyle name="40% - Accent1 2 2 4 2_Jurisdictional Study" xfId="9056" xr:uid="{F813846B-F173-4798-8204-7057401CCD89}"/>
    <cellStyle name="40% - Accent1 2 2 4 3" xfId="4638" xr:uid="{5D6A2619-88D2-4967-B7F9-75FD389C827B}"/>
    <cellStyle name="40% - Accent1 2 2 4_Jurisdictional Study" xfId="9055" xr:uid="{D48F92DC-6E6D-4B92-A4A0-C0AA685A76A6}"/>
    <cellStyle name="40% - Accent1 2 2 5" xfId="4639" xr:uid="{200B1F5A-46BE-40F3-816C-FF3BBF85856B}"/>
    <cellStyle name="40% - Accent1 2 2 5 2" xfId="4640" xr:uid="{E88F5B66-F7B9-4A43-8A67-FD22CF16B52F}"/>
    <cellStyle name="40% - Accent1 2 2 5_Jurisdictional Study" xfId="9057" xr:uid="{F9310E90-A173-4690-B1BB-9F5533EFDC4B}"/>
    <cellStyle name="40% - Accent1 2 2 6" xfId="4641" xr:uid="{6B01F5FD-01D6-4EA6-8956-FA5DE2B482CE}"/>
    <cellStyle name="40% - Accent1 2 2_Jurisdictional Study" xfId="9042" xr:uid="{5F544ADE-63D5-4A3D-9E83-4A27D2645A20}"/>
    <cellStyle name="40% - Accent1 2 3" xfId="4642" xr:uid="{9E3C0C45-6F01-4123-BB21-95EA8AF2C548}"/>
    <cellStyle name="40% - Accent1 2 3 2" xfId="4643" xr:uid="{9B0EE8B1-0AF3-41C3-8FC1-6CB04D117EEB}"/>
    <cellStyle name="40% - Accent1 2 3 2 2" xfId="4644" xr:uid="{C0AEF15B-32B5-4BE6-A6FD-70C10AACDAA8}"/>
    <cellStyle name="40% - Accent1 2 3 2 2 2" xfId="4645" xr:uid="{733AD0F4-7C6F-4489-A2A6-D97EE0E658FA}"/>
    <cellStyle name="40% - Accent1 2 3 2 2 2 2" xfId="4646" xr:uid="{A647902E-374D-4BCA-ABCB-062C55C74125}"/>
    <cellStyle name="40% - Accent1 2 3 2 2 2_Jurisdictional Study" xfId="9061" xr:uid="{8069C382-2168-4D94-9FD6-6EE06525D591}"/>
    <cellStyle name="40% - Accent1 2 3 2 2 3" xfId="4647" xr:uid="{0CE46489-D139-495F-BC42-8C3AB7A9E5E0}"/>
    <cellStyle name="40% - Accent1 2 3 2 2_Jurisdictional Study" xfId="9060" xr:uid="{7443DD26-8EBE-46E6-A8EA-5A5043E7CBA6}"/>
    <cellStyle name="40% - Accent1 2 3 2 3" xfId="4648" xr:uid="{7D6FA456-1B36-4EB8-99F0-763B40E6E971}"/>
    <cellStyle name="40% - Accent1 2 3 2 3 2" xfId="4649" xr:uid="{B6A267BB-344A-4160-B549-D8B804086187}"/>
    <cellStyle name="40% - Accent1 2 3 2 3_Jurisdictional Study" xfId="9062" xr:uid="{C5CCB758-0209-4052-BADD-A5B7E31F935C}"/>
    <cellStyle name="40% - Accent1 2 3 2 4" xfId="4650" xr:uid="{D116A3E4-F88C-4A47-9A86-AC77D5330138}"/>
    <cellStyle name="40% - Accent1 2 3 2_Jurisdictional Study" xfId="9059" xr:uid="{06A906B7-3161-4435-99E8-BFA92571F09A}"/>
    <cellStyle name="40% - Accent1 2 3 3" xfId="4651" xr:uid="{4166EB73-3A69-45A0-887B-1D9F9A819DBE}"/>
    <cellStyle name="40% - Accent1 2 3 3 2" xfId="4652" xr:uid="{4CF96106-ECE0-4DCC-9476-005684BDACF7}"/>
    <cellStyle name="40% - Accent1 2 3 3 2 2" xfId="4653" xr:uid="{83C04574-1C9E-4EB0-9952-C56F326FD42E}"/>
    <cellStyle name="40% - Accent1 2 3 3 2_Jurisdictional Study" xfId="9064" xr:uid="{4CEF5313-5AD2-4BB3-A537-AD528FDF55CE}"/>
    <cellStyle name="40% - Accent1 2 3 3 3" xfId="4654" xr:uid="{06D23C72-4A7F-4524-B5A8-F6C4BB3E0CC2}"/>
    <cellStyle name="40% - Accent1 2 3 3_Jurisdictional Study" xfId="9063" xr:uid="{FCB74E96-C51D-40A7-9D69-AE84D056577D}"/>
    <cellStyle name="40% - Accent1 2 3 4" xfId="4655" xr:uid="{C6437ECD-04CC-4306-B2A8-4837551F0F53}"/>
    <cellStyle name="40% - Accent1 2 3 4 2" xfId="4656" xr:uid="{C3C9A2C7-7DC2-4513-BF02-724F78628DEC}"/>
    <cellStyle name="40% - Accent1 2 3 4_Jurisdictional Study" xfId="9065" xr:uid="{EF9E93C8-B16B-4DCB-A390-E858D4DFA90A}"/>
    <cellStyle name="40% - Accent1 2 3 5" xfId="4657" xr:uid="{42AB6F19-B1A9-4308-A334-4F9D334F5756}"/>
    <cellStyle name="40% - Accent1 2 3_Jurisdictional Study" xfId="9058" xr:uid="{0BFCF26E-3048-418F-93E3-A932F19991E7}"/>
    <cellStyle name="40% - Accent1 2 4" xfId="4658" xr:uid="{D3289EDE-C4C4-4BEC-8F74-AD07C2DD4B5A}"/>
    <cellStyle name="40% - Accent1 2 4 2" xfId="4659" xr:uid="{F7406F9B-07B3-4C7A-9464-FD149BD889B3}"/>
    <cellStyle name="40% - Accent1 2 4 2 2" xfId="4660" xr:uid="{6793EE0E-00C8-4661-9D5E-E688F1BEFFA4}"/>
    <cellStyle name="40% - Accent1 2 4 2 2 2" xfId="4661" xr:uid="{4DE50422-2675-4A64-B5DE-81F75149015B}"/>
    <cellStyle name="40% - Accent1 2 4 2 2_Jurisdictional Study" xfId="9068" xr:uid="{5E6A6A4B-434B-466A-9088-05CF9108FA1E}"/>
    <cellStyle name="40% - Accent1 2 4 2 3" xfId="4662" xr:uid="{CE00DD90-3FE6-463C-9303-472BB445F799}"/>
    <cellStyle name="40% - Accent1 2 4 2_Jurisdictional Study" xfId="9067" xr:uid="{731C622F-F61A-492B-BBAC-17FAFCEFE88D}"/>
    <cellStyle name="40% - Accent1 2 4 3" xfId="4663" xr:uid="{67F28641-4F31-4FC7-996E-47439F0C9865}"/>
    <cellStyle name="40% - Accent1 2 4 3 2" xfId="4664" xr:uid="{D5584AB8-D2BF-42CE-AF69-CC32AA3D9AFC}"/>
    <cellStyle name="40% - Accent1 2 4 3_Jurisdictional Study" xfId="9069" xr:uid="{DD3FE2DF-2B30-408E-AD88-5E5F5D42F3EA}"/>
    <cellStyle name="40% - Accent1 2 4 4" xfId="4665" xr:uid="{274496A2-F675-4982-879D-090D680FBFCB}"/>
    <cellStyle name="40% - Accent1 2 4_Jurisdictional Study" xfId="9066" xr:uid="{67C6FA54-4F57-4CB9-8492-A1EB87554B43}"/>
    <cellStyle name="40% - Accent1 2 5" xfId="4666" xr:uid="{7A430735-0621-44AB-944F-E94F27D38CCB}"/>
    <cellStyle name="40% - Accent1 2 5 2" xfId="4667" xr:uid="{E3441E3B-D371-475B-B768-71950CBFAEF2}"/>
    <cellStyle name="40% - Accent1 2 5 2 2" xfId="4668" xr:uid="{E505EBA0-E3C8-4BFB-80B1-BE2AC261FA83}"/>
    <cellStyle name="40% - Accent1 2 5 2_Jurisdictional Study" xfId="9071" xr:uid="{7D064D5C-38B4-4AC1-9361-FABF66D9BA28}"/>
    <cellStyle name="40% - Accent1 2 5 3" xfId="4669" xr:uid="{CBBAC9B3-5452-416C-A36B-59F0C946179C}"/>
    <cellStyle name="40% - Accent1 2 5_Jurisdictional Study" xfId="9070" xr:uid="{874555B1-9D66-4BDA-86C3-A0630A6982C6}"/>
    <cellStyle name="40% - Accent1 2 6" xfId="4670" xr:uid="{6A17BA4D-C73C-4754-B7BD-2734B67A0006}"/>
    <cellStyle name="40% - Accent1 2 6 2" xfId="4671" xr:uid="{7D7277DF-8D88-48E5-90CE-51430A17E5A7}"/>
    <cellStyle name="40% - Accent1 2 6_Jurisdictional Study" xfId="9072" xr:uid="{646435A7-8DEF-43B9-879B-B63B019CA852}"/>
    <cellStyle name="40% - Accent1 2 7" xfId="4672" xr:uid="{87EC1FDF-F5D7-4544-8818-B8CA6E7832B6}"/>
    <cellStyle name="40% - Accent1 2 8" xfId="4609" xr:uid="{E8F86E87-ACDC-4584-B2DA-9DC3A1641B00}"/>
    <cellStyle name="40% - Accent1 3" xfId="3210" xr:uid="{024BBEC4-B4BC-4F47-9106-226BF31F7A3E}"/>
    <cellStyle name="40% - Accent1 3 2" xfId="4674" xr:uid="{3E3653D7-1303-48B5-A4EE-CAA9ADC3D5E0}"/>
    <cellStyle name="40% - Accent1 3 2 2" xfId="4675" xr:uid="{67C39940-B324-452C-803F-B707C4DA0EA2}"/>
    <cellStyle name="40% - Accent1 3 2 2 2" xfId="4676" xr:uid="{39B96771-792E-4B54-AC2F-6D6E711EE6D8}"/>
    <cellStyle name="40% - Accent1 3 2 2 2 2" xfId="4677" xr:uid="{970E72B4-3B1D-4919-BA6E-C420FFE27A88}"/>
    <cellStyle name="40% - Accent1 3 2 2 2 2 2" xfId="4678" xr:uid="{59DD331E-9135-4366-A1AE-E371D1AE2B21}"/>
    <cellStyle name="40% - Accent1 3 2 2 2 2 2 2" xfId="4679" xr:uid="{261521F3-C8B8-4986-A7D3-2621A9BE9E71}"/>
    <cellStyle name="40% - Accent1 3 2 2 2 2 2_Jurisdictional Study" xfId="9078" xr:uid="{E9C7FE6C-974A-4340-ADB0-8B4AA403B0EB}"/>
    <cellStyle name="40% - Accent1 3 2 2 2 2 3" xfId="4680" xr:uid="{B1E7E0B3-5CC0-4F8D-820E-1FE3A46525B2}"/>
    <cellStyle name="40% - Accent1 3 2 2 2 2_Jurisdictional Study" xfId="9077" xr:uid="{85C8CCF8-4F1F-49CC-8BBE-F4FBC00CB40E}"/>
    <cellStyle name="40% - Accent1 3 2 2 2 3" xfId="4681" xr:uid="{0D12D104-8E4E-46EE-AEF7-A2ABAD8E547C}"/>
    <cellStyle name="40% - Accent1 3 2 2 2 3 2" xfId="4682" xr:uid="{1C189623-9103-4ADC-88AB-A0942C6C0DBA}"/>
    <cellStyle name="40% - Accent1 3 2 2 2 3_Jurisdictional Study" xfId="9079" xr:uid="{AE00E938-A125-4EFA-B9F7-6A96CFDC640A}"/>
    <cellStyle name="40% - Accent1 3 2 2 2 4" xfId="4683" xr:uid="{4EF4679B-A389-4C55-B491-2B2FBC678692}"/>
    <cellStyle name="40% - Accent1 3 2 2 2_Jurisdictional Study" xfId="9076" xr:uid="{DC9D1AD6-DBFB-4D7A-8DBB-78E0BB26F088}"/>
    <cellStyle name="40% - Accent1 3 2 2 3" xfId="4684" xr:uid="{415BA848-1BAE-4AA4-AF75-A4E6A9FE6E63}"/>
    <cellStyle name="40% - Accent1 3 2 2 3 2" xfId="4685" xr:uid="{2904B4F7-4648-4F20-9FC8-CBD68762C0D0}"/>
    <cellStyle name="40% - Accent1 3 2 2 3 2 2" xfId="4686" xr:uid="{9CE5B89D-3888-423A-8A70-1414755BACB3}"/>
    <cellStyle name="40% - Accent1 3 2 2 3 2_Jurisdictional Study" xfId="9081" xr:uid="{0D19BF7C-A1AB-4CE6-BFD5-7775904741B4}"/>
    <cellStyle name="40% - Accent1 3 2 2 3 3" xfId="4687" xr:uid="{72E5B2B8-48A5-4209-9D0F-9439B8E04217}"/>
    <cellStyle name="40% - Accent1 3 2 2 3_Jurisdictional Study" xfId="9080" xr:uid="{EC57626F-2253-4926-A32F-EBCF5B95462C}"/>
    <cellStyle name="40% - Accent1 3 2 2 4" xfId="4688" xr:uid="{BA92E63C-94FC-4823-ACAA-9646A13E10CB}"/>
    <cellStyle name="40% - Accent1 3 2 2 4 2" xfId="4689" xr:uid="{F512CFE8-6AD3-4EF6-BC27-DD7022E9649B}"/>
    <cellStyle name="40% - Accent1 3 2 2 4_Jurisdictional Study" xfId="9082" xr:uid="{F3347BBE-6978-4536-B4BE-2E012E19C1FA}"/>
    <cellStyle name="40% - Accent1 3 2 2 5" xfId="4690" xr:uid="{E011C6DC-9555-4A98-AB4C-D306F502657E}"/>
    <cellStyle name="40% - Accent1 3 2 2_Jurisdictional Study" xfId="9075" xr:uid="{E6CC0EB9-7D88-42DD-99A8-587D0A243F63}"/>
    <cellStyle name="40% - Accent1 3 2 3" xfId="4691" xr:uid="{3D95BAFE-14D6-4249-9E91-E63E16B080EA}"/>
    <cellStyle name="40% - Accent1 3 2 3 2" xfId="4692" xr:uid="{E92AAD0C-D519-47CA-9249-1928AB64517B}"/>
    <cellStyle name="40% - Accent1 3 2 3 2 2" xfId="4693" xr:uid="{E8A443FA-1480-4DF0-AB79-270E84FCC7BE}"/>
    <cellStyle name="40% - Accent1 3 2 3 2 2 2" xfId="4694" xr:uid="{0A641C4A-24D9-4EE5-B619-919AC346DD1A}"/>
    <cellStyle name="40% - Accent1 3 2 3 2 2_Jurisdictional Study" xfId="9085" xr:uid="{26588E52-0268-4C35-960F-15F0CAF45452}"/>
    <cellStyle name="40% - Accent1 3 2 3 2 3" xfId="4695" xr:uid="{605B324A-FDD1-48E6-B9BE-B8DAED4A651C}"/>
    <cellStyle name="40% - Accent1 3 2 3 2_Jurisdictional Study" xfId="9084" xr:uid="{D1C66EBF-2387-4A44-B3AB-6C421F8C475E}"/>
    <cellStyle name="40% - Accent1 3 2 3 3" xfId="4696" xr:uid="{0C80C50F-E8A6-44BB-85AD-568644A60132}"/>
    <cellStyle name="40% - Accent1 3 2 3 3 2" xfId="4697" xr:uid="{7A44DD21-8E70-461E-8D66-6C7AFF208A81}"/>
    <cellStyle name="40% - Accent1 3 2 3 3_Jurisdictional Study" xfId="9086" xr:uid="{BE40169D-7582-4830-9F8C-145DBC02B1F8}"/>
    <cellStyle name="40% - Accent1 3 2 3 4" xfId="4698" xr:uid="{C4D28943-8D8E-4A0E-9D11-B19B2F9C5737}"/>
    <cellStyle name="40% - Accent1 3 2 3_Jurisdictional Study" xfId="9083" xr:uid="{EEE603C8-D864-463D-BE52-50AFFBA023B7}"/>
    <cellStyle name="40% - Accent1 3 2 4" xfId="4699" xr:uid="{B8E854AA-A526-4689-830C-6E4FDB18226F}"/>
    <cellStyle name="40% - Accent1 3 2 4 2" xfId="4700" xr:uid="{2BE59CEC-344D-4C18-8C57-31010A60505F}"/>
    <cellStyle name="40% - Accent1 3 2 4 2 2" xfId="4701" xr:uid="{62DEF9B3-4267-461E-A689-ACBBEF6E5CE9}"/>
    <cellStyle name="40% - Accent1 3 2 4 2_Jurisdictional Study" xfId="9088" xr:uid="{FA11496B-474E-436C-B964-BB53B232C871}"/>
    <cellStyle name="40% - Accent1 3 2 4 3" xfId="4702" xr:uid="{970C9A8C-8EE3-4190-B703-B0EA66D03A37}"/>
    <cellStyle name="40% - Accent1 3 2 4_Jurisdictional Study" xfId="9087" xr:uid="{408A372F-6F17-4C53-A36C-4A4D53A71029}"/>
    <cellStyle name="40% - Accent1 3 2 5" xfId="4703" xr:uid="{B76F0F9F-8071-4A3E-BD5F-603147CC916E}"/>
    <cellStyle name="40% - Accent1 3 2 5 2" xfId="4704" xr:uid="{9765CA63-96AE-4EF1-B620-BFDDEBBA267D}"/>
    <cellStyle name="40% - Accent1 3 2 5_Jurisdictional Study" xfId="9089" xr:uid="{4BB41A41-3810-4A96-BDF9-E72518B5CCB7}"/>
    <cellStyle name="40% - Accent1 3 2 6" xfId="4705" xr:uid="{E1A4942D-231A-4AB8-A63A-7D28C03ABDA1}"/>
    <cellStyle name="40% - Accent1 3 2_Jurisdictional Study" xfId="9074" xr:uid="{8632D2D2-205E-463B-9881-035D4FB54567}"/>
    <cellStyle name="40% - Accent1 3 3" xfId="4706" xr:uid="{792C417B-A2EF-4B00-8DA2-0FD82B52CFED}"/>
    <cellStyle name="40% - Accent1 3 3 2" xfId="4707" xr:uid="{C9E02DA0-8633-4160-A3E7-61658E2FCF4D}"/>
    <cellStyle name="40% - Accent1 3 3 2 2" xfId="4708" xr:uid="{FB933C48-952C-4052-A068-3E2FE079E583}"/>
    <cellStyle name="40% - Accent1 3 3 2 2 2" xfId="4709" xr:uid="{8C25A2EC-D8F9-46DE-8A3B-6BA3AB3EF2DD}"/>
    <cellStyle name="40% - Accent1 3 3 2 2 2 2" xfId="4710" xr:uid="{DFECD641-F899-4DF9-BF6F-0A4A8676B409}"/>
    <cellStyle name="40% - Accent1 3 3 2 2 2_Jurisdictional Study" xfId="9093" xr:uid="{9AB01294-9CB7-4ED2-A5BC-E8D7DAB948EC}"/>
    <cellStyle name="40% - Accent1 3 3 2 2 3" xfId="4711" xr:uid="{0218692B-BF8E-4F39-B376-7A10FAEED783}"/>
    <cellStyle name="40% - Accent1 3 3 2 2_Jurisdictional Study" xfId="9092" xr:uid="{45B31EE8-C36F-49AF-AA74-6F807E59156D}"/>
    <cellStyle name="40% - Accent1 3 3 2 3" xfId="4712" xr:uid="{4E64E908-76CB-427F-8172-68A81CFDB26E}"/>
    <cellStyle name="40% - Accent1 3 3 2 3 2" xfId="4713" xr:uid="{07A11AC9-0EFC-477D-8C62-F84E12D58A44}"/>
    <cellStyle name="40% - Accent1 3 3 2 3_Jurisdictional Study" xfId="9094" xr:uid="{5C1D8C4B-A6FF-401A-B696-9C266CD99E94}"/>
    <cellStyle name="40% - Accent1 3 3 2 4" xfId="4714" xr:uid="{B59C26A4-A565-4D91-BB4F-6B1C10DC6A3D}"/>
    <cellStyle name="40% - Accent1 3 3 2_Jurisdictional Study" xfId="9091" xr:uid="{5E3B982E-F02E-4DD4-A904-101850766341}"/>
    <cellStyle name="40% - Accent1 3 3 3" xfId="4715" xr:uid="{6F61137B-0E6E-40B6-AA1B-5F4390A95AF6}"/>
    <cellStyle name="40% - Accent1 3 3 3 2" xfId="4716" xr:uid="{3F5F46BA-B534-474B-81E7-18559E175D0E}"/>
    <cellStyle name="40% - Accent1 3 3 3 2 2" xfId="4717" xr:uid="{B9A24655-4F8A-4081-8448-18113FC1DCA8}"/>
    <cellStyle name="40% - Accent1 3 3 3 2_Jurisdictional Study" xfId="9096" xr:uid="{F9309D5E-AC33-481E-BCAD-2D9227A825EC}"/>
    <cellStyle name="40% - Accent1 3 3 3 3" xfId="4718" xr:uid="{55453699-8649-4553-A174-616EB20FB0DE}"/>
    <cellStyle name="40% - Accent1 3 3 3_Jurisdictional Study" xfId="9095" xr:uid="{342CA0F9-506E-48FE-9D85-2387074F6783}"/>
    <cellStyle name="40% - Accent1 3 3 4" xfId="4719" xr:uid="{11B8A144-2DAA-4C41-A9A1-656C3392143A}"/>
    <cellStyle name="40% - Accent1 3 3 4 2" xfId="4720" xr:uid="{336AEA14-33A2-4334-BAF4-06A67487441A}"/>
    <cellStyle name="40% - Accent1 3 3 4_Jurisdictional Study" xfId="9097" xr:uid="{2BDCEC38-23F3-4E17-8BD5-AAF2EA335DAC}"/>
    <cellStyle name="40% - Accent1 3 3 5" xfId="4721" xr:uid="{0CCC9A5E-1663-41A1-9A19-68B3C256D6D4}"/>
    <cellStyle name="40% - Accent1 3 3_Jurisdictional Study" xfId="9090" xr:uid="{B6326D15-5BCE-4EB6-9502-36B29589BD88}"/>
    <cellStyle name="40% - Accent1 3 4" xfId="4722" xr:uid="{824A89B6-AC89-48C5-B7EA-20AF1AF9CA87}"/>
    <cellStyle name="40% - Accent1 3 4 2" xfId="4723" xr:uid="{C5E35C85-78AB-49B6-8008-9A9A69C50041}"/>
    <cellStyle name="40% - Accent1 3 4 2 2" xfId="4724" xr:uid="{D711E9D6-6CC0-48D9-A3FD-E701BF02CE92}"/>
    <cellStyle name="40% - Accent1 3 4 2 2 2" xfId="4725" xr:uid="{ABB0B469-28CF-47F4-98C8-1D888D941229}"/>
    <cellStyle name="40% - Accent1 3 4 2 2_Jurisdictional Study" xfId="9100" xr:uid="{072A389C-B23B-4A00-B88C-905FFFA295BD}"/>
    <cellStyle name="40% - Accent1 3 4 2 3" xfId="4726" xr:uid="{F68B2C20-A590-43CA-8DCC-2CFF770EA1FB}"/>
    <cellStyle name="40% - Accent1 3 4 2_Jurisdictional Study" xfId="9099" xr:uid="{A6A72366-6AA0-4F37-8092-06E308B31E37}"/>
    <cellStyle name="40% - Accent1 3 4 3" xfId="4727" xr:uid="{AB8E2414-D4F7-42FC-BF4A-8DCD8767FAC6}"/>
    <cellStyle name="40% - Accent1 3 4 3 2" xfId="4728" xr:uid="{7A49354A-24B1-4AF0-A541-5C42F423E934}"/>
    <cellStyle name="40% - Accent1 3 4 3_Jurisdictional Study" xfId="9101" xr:uid="{3BBCE91A-7363-4C38-9911-2D7DC3D7D6E6}"/>
    <cellStyle name="40% - Accent1 3 4 4" xfId="4729" xr:uid="{9ED1A042-4AC7-4690-A9DE-626DD6B6AB9B}"/>
    <cellStyle name="40% - Accent1 3 4_Jurisdictional Study" xfId="9098" xr:uid="{95692544-8D25-46EF-95E8-DE3F14695733}"/>
    <cellStyle name="40% - Accent1 3 5" xfId="4730" xr:uid="{8DBB8746-3300-4210-A4F2-F0C30ED740FB}"/>
    <cellStyle name="40% - Accent1 3 5 2" xfId="4731" xr:uid="{55D484C3-D529-40DC-AE86-EF9FADC06C91}"/>
    <cellStyle name="40% - Accent1 3 5 2 2" xfId="4732" xr:uid="{644097F9-18DF-4B55-BA40-8181F658B2DA}"/>
    <cellStyle name="40% - Accent1 3 5 2_Jurisdictional Study" xfId="9103" xr:uid="{72738734-A8B9-48CB-80AD-500C39238938}"/>
    <cellStyle name="40% - Accent1 3 5 3" xfId="4733" xr:uid="{F7287336-92D6-4EBD-96F8-1DDFBFCFA3D2}"/>
    <cellStyle name="40% - Accent1 3 5_Jurisdictional Study" xfId="9102" xr:uid="{5E2E2B35-B7B0-4515-9C3C-1B88BC253273}"/>
    <cellStyle name="40% - Accent1 3 6" xfId="4734" xr:uid="{7DC0E809-EA6B-4B6F-9FCF-11CAC4023EE4}"/>
    <cellStyle name="40% - Accent1 3 6 2" xfId="4735" xr:uid="{22F80450-CBC4-46D4-BE30-CD3A495B5549}"/>
    <cellStyle name="40% - Accent1 3 6_Jurisdictional Study" xfId="9104" xr:uid="{E330A7BF-D922-4392-B3B0-5D9F3059F2F0}"/>
    <cellStyle name="40% - Accent1 3 7" xfId="4736" xr:uid="{6CB3A592-77C5-41A9-A9C8-DD4DA0A69E14}"/>
    <cellStyle name="40% - Accent1 3 8" xfId="4673" xr:uid="{F693492E-EBA2-405D-8673-6C2B8135766B}"/>
    <cellStyle name="40% - Accent1 3_Jurisdictional Study" xfId="9073" xr:uid="{D3213A5A-BFD1-4F62-A504-EAC9F6ADFE73}"/>
    <cellStyle name="40% - Accent1 4" xfId="4737" xr:uid="{014DEA04-1625-4E1C-8712-2A87D7260D86}"/>
    <cellStyle name="40% - Accent1 4 2" xfId="4738" xr:uid="{E5B4EDA7-AA74-4D24-B454-FAF24B22CF69}"/>
    <cellStyle name="40% - Accent1 4 2 2" xfId="4739" xr:uid="{D0C81FAB-B401-46B8-93D7-A1955D0E71B4}"/>
    <cellStyle name="40% - Accent1 4 2 2 2" xfId="4740" xr:uid="{6ACDD2F4-18DF-41D2-A146-8D94A07E8153}"/>
    <cellStyle name="40% - Accent1 4 2 2 2 2" xfId="4741" xr:uid="{3E95D966-1D86-4B69-8833-DCAFAC17B4F6}"/>
    <cellStyle name="40% - Accent1 4 2 2 2 2 2" xfId="4742" xr:uid="{E02DF253-A6AC-48CA-976D-FF117041EED3}"/>
    <cellStyle name="40% - Accent1 4 2 2 2 2_Jurisdictional Study" xfId="9109" xr:uid="{8103BD10-D974-4DF4-A55D-031F6F697AF2}"/>
    <cellStyle name="40% - Accent1 4 2 2 2 3" xfId="4743" xr:uid="{68340332-BABA-4AE8-BB17-0820E5F80225}"/>
    <cellStyle name="40% - Accent1 4 2 2 2_Jurisdictional Study" xfId="9108" xr:uid="{F4F71672-3BD5-453F-842A-123337C39BCC}"/>
    <cellStyle name="40% - Accent1 4 2 2 3" xfId="4744" xr:uid="{D9E4FF52-2FD0-40CC-88CA-707E4B0D5494}"/>
    <cellStyle name="40% - Accent1 4 2 2 3 2" xfId="4745" xr:uid="{B826E809-FD49-438A-8712-BECC5FEFDF57}"/>
    <cellStyle name="40% - Accent1 4 2 2 3_Jurisdictional Study" xfId="9110" xr:uid="{638C47E0-B39D-4179-B9F2-A63F62F4B1D4}"/>
    <cellStyle name="40% - Accent1 4 2 2 4" xfId="4746" xr:uid="{5D139E08-8880-4677-8D25-42489D9A8963}"/>
    <cellStyle name="40% - Accent1 4 2 2_Jurisdictional Study" xfId="9107" xr:uid="{47AA504F-6E2D-4D9A-A6C1-90E7B0E40FDA}"/>
    <cellStyle name="40% - Accent1 4 2 3" xfId="4747" xr:uid="{4CCDAE9E-0276-45EB-B240-75AB6745FA5E}"/>
    <cellStyle name="40% - Accent1 4 2 3 2" xfId="4748" xr:uid="{7AE8879F-2FB9-449A-9B4D-6327A0BC47AE}"/>
    <cellStyle name="40% - Accent1 4 2 3 2 2" xfId="4749" xr:uid="{DD2C33B7-DD71-42E0-82C2-C0706C6A6E41}"/>
    <cellStyle name="40% - Accent1 4 2 3 2_Jurisdictional Study" xfId="9112" xr:uid="{0EF3C2D5-A232-4111-B225-9738B8A5FC56}"/>
    <cellStyle name="40% - Accent1 4 2 3 3" xfId="4750" xr:uid="{703CFDA8-2E63-4789-A147-8BFD7862A54B}"/>
    <cellStyle name="40% - Accent1 4 2 3_Jurisdictional Study" xfId="9111" xr:uid="{8A25D56C-2096-488B-BBF1-4C0F43C20939}"/>
    <cellStyle name="40% - Accent1 4 2 4" xfId="4751" xr:uid="{5A7FDAB7-1FB1-4A7E-8195-37CE167AD065}"/>
    <cellStyle name="40% - Accent1 4 2 4 2" xfId="4752" xr:uid="{01D922CD-FFD0-4451-91F2-C9770B5DA53B}"/>
    <cellStyle name="40% - Accent1 4 2 4_Jurisdictional Study" xfId="9113" xr:uid="{56A02432-7149-4F6B-BA0C-5BD17E55C684}"/>
    <cellStyle name="40% - Accent1 4 2 5" xfId="4753" xr:uid="{DDF273D1-D280-4DF2-AAD6-5823ACD99E6E}"/>
    <cellStyle name="40% - Accent1 4 2_Jurisdictional Study" xfId="9106" xr:uid="{FEFAAC8B-8041-4712-A5BC-440D7457BC5E}"/>
    <cellStyle name="40% - Accent1 4 3" xfId="4754" xr:uid="{91CD86D9-3650-4500-9387-2E765D934DA4}"/>
    <cellStyle name="40% - Accent1 4 3 2" xfId="4755" xr:uid="{9D39DBDA-52E4-4E25-ADF4-38CCD2335BF9}"/>
    <cellStyle name="40% - Accent1 4 3 2 2" xfId="4756" xr:uid="{261E171E-6914-4BFE-B36A-59B2BAEBF289}"/>
    <cellStyle name="40% - Accent1 4 3 2 2 2" xfId="4757" xr:uid="{CE03BDFD-B42E-4F62-8FA7-5A04642B95D4}"/>
    <cellStyle name="40% - Accent1 4 3 2 2_Jurisdictional Study" xfId="9116" xr:uid="{B5E5B530-D2D3-40AB-A78E-4CC305B8231F}"/>
    <cellStyle name="40% - Accent1 4 3 2 3" xfId="4758" xr:uid="{AF95A2BD-DAA8-4FE3-B28E-AE8AF7CAA2B1}"/>
    <cellStyle name="40% - Accent1 4 3 2_Jurisdictional Study" xfId="9115" xr:uid="{3C7318E8-273D-481E-8475-4E6DD6730F8F}"/>
    <cellStyle name="40% - Accent1 4 3 3" xfId="4759" xr:uid="{59EEDC16-CBC4-4C56-856C-DBC60835AAF0}"/>
    <cellStyle name="40% - Accent1 4 3 3 2" xfId="4760" xr:uid="{D1003C30-E2C3-44F7-A34C-3A9A5AC8AC8C}"/>
    <cellStyle name="40% - Accent1 4 3 3_Jurisdictional Study" xfId="9117" xr:uid="{87591F1A-A099-4644-9B4B-BF43C705A973}"/>
    <cellStyle name="40% - Accent1 4 3 4" xfId="4761" xr:uid="{42EC4E68-B108-426D-9380-398301FA6C6B}"/>
    <cellStyle name="40% - Accent1 4 3_Jurisdictional Study" xfId="9114" xr:uid="{76FBE74F-FFB6-4B86-8B1E-DE9289065D0D}"/>
    <cellStyle name="40% - Accent1 4 4" xfId="4762" xr:uid="{765A18E8-89EF-493C-AB2D-4975E231F73A}"/>
    <cellStyle name="40% - Accent1 4 4 2" xfId="4763" xr:uid="{3F376944-9D9B-4FF6-9981-93397F44C918}"/>
    <cellStyle name="40% - Accent1 4 4 2 2" xfId="4764" xr:uid="{C903B2D8-B27B-44FB-9C90-B441DB2CFA8B}"/>
    <cellStyle name="40% - Accent1 4 4 2_Jurisdictional Study" xfId="9119" xr:uid="{2840E0E9-7BE4-410B-BA69-A828FAC0E0E4}"/>
    <cellStyle name="40% - Accent1 4 4 3" xfId="4765" xr:uid="{C2E53FAB-232C-4C44-B1D9-BB50C698B4D4}"/>
    <cellStyle name="40% - Accent1 4 4_Jurisdictional Study" xfId="9118" xr:uid="{E2507A89-5C0E-4B9D-B2E4-A368C82C907D}"/>
    <cellStyle name="40% - Accent1 4 5" xfId="4766" xr:uid="{37641415-EDD4-4EF6-81F8-F30F1D8D2727}"/>
    <cellStyle name="40% - Accent1 4 5 2" xfId="4767" xr:uid="{8D447558-EE99-44EC-9357-CEB0974DC62C}"/>
    <cellStyle name="40% - Accent1 4 5_Jurisdictional Study" xfId="9120" xr:uid="{04A41ABC-4C1C-4BA1-BE42-5E03CE13DD71}"/>
    <cellStyle name="40% - Accent1 4 6" xfId="4768" xr:uid="{3D2CCA13-979E-491F-B0F6-C321653E8EBC}"/>
    <cellStyle name="40% - Accent1 4_Jurisdictional Study" xfId="9105" xr:uid="{97E53920-3149-46F9-8330-8ABD6530478D}"/>
    <cellStyle name="40% - Accent1 5" xfId="4769" xr:uid="{27C59549-D4CB-4E1A-B27A-DEA4E776E058}"/>
    <cellStyle name="40% - Accent1 5 2" xfId="4770" xr:uid="{53DAF636-3C44-49B2-80E7-C087EB2C4C17}"/>
    <cellStyle name="40% - Accent1 5 2 2" xfId="4771" xr:uid="{5579D643-F8E4-48E2-833B-98B6C8269CD2}"/>
    <cellStyle name="40% - Accent1 5 2 2 2" xfId="4772" xr:uid="{3D53216A-6E6B-4CE1-9F81-12DE563D6325}"/>
    <cellStyle name="40% - Accent1 5 2 2 2 2" xfId="4773" xr:uid="{6DFF4F76-571B-4D9B-B450-71E4F966F0CC}"/>
    <cellStyle name="40% - Accent1 5 2 2 2_Jurisdictional Study" xfId="9124" xr:uid="{3DA2A56E-0481-4A90-A4DF-BA9F4AFD2815}"/>
    <cellStyle name="40% - Accent1 5 2 2 3" xfId="4774" xr:uid="{EF63A320-9585-4076-BC2F-8E7AC1C8628D}"/>
    <cellStyle name="40% - Accent1 5 2 2_Jurisdictional Study" xfId="9123" xr:uid="{06907609-077E-43C6-932F-F5BAD50FAFC5}"/>
    <cellStyle name="40% - Accent1 5 2 3" xfId="4775" xr:uid="{F47F056E-15F2-463A-B2DC-1DE55579A551}"/>
    <cellStyle name="40% - Accent1 5 2 3 2" xfId="4776" xr:uid="{38C0B91A-9B11-44C1-886E-87B636D2D964}"/>
    <cellStyle name="40% - Accent1 5 2 3_Jurisdictional Study" xfId="9125" xr:uid="{8CC7EBD9-F160-4F3D-B024-768FE6F580CE}"/>
    <cellStyle name="40% - Accent1 5 2 4" xfId="4777" xr:uid="{A5F98E3F-C84E-43DD-B8E3-FD18A6A4A9AE}"/>
    <cellStyle name="40% - Accent1 5 2_Jurisdictional Study" xfId="9122" xr:uid="{815FBDAE-97E2-43A0-B484-3F7CD567B026}"/>
    <cellStyle name="40% - Accent1 5 3" xfId="4778" xr:uid="{B1774D73-E55B-4B95-9118-9ADEABC59222}"/>
    <cellStyle name="40% - Accent1 5 3 2" xfId="4779" xr:uid="{7931CD33-411D-4CC8-9AA2-BF41FBB06CC4}"/>
    <cellStyle name="40% - Accent1 5 3 2 2" xfId="4780" xr:uid="{8154684F-082B-4421-B483-5D701004D016}"/>
    <cellStyle name="40% - Accent1 5 3 2_Jurisdictional Study" xfId="9127" xr:uid="{52A41C0A-C5C8-4991-902C-0ECB7381E38B}"/>
    <cellStyle name="40% - Accent1 5 3 3" xfId="4781" xr:uid="{C63CA6BC-DFDB-4476-90E3-FB79C92780C6}"/>
    <cellStyle name="40% - Accent1 5 3_Jurisdictional Study" xfId="9126" xr:uid="{D200AE54-A8F7-4683-AA03-BFD044A0ED68}"/>
    <cellStyle name="40% - Accent1 5 4" xfId="4782" xr:uid="{F7CAACE0-A197-45EF-A38E-9FD29F781228}"/>
    <cellStyle name="40% - Accent1 5 4 2" xfId="4783" xr:uid="{DE79D178-92E1-4AFF-AFD8-8B9AADA0A6B4}"/>
    <cellStyle name="40% - Accent1 5 4_Jurisdictional Study" xfId="9128" xr:uid="{7DB6611E-2E32-4096-A9AC-1A74ADCFF194}"/>
    <cellStyle name="40% - Accent1 5 5" xfId="4784" xr:uid="{46671167-967A-4F7B-80C6-60DBE5CD173D}"/>
    <cellStyle name="40% - Accent1 5_Jurisdictional Study" xfId="9121" xr:uid="{30E1E57D-1AE7-4F23-A3D1-E5A6E4CC181F}"/>
    <cellStyle name="40% - Accent1 6" xfId="4785" xr:uid="{3C5C110B-4616-46C7-95FE-B59E3B85A2AF}"/>
    <cellStyle name="40% - Accent1 6 2" xfId="4786" xr:uid="{E515A160-7E42-4E84-9C5E-AF8FF358CFD9}"/>
    <cellStyle name="40% - Accent1 6 2 2" xfId="4787" xr:uid="{0365DE4F-F32C-454A-892C-444DA0E82E96}"/>
    <cellStyle name="40% - Accent1 6 2 2 2" xfId="4788" xr:uid="{7BD7865B-D21B-42DD-B237-157EC07E106D}"/>
    <cellStyle name="40% - Accent1 6 2 2_Jurisdictional Study" xfId="9131" xr:uid="{D523DCCE-DC18-472F-80D5-841DA60652D4}"/>
    <cellStyle name="40% - Accent1 6 2 3" xfId="4789" xr:uid="{57A917A6-A5B5-4FBF-BBA1-115C6AFB957D}"/>
    <cellStyle name="40% - Accent1 6 2_Jurisdictional Study" xfId="9130" xr:uid="{06A15E79-4AE7-47E5-82D4-6B655763F84B}"/>
    <cellStyle name="40% - Accent1 6 3" xfId="4790" xr:uid="{68E8AB00-3A08-4AC8-A59C-B57E3BD3C1A3}"/>
    <cellStyle name="40% - Accent1 6 3 2" xfId="4791" xr:uid="{3ACE7F4D-E494-40E5-8F67-70F8E2C8728C}"/>
    <cellStyle name="40% - Accent1 6 3_Jurisdictional Study" xfId="9132" xr:uid="{632FBBF3-A0A8-4C0F-96AE-E72FBEAAB8F3}"/>
    <cellStyle name="40% - Accent1 6 4" xfId="4792" xr:uid="{EB1C72E3-3EB0-4D0E-8A28-08A9B37952EF}"/>
    <cellStyle name="40% - Accent1 6_Jurisdictional Study" xfId="9129" xr:uid="{099991D0-DA2E-4646-9F01-115CDACAA858}"/>
    <cellStyle name="40% - Accent1 7" xfId="4793" xr:uid="{95348D98-1B3E-4851-A084-9306E7707A14}"/>
    <cellStyle name="40% - Accent1 7 2" xfId="4794" xr:uid="{6968C88B-87A7-426F-A621-DEE65ACF19AB}"/>
    <cellStyle name="40% - Accent1 7 2 2" xfId="4795" xr:uid="{67EFD54D-6147-4E65-A398-3394DD4050B1}"/>
    <cellStyle name="40% - Accent1 7 2 2 2" xfId="4796" xr:uid="{3057071E-A186-4434-9112-4155E5EC8E99}"/>
    <cellStyle name="40% - Accent1 7 2 2_Jurisdictional Study" xfId="9135" xr:uid="{53B01261-9FBD-4B84-9834-33D1308DDFCB}"/>
    <cellStyle name="40% - Accent1 7 2 3" xfId="4797" xr:uid="{0F330616-375C-4277-B7A1-F51F31C50C99}"/>
    <cellStyle name="40% - Accent1 7 2_Jurisdictional Study" xfId="9134" xr:uid="{9800CD44-6185-4E2E-8651-CC7E59A31AB5}"/>
    <cellStyle name="40% - Accent1 7 3" xfId="4798" xr:uid="{B34C4DFB-2397-45C8-B57A-AC836CEF875D}"/>
    <cellStyle name="40% - Accent1 7 3 2" xfId="4799" xr:uid="{6FD37109-DCE8-48B0-9B38-0F0AFCB08CEE}"/>
    <cellStyle name="40% - Accent1 7 3_Jurisdictional Study" xfId="9136" xr:uid="{7FF7E9AC-6DA4-426A-B355-5B285C02171E}"/>
    <cellStyle name="40% - Accent1 7 4" xfId="4800" xr:uid="{FC1D1091-4CD6-4713-B46A-41AC7FF68BA7}"/>
    <cellStyle name="40% - Accent1 7_Jurisdictional Study" xfId="9133" xr:uid="{B3ADF965-2D8D-4DBC-B52B-C1AFC2332EB6}"/>
    <cellStyle name="40% - Accent1 8" xfId="4801" xr:uid="{3EB6766D-ECF8-494A-A1BD-34002CD7A96B}"/>
    <cellStyle name="40% - Accent1 8 2" xfId="4802" xr:uid="{75AB1E6B-4741-4F82-B1EF-84CB0C134A93}"/>
    <cellStyle name="40% - Accent1 8 2 2" xfId="4803" xr:uid="{06183295-C118-4BAC-8CD9-1953CFDB6CA4}"/>
    <cellStyle name="40% - Accent1 8 2 2 2" xfId="4804" xr:uid="{396F076E-2E02-40A4-8B02-AE12D8D6D753}"/>
    <cellStyle name="40% - Accent1 8 2 2_Jurisdictional Study" xfId="9139" xr:uid="{838A7F5C-04C1-485C-ADE1-E8B55C92D429}"/>
    <cellStyle name="40% - Accent1 8 2 3" xfId="4805" xr:uid="{591067E2-F53B-4DE2-84E0-35401B58FC11}"/>
    <cellStyle name="40% - Accent1 8 2_Jurisdictional Study" xfId="9138" xr:uid="{8693B357-2CD2-43D9-8BE6-9827ACF0E54D}"/>
    <cellStyle name="40% - Accent1 8 3" xfId="4806" xr:uid="{AF407384-927B-4B9B-930C-0A7B2A7355C5}"/>
    <cellStyle name="40% - Accent1 8 3 2" xfId="4807" xr:uid="{B4A697AB-6712-4E67-AC17-C9FE3B74E6AD}"/>
    <cellStyle name="40% - Accent1 8 3_Jurisdictional Study" xfId="9140" xr:uid="{D49C961C-D8C9-4550-B267-EABF0D0DD798}"/>
    <cellStyle name="40% - Accent1 8 4" xfId="4808" xr:uid="{4B7EB5C6-646A-4832-BD34-4679FFCE015F}"/>
    <cellStyle name="40% - Accent1 8_Jurisdictional Study" xfId="9137" xr:uid="{62BEE9F7-0AF9-402B-864D-6C59348C0DFC}"/>
    <cellStyle name="40% - Accent1 9" xfId="4809" xr:uid="{C24D813C-3E1F-486E-8D6C-F8BF21827F66}"/>
    <cellStyle name="40% - Accent1 9 2" xfId="4810" xr:uid="{3404E0B8-51E9-47D1-A7E6-7E1C7A27B33A}"/>
    <cellStyle name="40% - Accent1 9 2 2" xfId="4811" xr:uid="{B63EDC5C-7AE3-492C-B3E5-7A4A232AA05F}"/>
    <cellStyle name="40% - Accent1 9 2_Jurisdictional Study" xfId="9142" xr:uid="{3EFFD03E-A11D-4DAC-B412-33EFB7F4E898}"/>
    <cellStyle name="40% - Accent1 9 3" xfId="4812" xr:uid="{0D71834B-28AA-4DE0-9713-0905E44DC964}"/>
    <cellStyle name="40% - Accent1 9_Jurisdictional Study" xfId="9141" xr:uid="{5595DBB9-7F3A-4994-8B6B-10F46958A33C}"/>
    <cellStyle name="40% - Accent2" xfId="8" builtinId="35" customBuiltin="1"/>
    <cellStyle name="40% - Accent2 10" xfId="4813" xr:uid="{B0E21A6B-886F-4349-ABFC-7FB30AC112B2}"/>
    <cellStyle name="40% - Accent2 10 2" xfId="4814" xr:uid="{F0E59D3D-A46F-4DB7-A55B-C85F2EFCDC88}"/>
    <cellStyle name="40% - Accent2 10 2 2" xfId="4815" xr:uid="{3B23DD3A-5A8B-4982-8130-72963415494D}"/>
    <cellStyle name="40% - Accent2 10 2_Jurisdictional Study" xfId="9144" xr:uid="{4FCFAD24-B163-43B8-B697-3B4F3DAEF59F}"/>
    <cellStyle name="40% - Accent2 10 3" xfId="4816" xr:uid="{9CCB3541-7A4C-48D5-A651-9B0DA66C3842}"/>
    <cellStyle name="40% - Accent2 10_Jurisdictional Study" xfId="9143" xr:uid="{F371EFF7-8266-4359-8530-F1EE92A3CF44}"/>
    <cellStyle name="40% - Accent2 11" xfId="4817" xr:uid="{7C017E57-F67C-4AAA-8CDE-6C9B366BECB1}"/>
    <cellStyle name="40% - Accent2 11 2" xfId="4818" xr:uid="{9342DD56-B4DA-4A5E-8D20-88E5CE3E3B99}"/>
    <cellStyle name="40% - Accent2 11 2 2" xfId="4819" xr:uid="{B0537A47-D62B-46BA-9C5F-1EAC059485D0}"/>
    <cellStyle name="40% - Accent2 11 2_Jurisdictional Study" xfId="9146" xr:uid="{E1E8FF75-314B-4F8E-981F-9AB2B4B62296}"/>
    <cellStyle name="40% - Accent2 11 3" xfId="4820" xr:uid="{9F755BD9-8CC6-4C4E-B0A2-50F18086C43B}"/>
    <cellStyle name="40% - Accent2 11_Jurisdictional Study" xfId="9145" xr:uid="{3B8129B4-2EFA-4C66-8115-868215E4900F}"/>
    <cellStyle name="40% - Accent2 12" xfId="4821" xr:uid="{11A18156-081B-4842-8DDD-591297D96FCB}"/>
    <cellStyle name="40% - Accent2 12 2" xfId="4822" xr:uid="{948EA6F9-47AE-4A35-B856-C5F34B948B1C}"/>
    <cellStyle name="40% - Accent2 12_Jurisdictional Study" xfId="9147" xr:uid="{122175CD-7FB2-46BA-A700-18A90487F4F2}"/>
    <cellStyle name="40% - Accent2 13" xfId="4823" xr:uid="{AB967452-9265-4C08-8660-B042256A6FCC}"/>
    <cellStyle name="40% - Accent2 14" xfId="3175" xr:uid="{CB9400F1-72E4-440D-BCB9-647C9F358ECC}"/>
    <cellStyle name="40% - Accent2 2" xfId="254" xr:uid="{26B0306E-6A0E-4A8F-A73D-B605A30E91ED}"/>
    <cellStyle name="40% - Accent2 2 2" xfId="4825" xr:uid="{6A080987-7349-4E54-B237-1445330806D4}"/>
    <cellStyle name="40% - Accent2 2 2 2" xfId="4826" xr:uid="{E67B571C-0772-483A-AAC5-D05A7B846C2B}"/>
    <cellStyle name="40% - Accent2 2 2 2 2" xfId="4827" xr:uid="{C796E2D6-711C-45D0-B7E0-70104DD2777A}"/>
    <cellStyle name="40% - Accent2 2 2 2 2 2" xfId="4828" xr:uid="{338E2217-B147-41DA-B5AE-461DC430D989}"/>
    <cellStyle name="40% - Accent2 2 2 2 2 2 2" xfId="4829" xr:uid="{FC711173-3F4F-4105-9F41-DBF0E11B3D11}"/>
    <cellStyle name="40% - Accent2 2 2 2 2 2 2 2" xfId="4830" xr:uid="{623715D5-5BE3-4FFD-8B32-92142D6CDC59}"/>
    <cellStyle name="40% - Accent2 2 2 2 2 2 2_Jurisdictional Study" xfId="9152" xr:uid="{3CC06CBA-D493-463E-9B8F-DCB8B1FEE400}"/>
    <cellStyle name="40% - Accent2 2 2 2 2 2 3" xfId="4831" xr:uid="{B883CE09-D02C-4D6E-9A73-8515736DA570}"/>
    <cellStyle name="40% - Accent2 2 2 2 2 2_Jurisdictional Study" xfId="9151" xr:uid="{E34DB73C-F71C-4927-8F29-7E7681EF9864}"/>
    <cellStyle name="40% - Accent2 2 2 2 2 3" xfId="4832" xr:uid="{58CAC292-D359-4BE6-A337-C97612A1D05C}"/>
    <cellStyle name="40% - Accent2 2 2 2 2 3 2" xfId="4833" xr:uid="{22ADFF92-BD12-4BC0-AC55-9025C9FA5DB9}"/>
    <cellStyle name="40% - Accent2 2 2 2 2 3_Jurisdictional Study" xfId="9153" xr:uid="{86F271C4-632C-4CA1-885B-B462726ECEFF}"/>
    <cellStyle name="40% - Accent2 2 2 2 2 4" xfId="4834" xr:uid="{5DA5F845-5741-433E-BD49-8F184F0CD086}"/>
    <cellStyle name="40% - Accent2 2 2 2 2_Jurisdictional Study" xfId="9150" xr:uid="{90F726F5-F360-4CE6-A4B6-84FED9EEAFCF}"/>
    <cellStyle name="40% - Accent2 2 2 2 3" xfId="4835" xr:uid="{CD36A777-FC8B-46A4-8C4D-0C6335B46737}"/>
    <cellStyle name="40% - Accent2 2 2 2 3 2" xfId="4836" xr:uid="{EFB519C2-7917-4DE8-9957-9BD992038DC0}"/>
    <cellStyle name="40% - Accent2 2 2 2 3 2 2" xfId="4837" xr:uid="{06384DE8-0546-42B7-8DE8-E425013D1F6B}"/>
    <cellStyle name="40% - Accent2 2 2 2 3 2_Jurisdictional Study" xfId="9155" xr:uid="{475D4D32-BF9F-4600-9527-D8BF718C5854}"/>
    <cellStyle name="40% - Accent2 2 2 2 3 3" xfId="4838" xr:uid="{D8CAF481-9710-425D-986F-2CD01EECFBFB}"/>
    <cellStyle name="40% - Accent2 2 2 2 3_Jurisdictional Study" xfId="9154" xr:uid="{DDF4035A-2E4B-4121-A13D-2892A81EE749}"/>
    <cellStyle name="40% - Accent2 2 2 2 4" xfId="4839" xr:uid="{4BBC40F7-9DA2-44A9-9F58-C4D36BD6795E}"/>
    <cellStyle name="40% - Accent2 2 2 2 4 2" xfId="4840" xr:uid="{C486CFCE-2FB5-47CC-8AB9-4BDAA6982B83}"/>
    <cellStyle name="40% - Accent2 2 2 2 4_Jurisdictional Study" xfId="9156" xr:uid="{FFA77F18-2C0D-4BB6-B0BD-E7B505ED1788}"/>
    <cellStyle name="40% - Accent2 2 2 2 5" xfId="4841" xr:uid="{1107C037-3985-4113-B588-764D6D9A5C67}"/>
    <cellStyle name="40% - Accent2 2 2 2_Jurisdictional Study" xfId="9149" xr:uid="{79DC62AB-9563-43EF-9D33-33DE560F3A07}"/>
    <cellStyle name="40% - Accent2 2 2 3" xfId="4842" xr:uid="{EB09BB23-740F-4774-B871-7A32222DD229}"/>
    <cellStyle name="40% - Accent2 2 2 3 2" xfId="4843" xr:uid="{084FEC0D-5A3E-41B6-B94C-784E97CC4E92}"/>
    <cellStyle name="40% - Accent2 2 2 3 2 2" xfId="4844" xr:uid="{5C6B2B09-6F05-4749-B7BB-393DF554E308}"/>
    <cellStyle name="40% - Accent2 2 2 3 2 2 2" xfId="4845" xr:uid="{5D03AEC9-9942-407D-8C4C-834696813278}"/>
    <cellStyle name="40% - Accent2 2 2 3 2 2_Jurisdictional Study" xfId="9159" xr:uid="{477F20F5-D091-4685-8F62-114CC8B23590}"/>
    <cellStyle name="40% - Accent2 2 2 3 2 3" xfId="4846" xr:uid="{D8FC319B-779B-457B-AF9B-E8CDC0C347DA}"/>
    <cellStyle name="40% - Accent2 2 2 3 2_Jurisdictional Study" xfId="9158" xr:uid="{C448F937-47E3-4D42-BC51-D49EDCD00C74}"/>
    <cellStyle name="40% - Accent2 2 2 3 3" xfId="4847" xr:uid="{54969F63-A026-4F5E-AD3D-D3D5E7B8DED5}"/>
    <cellStyle name="40% - Accent2 2 2 3 3 2" xfId="4848" xr:uid="{647F9E9D-D697-4490-9D23-90BFDADEDDDD}"/>
    <cellStyle name="40% - Accent2 2 2 3 3_Jurisdictional Study" xfId="9160" xr:uid="{19FEB54D-8E9C-4D6E-8169-55918BF5BAAA}"/>
    <cellStyle name="40% - Accent2 2 2 3 4" xfId="4849" xr:uid="{0A090517-02A3-4D9E-BA24-B7404B199A1F}"/>
    <cellStyle name="40% - Accent2 2 2 3_Jurisdictional Study" xfId="9157" xr:uid="{3CA59C6F-6115-4D3E-B7C9-68A3F277277B}"/>
    <cellStyle name="40% - Accent2 2 2 4" xfId="4850" xr:uid="{198EF383-DBF5-4F74-B2D9-0585A1F7FBF5}"/>
    <cellStyle name="40% - Accent2 2 2 4 2" xfId="4851" xr:uid="{B1C71371-61BE-4CAC-9F11-650EFC1448DE}"/>
    <cellStyle name="40% - Accent2 2 2 4 2 2" xfId="4852" xr:uid="{AAAF1884-A933-44C6-B637-6E311CF9DE71}"/>
    <cellStyle name="40% - Accent2 2 2 4 2_Jurisdictional Study" xfId="9162" xr:uid="{FF8111CE-B7EE-4DD4-A0A0-C09DACC34E79}"/>
    <cellStyle name="40% - Accent2 2 2 4 3" xfId="4853" xr:uid="{B6BE5A97-A02C-4F87-8581-290DC7A9E7BA}"/>
    <cellStyle name="40% - Accent2 2 2 4_Jurisdictional Study" xfId="9161" xr:uid="{BA7AB4FB-2343-4F07-B8EC-44BDCCA392A5}"/>
    <cellStyle name="40% - Accent2 2 2 5" xfId="4854" xr:uid="{CC383972-97F8-47CD-AD62-BD05F2D6D2AD}"/>
    <cellStyle name="40% - Accent2 2 2 5 2" xfId="4855" xr:uid="{027A8992-8979-4D9E-8BA5-A707B6C15F36}"/>
    <cellStyle name="40% - Accent2 2 2 5_Jurisdictional Study" xfId="9163" xr:uid="{802F1612-5E7B-4BDE-8B68-ADC86E28D9F3}"/>
    <cellStyle name="40% - Accent2 2 2 6" xfId="4856" xr:uid="{1688A9D7-C325-4BEC-9E74-B53FE6AEB083}"/>
    <cellStyle name="40% - Accent2 2 2_Jurisdictional Study" xfId="9148" xr:uid="{2866EFAA-2815-4466-938F-86CC97460A21}"/>
    <cellStyle name="40% - Accent2 2 3" xfId="4857" xr:uid="{F6131138-13D0-4AEF-B51F-43A7C8D4326B}"/>
    <cellStyle name="40% - Accent2 2 3 2" xfId="4858" xr:uid="{5BC1714D-54DB-4161-9158-E5F538A39F5C}"/>
    <cellStyle name="40% - Accent2 2 3 2 2" xfId="4859" xr:uid="{49D47060-6139-4A76-B50D-65D28B89102A}"/>
    <cellStyle name="40% - Accent2 2 3 2 2 2" xfId="4860" xr:uid="{C13F53DD-160D-46C4-BA29-6717B2DA13F0}"/>
    <cellStyle name="40% - Accent2 2 3 2 2 2 2" xfId="4861" xr:uid="{75FA5435-4E0A-426E-9B63-598270FD76A5}"/>
    <cellStyle name="40% - Accent2 2 3 2 2 2_Jurisdictional Study" xfId="9167" xr:uid="{E0EC7F6A-FCB3-40EF-A7C3-E3E4ECFBB3AD}"/>
    <cellStyle name="40% - Accent2 2 3 2 2 3" xfId="4862" xr:uid="{89871A46-EDAC-4A60-9B09-D6551FA98408}"/>
    <cellStyle name="40% - Accent2 2 3 2 2_Jurisdictional Study" xfId="9166" xr:uid="{59C74471-5DA3-44A1-8544-20819BEF45D2}"/>
    <cellStyle name="40% - Accent2 2 3 2 3" xfId="4863" xr:uid="{E37720AF-A64B-42E7-BC65-F7C6EFC3F1F8}"/>
    <cellStyle name="40% - Accent2 2 3 2 3 2" xfId="4864" xr:uid="{1DDE12E4-1E76-4E5F-AB6F-C61E05FAFEF7}"/>
    <cellStyle name="40% - Accent2 2 3 2 3_Jurisdictional Study" xfId="9168" xr:uid="{2D6FD2D9-905A-4354-86F2-6FD6062D3030}"/>
    <cellStyle name="40% - Accent2 2 3 2 4" xfId="4865" xr:uid="{A2C58ACC-34F0-4BD7-9CE5-0F4B3E924911}"/>
    <cellStyle name="40% - Accent2 2 3 2_Jurisdictional Study" xfId="9165" xr:uid="{6EBA45CC-0C46-4265-ABEE-A85BE33EBCAC}"/>
    <cellStyle name="40% - Accent2 2 3 3" xfId="4866" xr:uid="{83972660-6C4F-4D86-A5F3-81F6704084CF}"/>
    <cellStyle name="40% - Accent2 2 3 3 2" xfId="4867" xr:uid="{EF772607-F996-45E2-B010-8713CF9CA3B1}"/>
    <cellStyle name="40% - Accent2 2 3 3 2 2" xfId="4868" xr:uid="{B1B9104A-7B22-4CA1-B890-E5B38F4952E3}"/>
    <cellStyle name="40% - Accent2 2 3 3 2_Jurisdictional Study" xfId="9170" xr:uid="{1F1256D8-B48E-4620-8B8B-E45AC1532A9A}"/>
    <cellStyle name="40% - Accent2 2 3 3 3" xfId="4869" xr:uid="{0A0E3A26-234F-441A-BA36-7E339ED8CA22}"/>
    <cellStyle name="40% - Accent2 2 3 3_Jurisdictional Study" xfId="9169" xr:uid="{ED404967-8423-4FCE-8D72-CF566CD28AFE}"/>
    <cellStyle name="40% - Accent2 2 3 4" xfId="4870" xr:uid="{76D2C118-7077-46CE-ACAF-E28296C2FC20}"/>
    <cellStyle name="40% - Accent2 2 3 4 2" xfId="4871" xr:uid="{3ACD2F53-C42A-4F5B-98F3-4E4E379E6B02}"/>
    <cellStyle name="40% - Accent2 2 3 4_Jurisdictional Study" xfId="9171" xr:uid="{66A9C291-C3C4-4326-A408-4FC315330A70}"/>
    <cellStyle name="40% - Accent2 2 3 5" xfId="4872" xr:uid="{78141BA9-B7C4-4D35-B08B-77F0FA49D131}"/>
    <cellStyle name="40% - Accent2 2 3_Jurisdictional Study" xfId="9164" xr:uid="{F66D4DE3-BBBC-4639-8D9C-28FB994656E8}"/>
    <cellStyle name="40% - Accent2 2 4" xfId="4873" xr:uid="{667CE0F3-7AB3-4FD9-B4E9-25A873D34C2B}"/>
    <cellStyle name="40% - Accent2 2 4 2" xfId="4874" xr:uid="{A0D050A6-9B57-470B-BB0F-A805E5BCF73B}"/>
    <cellStyle name="40% - Accent2 2 4 2 2" xfId="4875" xr:uid="{5E62C700-DF7A-4C9D-A412-9335646EF708}"/>
    <cellStyle name="40% - Accent2 2 4 2 2 2" xfId="4876" xr:uid="{881E3223-9252-4F7B-A0FD-6C982322B121}"/>
    <cellStyle name="40% - Accent2 2 4 2 2_Jurisdictional Study" xfId="9174" xr:uid="{E0964864-5EC1-4BF5-AA74-E9A81865EDA0}"/>
    <cellStyle name="40% - Accent2 2 4 2 3" xfId="4877" xr:uid="{1639E242-F505-468C-AC23-BFBAE817C53D}"/>
    <cellStyle name="40% - Accent2 2 4 2_Jurisdictional Study" xfId="9173" xr:uid="{4CD31318-4A5F-40C2-94B9-561085BDFDCC}"/>
    <cellStyle name="40% - Accent2 2 4 3" xfId="4878" xr:uid="{AC588BDC-F15F-4990-B250-65550EE721ED}"/>
    <cellStyle name="40% - Accent2 2 4 3 2" xfId="4879" xr:uid="{561DADA2-AADF-42F9-AEC7-D11470AB8EDB}"/>
    <cellStyle name="40% - Accent2 2 4 3_Jurisdictional Study" xfId="9175" xr:uid="{3FD1A4E5-1B70-4332-9D9E-435B861BC023}"/>
    <cellStyle name="40% - Accent2 2 4 4" xfId="4880" xr:uid="{5D959687-1FCE-4D96-98CC-5151F79EA647}"/>
    <cellStyle name="40% - Accent2 2 4_Jurisdictional Study" xfId="9172" xr:uid="{A89F4355-C73F-477E-931E-574E6665D578}"/>
    <cellStyle name="40% - Accent2 2 5" xfId="4881" xr:uid="{5E306E25-A378-46E4-A6C0-0DB7B9E1ADE9}"/>
    <cellStyle name="40% - Accent2 2 5 2" xfId="4882" xr:uid="{087C39EE-30C7-4DBD-B368-D628E9F55C76}"/>
    <cellStyle name="40% - Accent2 2 5 2 2" xfId="4883" xr:uid="{47F502B9-280B-4D4D-A38A-E33116FD0F62}"/>
    <cellStyle name="40% - Accent2 2 5 2_Jurisdictional Study" xfId="9177" xr:uid="{20974686-894C-4EB8-B019-4B12CFCDD84B}"/>
    <cellStyle name="40% - Accent2 2 5 3" xfId="4884" xr:uid="{3DD5377B-92C1-4F5A-A142-62A6B625CE7F}"/>
    <cellStyle name="40% - Accent2 2 5_Jurisdictional Study" xfId="9176" xr:uid="{CBE26A21-1937-4777-AE2A-93338A0BE19D}"/>
    <cellStyle name="40% - Accent2 2 6" xfId="4885" xr:uid="{292412A0-B4CC-4B06-9A55-7C6F93C0BCED}"/>
    <cellStyle name="40% - Accent2 2 6 2" xfId="4886" xr:uid="{7D5A96AC-052D-4AE2-BCA7-FE8B2DFB1CD9}"/>
    <cellStyle name="40% - Accent2 2 6_Jurisdictional Study" xfId="9178" xr:uid="{BDCF8DC9-F4C0-413E-B419-F7ECE7C7B07D}"/>
    <cellStyle name="40% - Accent2 2 7" xfId="4887" xr:uid="{C9C58BD6-6217-4367-84F9-07BEB516895B}"/>
    <cellStyle name="40% - Accent2 2 8" xfId="4824" xr:uid="{3659ADA7-B2D6-4270-A05F-3A5DC00E1C42}"/>
    <cellStyle name="40% - Accent2 3" xfId="3211" xr:uid="{E55D29C5-3F38-4361-8D9E-D9577AF9ABA6}"/>
    <cellStyle name="40% - Accent2 3 2" xfId="4889" xr:uid="{71EC92E7-7001-4079-ACC4-E366A38976E7}"/>
    <cellStyle name="40% - Accent2 3 2 2" xfId="4890" xr:uid="{3BCA5513-91D9-4C0E-A554-3458A3CF4BC0}"/>
    <cellStyle name="40% - Accent2 3 2 2 2" xfId="4891" xr:uid="{63845335-295B-434A-9C5F-9CC6E4E991B3}"/>
    <cellStyle name="40% - Accent2 3 2 2 2 2" xfId="4892" xr:uid="{87E6A889-0D01-4D9F-ADD7-4F93B81B82E3}"/>
    <cellStyle name="40% - Accent2 3 2 2 2 2 2" xfId="4893" xr:uid="{7C0CE4F3-3F52-48A9-9EDD-23EDB7273DC6}"/>
    <cellStyle name="40% - Accent2 3 2 2 2 2 2 2" xfId="4894" xr:uid="{8EB6EE7A-3E93-4F5D-8165-F128A08D5C02}"/>
    <cellStyle name="40% - Accent2 3 2 2 2 2 2_Jurisdictional Study" xfId="9184" xr:uid="{A6438496-5E61-4E22-BF4F-81FFBA11DADF}"/>
    <cellStyle name="40% - Accent2 3 2 2 2 2 3" xfId="4895" xr:uid="{363C0CB3-7482-45BC-94B4-59D47569E7A3}"/>
    <cellStyle name="40% - Accent2 3 2 2 2 2_Jurisdictional Study" xfId="9183" xr:uid="{65B630AA-18A7-4ADB-892B-84717F460995}"/>
    <cellStyle name="40% - Accent2 3 2 2 2 3" xfId="4896" xr:uid="{C31B92C7-71B7-4C4B-A770-C1FCB6543F7A}"/>
    <cellStyle name="40% - Accent2 3 2 2 2 3 2" xfId="4897" xr:uid="{6BCE7A63-AB76-46EE-847A-B77FF5E11A41}"/>
    <cellStyle name="40% - Accent2 3 2 2 2 3_Jurisdictional Study" xfId="9185" xr:uid="{05FC2641-8C13-414A-A33B-D6CE7336A727}"/>
    <cellStyle name="40% - Accent2 3 2 2 2 4" xfId="4898" xr:uid="{D8ED5253-2633-4D43-960A-207E2F34E241}"/>
    <cellStyle name="40% - Accent2 3 2 2 2_Jurisdictional Study" xfId="9182" xr:uid="{48BE1AC8-DA7E-4A95-914D-B267FB8DDEEC}"/>
    <cellStyle name="40% - Accent2 3 2 2 3" xfId="4899" xr:uid="{03258516-5B2A-473E-87B2-6D88FCBAE319}"/>
    <cellStyle name="40% - Accent2 3 2 2 3 2" xfId="4900" xr:uid="{5FD4BC81-F1A7-4909-BD7C-1170FB511C57}"/>
    <cellStyle name="40% - Accent2 3 2 2 3 2 2" xfId="4901" xr:uid="{51C6147A-3525-4A4C-A6DD-594AA570A813}"/>
    <cellStyle name="40% - Accent2 3 2 2 3 2_Jurisdictional Study" xfId="9187" xr:uid="{0B9CADCD-AF62-41ED-A4C6-117A91E3EE01}"/>
    <cellStyle name="40% - Accent2 3 2 2 3 3" xfId="4902" xr:uid="{CE6FBA3C-6AD7-400A-85A6-BC8A0D13F04F}"/>
    <cellStyle name="40% - Accent2 3 2 2 3_Jurisdictional Study" xfId="9186" xr:uid="{529D96E7-48A1-45C6-A807-4083483DAD38}"/>
    <cellStyle name="40% - Accent2 3 2 2 4" xfId="4903" xr:uid="{73D4F1FD-08DA-4656-95E4-BDA255402BEA}"/>
    <cellStyle name="40% - Accent2 3 2 2 4 2" xfId="4904" xr:uid="{DB251AEE-661C-4AF9-AB69-B41C5ECDF005}"/>
    <cellStyle name="40% - Accent2 3 2 2 4_Jurisdictional Study" xfId="9188" xr:uid="{C2D669C4-A6E7-459E-B261-82F7C7E097FB}"/>
    <cellStyle name="40% - Accent2 3 2 2 5" xfId="4905" xr:uid="{2B9A0580-693A-4513-8012-6441BE9A9DDF}"/>
    <cellStyle name="40% - Accent2 3 2 2_Jurisdictional Study" xfId="9181" xr:uid="{72ACB1C3-8E11-4C96-B6F6-7F9F0F9B7E79}"/>
    <cellStyle name="40% - Accent2 3 2 3" xfId="4906" xr:uid="{1F0EABAF-0B4E-4458-BD85-57231759F4F3}"/>
    <cellStyle name="40% - Accent2 3 2 3 2" xfId="4907" xr:uid="{02BF9E66-912B-4979-AF48-62E46206DEB9}"/>
    <cellStyle name="40% - Accent2 3 2 3 2 2" xfId="4908" xr:uid="{9C7E500B-9578-424F-91E4-1C8CE86B226D}"/>
    <cellStyle name="40% - Accent2 3 2 3 2 2 2" xfId="4909" xr:uid="{BCB3AAD5-53FB-48A1-A639-771EF974B342}"/>
    <cellStyle name="40% - Accent2 3 2 3 2 2_Jurisdictional Study" xfId="9191" xr:uid="{F0B662FA-6FB1-4037-B145-04537DB3DB83}"/>
    <cellStyle name="40% - Accent2 3 2 3 2 3" xfId="4910" xr:uid="{416AEB68-8F8F-40EF-B47D-AC345D745B6B}"/>
    <cellStyle name="40% - Accent2 3 2 3 2_Jurisdictional Study" xfId="9190" xr:uid="{37214517-7EA7-4E68-9A36-F4E90B705292}"/>
    <cellStyle name="40% - Accent2 3 2 3 3" xfId="4911" xr:uid="{67CA1510-7FD7-4B5D-9A35-029198DE5918}"/>
    <cellStyle name="40% - Accent2 3 2 3 3 2" xfId="4912" xr:uid="{A64F1380-CEE1-47FD-8AB6-906B224A5E4C}"/>
    <cellStyle name="40% - Accent2 3 2 3 3_Jurisdictional Study" xfId="9192" xr:uid="{B0BCB6A2-945B-421B-8433-3B4D9BA245CF}"/>
    <cellStyle name="40% - Accent2 3 2 3 4" xfId="4913" xr:uid="{C2FF5B75-5F9C-40A8-B875-B96AD5B69E3F}"/>
    <cellStyle name="40% - Accent2 3 2 3_Jurisdictional Study" xfId="9189" xr:uid="{3EA4B8A3-7CD2-468E-9D23-375DD8B49611}"/>
    <cellStyle name="40% - Accent2 3 2 4" xfId="4914" xr:uid="{CABF8B6A-8A4A-4226-A15A-A9BD4A112D60}"/>
    <cellStyle name="40% - Accent2 3 2 4 2" xfId="4915" xr:uid="{38C3FFAF-EE9D-4D68-99B8-3E6D152A6308}"/>
    <cellStyle name="40% - Accent2 3 2 4 2 2" xfId="4916" xr:uid="{108F0FE2-936A-43F9-A85D-26EF1B51FF16}"/>
    <cellStyle name="40% - Accent2 3 2 4 2_Jurisdictional Study" xfId="9194" xr:uid="{45FFF56B-F300-46B5-8A5A-5BE584E4BF78}"/>
    <cellStyle name="40% - Accent2 3 2 4 3" xfId="4917" xr:uid="{4F550CD6-7825-473A-92BA-7097C5F0DA40}"/>
    <cellStyle name="40% - Accent2 3 2 4_Jurisdictional Study" xfId="9193" xr:uid="{0B5F9196-617B-411D-9589-03796D874CD0}"/>
    <cellStyle name="40% - Accent2 3 2 5" xfId="4918" xr:uid="{13CD691D-2A7E-4B52-8BE0-C568C5B32682}"/>
    <cellStyle name="40% - Accent2 3 2 5 2" xfId="4919" xr:uid="{7595A202-B9EC-43F5-9793-7C0B394F3CF2}"/>
    <cellStyle name="40% - Accent2 3 2 5_Jurisdictional Study" xfId="9195" xr:uid="{387BCA22-F3A6-4231-B06D-95457ED3BD6C}"/>
    <cellStyle name="40% - Accent2 3 2 6" xfId="4920" xr:uid="{48E0F69D-82D8-4DBD-B07A-C722297DB79F}"/>
    <cellStyle name="40% - Accent2 3 2_Jurisdictional Study" xfId="9180" xr:uid="{F2C34C63-DB85-4689-A3D2-14E95DB0683B}"/>
    <cellStyle name="40% - Accent2 3 3" xfId="4921" xr:uid="{415E5BEE-0725-4546-A912-AC3EC623A40D}"/>
    <cellStyle name="40% - Accent2 3 3 2" xfId="4922" xr:uid="{7D883188-B9FF-473F-A678-C2B98613C7A9}"/>
    <cellStyle name="40% - Accent2 3 3 2 2" xfId="4923" xr:uid="{023905F7-2096-4D6F-8BF6-67B0420D0093}"/>
    <cellStyle name="40% - Accent2 3 3 2 2 2" xfId="4924" xr:uid="{30AE3ADF-2DA9-4555-A350-CAB6E3D1F4A3}"/>
    <cellStyle name="40% - Accent2 3 3 2 2 2 2" xfId="4925" xr:uid="{9612E3E4-5CC3-46A9-9A7D-B99F1DC20CA6}"/>
    <cellStyle name="40% - Accent2 3 3 2 2 2_Jurisdictional Study" xfId="9199" xr:uid="{4FC1E567-0E70-4164-8B26-2373E3531CF7}"/>
    <cellStyle name="40% - Accent2 3 3 2 2 3" xfId="4926" xr:uid="{551BC3F5-A129-4249-9216-C9AB38862A7A}"/>
    <cellStyle name="40% - Accent2 3 3 2 2_Jurisdictional Study" xfId="9198" xr:uid="{7DB6135D-FE1F-49F6-8E22-B2E2A2E2C9B0}"/>
    <cellStyle name="40% - Accent2 3 3 2 3" xfId="4927" xr:uid="{806E8DEF-0D29-44F0-A899-285D459CC4D1}"/>
    <cellStyle name="40% - Accent2 3 3 2 3 2" xfId="4928" xr:uid="{C99B7BB5-8665-4C88-ACFA-DCA478A2B11C}"/>
    <cellStyle name="40% - Accent2 3 3 2 3_Jurisdictional Study" xfId="9200" xr:uid="{ACD29EEC-FE5F-41D7-B8EE-6A207F4B242E}"/>
    <cellStyle name="40% - Accent2 3 3 2 4" xfId="4929" xr:uid="{14DEED04-5112-4773-A4E7-893318545943}"/>
    <cellStyle name="40% - Accent2 3 3 2_Jurisdictional Study" xfId="9197" xr:uid="{C88BB91D-9A9A-4289-A0AD-EC042B447BA0}"/>
    <cellStyle name="40% - Accent2 3 3 3" xfId="4930" xr:uid="{3E077F5F-4C5D-4921-9B6F-65AD1F3377BA}"/>
    <cellStyle name="40% - Accent2 3 3 3 2" xfId="4931" xr:uid="{8C6F6CE7-2C70-4C80-804B-BFFF47EC3322}"/>
    <cellStyle name="40% - Accent2 3 3 3 2 2" xfId="4932" xr:uid="{1CC54ED3-D338-4647-8480-FEC9D302EB18}"/>
    <cellStyle name="40% - Accent2 3 3 3 2_Jurisdictional Study" xfId="9202" xr:uid="{2BF60BD7-D1DA-44AE-AC7A-7C80F488D970}"/>
    <cellStyle name="40% - Accent2 3 3 3 3" xfId="4933" xr:uid="{72693510-B7B6-4838-9342-83829E0E8A02}"/>
    <cellStyle name="40% - Accent2 3 3 3_Jurisdictional Study" xfId="9201" xr:uid="{26063530-D946-49DC-A5F5-386B21092250}"/>
    <cellStyle name="40% - Accent2 3 3 4" xfId="4934" xr:uid="{5F9D2FFC-304F-433C-B94D-399DF421C5F2}"/>
    <cellStyle name="40% - Accent2 3 3 4 2" xfId="4935" xr:uid="{3E57C2C7-BC42-4045-A0BE-070832E6D1B6}"/>
    <cellStyle name="40% - Accent2 3 3 4_Jurisdictional Study" xfId="9203" xr:uid="{F846DEEA-9AB4-4143-BCC6-BDB8679DEAF5}"/>
    <cellStyle name="40% - Accent2 3 3 5" xfId="4936" xr:uid="{A9B3DF17-C19D-42EA-8A11-B70E3F3D7162}"/>
    <cellStyle name="40% - Accent2 3 3_Jurisdictional Study" xfId="9196" xr:uid="{B96C4067-8E4B-4CE8-8B68-8BC58CE63CCC}"/>
    <cellStyle name="40% - Accent2 3 4" xfId="4937" xr:uid="{0AF71735-7085-46CF-A03F-931A3E2D6265}"/>
    <cellStyle name="40% - Accent2 3 4 2" xfId="4938" xr:uid="{E06C330F-116F-4EAE-A0B2-B8780EEDB5C8}"/>
    <cellStyle name="40% - Accent2 3 4 2 2" xfId="4939" xr:uid="{3D2BAABF-B1B9-4D00-A738-829901E77188}"/>
    <cellStyle name="40% - Accent2 3 4 2 2 2" xfId="4940" xr:uid="{FFB6B974-DCFE-4675-8F1E-333FDCF7D795}"/>
    <cellStyle name="40% - Accent2 3 4 2 2_Jurisdictional Study" xfId="9206" xr:uid="{2FD48CA8-046D-4E52-8141-FC3F85571C58}"/>
    <cellStyle name="40% - Accent2 3 4 2 3" xfId="4941" xr:uid="{AA8F4E1E-53DC-4EBF-B7EF-A6396F28BB92}"/>
    <cellStyle name="40% - Accent2 3 4 2_Jurisdictional Study" xfId="9205" xr:uid="{0AEEEDF6-7666-4974-8B6E-CFECB4931B66}"/>
    <cellStyle name="40% - Accent2 3 4 3" xfId="4942" xr:uid="{D0A729AB-1DED-4B81-BF2D-76475F16F5A3}"/>
    <cellStyle name="40% - Accent2 3 4 3 2" xfId="4943" xr:uid="{AEBE7992-5169-497B-A2B8-D2E31C8DFF26}"/>
    <cellStyle name="40% - Accent2 3 4 3_Jurisdictional Study" xfId="9207" xr:uid="{9BB2FEAA-031B-4359-9311-0FDD9E1BF4DF}"/>
    <cellStyle name="40% - Accent2 3 4 4" xfId="4944" xr:uid="{89542213-0D76-40D4-91D3-86548B791D1E}"/>
    <cellStyle name="40% - Accent2 3 4_Jurisdictional Study" xfId="9204" xr:uid="{4D2034DC-F4DB-4DD5-ABCB-92E0DE7722AC}"/>
    <cellStyle name="40% - Accent2 3 5" xfId="4945" xr:uid="{6544BAD8-990D-4010-A372-CDF0DBAF23B8}"/>
    <cellStyle name="40% - Accent2 3 5 2" xfId="4946" xr:uid="{C059D66A-0D24-4006-B213-06C3D16D856B}"/>
    <cellStyle name="40% - Accent2 3 5 2 2" xfId="4947" xr:uid="{CADA9954-9208-447A-89C5-762E0ABEFDD4}"/>
    <cellStyle name="40% - Accent2 3 5 2_Jurisdictional Study" xfId="9209" xr:uid="{4A1339A6-9C91-4FBC-BC38-C46C68CDC733}"/>
    <cellStyle name="40% - Accent2 3 5 3" xfId="4948" xr:uid="{356D88A0-F651-49A3-89D3-C0DC39B1EEB6}"/>
    <cellStyle name="40% - Accent2 3 5_Jurisdictional Study" xfId="9208" xr:uid="{0D59826D-B2EF-4C30-8502-41F756E76E33}"/>
    <cellStyle name="40% - Accent2 3 6" xfId="4949" xr:uid="{C1A61637-D722-4EDE-AD2B-CC23F44ACF5C}"/>
    <cellStyle name="40% - Accent2 3 6 2" xfId="4950" xr:uid="{5B75E604-58EF-4919-ACBF-8B93F71433B7}"/>
    <cellStyle name="40% - Accent2 3 6_Jurisdictional Study" xfId="9210" xr:uid="{5A7B2D90-19C3-46FF-A464-48BFA7E8AA74}"/>
    <cellStyle name="40% - Accent2 3 7" xfId="4951" xr:uid="{AD0A4CDC-D27B-4F54-9928-651987C68096}"/>
    <cellStyle name="40% - Accent2 3 8" xfId="4888" xr:uid="{46560EC4-0DD5-48A1-8077-11ED89CE4113}"/>
    <cellStyle name="40% - Accent2 3_Jurisdictional Study" xfId="9179" xr:uid="{F8C748B0-0379-4692-A073-5BA2AB68E0D8}"/>
    <cellStyle name="40% - Accent2 4" xfId="4952" xr:uid="{1D829DC8-7478-496F-802A-982276962C99}"/>
    <cellStyle name="40% - Accent2 4 2" xfId="4953" xr:uid="{B2673ACC-76A4-451F-8BE7-B46E9CB2AA17}"/>
    <cellStyle name="40% - Accent2 4 2 2" xfId="4954" xr:uid="{0FE54C33-77E4-4FC0-99DA-0F9922924A76}"/>
    <cellStyle name="40% - Accent2 4 2 2 2" xfId="4955" xr:uid="{7D86F6E0-D90B-42F9-83D9-8B06BEF58DB7}"/>
    <cellStyle name="40% - Accent2 4 2 2 2 2" xfId="4956" xr:uid="{08724583-D04B-48C2-9067-6F16ED325DBE}"/>
    <cellStyle name="40% - Accent2 4 2 2 2 2 2" xfId="4957" xr:uid="{2858A8E6-4585-42F0-B49B-B78F510AB2AF}"/>
    <cellStyle name="40% - Accent2 4 2 2 2 2_Jurisdictional Study" xfId="9215" xr:uid="{D7A88299-B1D4-4378-937A-37838A08163D}"/>
    <cellStyle name="40% - Accent2 4 2 2 2 3" xfId="4958" xr:uid="{7E1EB995-639A-43F6-8895-B7BD40D17A58}"/>
    <cellStyle name="40% - Accent2 4 2 2 2_Jurisdictional Study" xfId="9214" xr:uid="{43EBA75C-83B3-4B50-B039-31C178CE854D}"/>
    <cellStyle name="40% - Accent2 4 2 2 3" xfId="4959" xr:uid="{543B11AB-194B-47CD-8B52-E8182A08832D}"/>
    <cellStyle name="40% - Accent2 4 2 2 3 2" xfId="4960" xr:uid="{E3D377A3-C083-4CE4-81FA-42C0B419F46F}"/>
    <cellStyle name="40% - Accent2 4 2 2 3_Jurisdictional Study" xfId="9216" xr:uid="{8307C8A9-518C-4B77-A937-1CB64C2FF0F0}"/>
    <cellStyle name="40% - Accent2 4 2 2 4" xfId="4961" xr:uid="{F39C0BDC-12CC-4202-B0B5-97EFFBC4CB47}"/>
    <cellStyle name="40% - Accent2 4 2 2_Jurisdictional Study" xfId="9213" xr:uid="{0C835855-3E2D-4B58-835C-DE9E753C8E40}"/>
    <cellStyle name="40% - Accent2 4 2 3" xfId="4962" xr:uid="{62AA0963-42C8-47C9-99B9-3621BD6B8478}"/>
    <cellStyle name="40% - Accent2 4 2 3 2" xfId="4963" xr:uid="{0046A65B-3A16-4CBD-AF88-CAA09A0052F4}"/>
    <cellStyle name="40% - Accent2 4 2 3 2 2" xfId="4964" xr:uid="{BA0F836A-F2C9-4604-AFD1-378D28C55E93}"/>
    <cellStyle name="40% - Accent2 4 2 3 2_Jurisdictional Study" xfId="9218" xr:uid="{C9BDB273-9293-49DB-987E-0FDA469934D2}"/>
    <cellStyle name="40% - Accent2 4 2 3 3" xfId="4965" xr:uid="{92243CE2-81A1-4FB9-AB12-298352AF8FCE}"/>
    <cellStyle name="40% - Accent2 4 2 3_Jurisdictional Study" xfId="9217" xr:uid="{F5338982-F588-4DFD-BDD7-7464E01A49D3}"/>
    <cellStyle name="40% - Accent2 4 2 4" xfId="4966" xr:uid="{4F9F54ED-4280-4994-B0AE-0158FD9542BC}"/>
    <cellStyle name="40% - Accent2 4 2 4 2" xfId="4967" xr:uid="{29BEF171-B10B-4424-B961-33B126E8D844}"/>
    <cellStyle name="40% - Accent2 4 2 4_Jurisdictional Study" xfId="9219" xr:uid="{77A9D1BF-050A-4293-8590-43C208EFCAEE}"/>
    <cellStyle name="40% - Accent2 4 2 5" xfId="4968" xr:uid="{AC723134-D72B-4DFE-B7BF-D0C9833626FC}"/>
    <cellStyle name="40% - Accent2 4 2_Jurisdictional Study" xfId="9212" xr:uid="{02C276B8-9F79-449A-9CE2-FC29E1F99F7A}"/>
    <cellStyle name="40% - Accent2 4 3" xfId="4969" xr:uid="{09D4A703-EF29-4A0D-A561-9DE792795957}"/>
    <cellStyle name="40% - Accent2 4 3 2" xfId="4970" xr:uid="{C4962CFD-FD5A-4F2D-B41B-EC8BA5E7C479}"/>
    <cellStyle name="40% - Accent2 4 3 2 2" xfId="4971" xr:uid="{95A7D5B5-1B2C-4071-ABF7-42980FBD3238}"/>
    <cellStyle name="40% - Accent2 4 3 2 2 2" xfId="4972" xr:uid="{A86D3FFB-85D5-4D44-ABA0-3FE9B5BCB418}"/>
    <cellStyle name="40% - Accent2 4 3 2 2_Jurisdictional Study" xfId="9222" xr:uid="{409E76B3-A7C5-443C-8F6B-1A274CD5D095}"/>
    <cellStyle name="40% - Accent2 4 3 2 3" xfId="4973" xr:uid="{276CD4E7-287E-44D2-B17A-010A3A87C030}"/>
    <cellStyle name="40% - Accent2 4 3 2_Jurisdictional Study" xfId="9221" xr:uid="{0B401105-BA67-4C55-B956-B5807B2C0280}"/>
    <cellStyle name="40% - Accent2 4 3 3" xfId="4974" xr:uid="{4C49B0FF-8482-4249-B785-D3F292651A0C}"/>
    <cellStyle name="40% - Accent2 4 3 3 2" xfId="4975" xr:uid="{D93D71FA-76F5-4464-AE74-B7F08F48991F}"/>
    <cellStyle name="40% - Accent2 4 3 3_Jurisdictional Study" xfId="9223" xr:uid="{5F10FEB0-BEEE-49E2-BBCE-0B927C13E7CD}"/>
    <cellStyle name="40% - Accent2 4 3 4" xfId="4976" xr:uid="{3916390B-A0EE-4910-B7EE-5CF348B86E56}"/>
    <cellStyle name="40% - Accent2 4 3_Jurisdictional Study" xfId="9220" xr:uid="{AD11CA4E-5F3C-4663-AAEF-C71D245E03AC}"/>
    <cellStyle name="40% - Accent2 4 4" xfId="4977" xr:uid="{C6A111B5-7100-443C-99D0-7813998BFA3D}"/>
    <cellStyle name="40% - Accent2 4 4 2" xfId="4978" xr:uid="{07C6D8E9-1582-4CD5-9A73-4EAA8C38FB23}"/>
    <cellStyle name="40% - Accent2 4 4 2 2" xfId="4979" xr:uid="{DDF56188-0D32-42F4-8345-A9EA90610313}"/>
    <cellStyle name="40% - Accent2 4 4 2_Jurisdictional Study" xfId="9225" xr:uid="{9EEA0402-41D1-41F4-B550-9B73AD12B577}"/>
    <cellStyle name="40% - Accent2 4 4 3" xfId="4980" xr:uid="{E1E0406B-9E6D-419D-90D9-CEADDFCC0126}"/>
    <cellStyle name="40% - Accent2 4 4_Jurisdictional Study" xfId="9224" xr:uid="{C995D544-E2B9-4CF4-90CF-3EE479A6D671}"/>
    <cellStyle name="40% - Accent2 4 5" xfId="4981" xr:uid="{5B0C9CE9-2AD8-4C40-A946-202A7C66A8AC}"/>
    <cellStyle name="40% - Accent2 4 5 2" xfId="4982" xr:uid="{DCC82171-847A-4908-B9A8-734703027B40}"/>
    <cellStyle name="40% - Accent2 4 5_Jurisdictional Study" xfId="9226" xr:uid="{3D4CCC92-955E-4080-8287-C21794B3C9F6}"/>
    <cellStyle name="40% - Accent2 4 6" xfId="4983" xr:uid="{AA22F423-A63E-407A-A2DA-1D1993F28A47}"/>
    <cellStyle name="40% - Accent2 4_Jurisdictional Study" xfId="9211" xr:uid="{BD69C659-E57E-4520-8E70-65882C878EA3}"/>
    <cellStyle name="40% - Accent2 5" xfId="4984" xr:uid="{6C85C9F9-2706-4278-AC77-9ECF8B80F8B5}"/>
    <cellStyle name="40% - Accent2 5 2" xfId="4985" xr:uid="{EA8F6D65-CC8C-4BFC-B348-A34E140EF1AC}"/>
    <cellStyle name="40% - Accent2 5 2 2" xfId="4986" xr:uid="{F3A18FD3-8BC3-4029-88BE-2D62190BFA57}"/>
    <cellStyle name="40% - Accent2 5 2 2 2" xfId="4987" xr:uid="{27F0519A-2437-4EF1-AA8B-F1C829E862C4}"/>
    <cellStyle name="40% - Accent2 5 2 2 2 2" xfId="4988" xr:uid="{500CD48C-6DAA-4162-87DC-21D1611C3006}"/>
    <cellStyle name="40% - Accent2 5 2 2 2_Jurisdictional Study" xfId="9230" xr:uid="{26922E31-9DD1-486E-9EA0-B076836768E1}"/>
    <cellStyle name="40% - Accent2 5 2 2 3" xfId="4989" xr:uid="{EAFB558F-D42C-47EF-A6D0-2CC09CCB0C65}"/>
    <cellStyle name="40% - Accent2 5 2 2_Jurisdictional Study" xfId="9229" xr:uid="{65FADF75-FF98-481F-9F4B-F8640486EAD4}"/>
    <cellStyle name="40% - Accent2 5 2 3" xfId="4990" xr:uid="{26506263-AB80-40A4-B60C-F911A221CCAF}"/>
    <cellStyle name="40% - Accent2 5 2 3 2" xfId="4991" xr:uid="{6CB5B46F-DE65-45C6-A3ED-227C3E03341A}"/>
    <cellStyle name="40% - Accent2 5 2 3_Jurisdictional Study" xfId="9231" xr:uid="{5B648272-095D-4289-8F8E-06146EE19D86}"/>
    <cellStyle name="40% - Accent2 5 2 4" xfId="4992" xr:uid="{5DDE0ED0-CFCF-4589-8261-7EE54D4EBACC}"/>
    <cellStyle name="40% - Accent2 5 2_Jurisdictional Study" xfId="9228" xr:uid="{DF1DAA62-92AD-4474-B8D6-1B5F459ACDB0}"/>
    <cellStyle name="40% - Accent2 5 3" xfId="4993" xr:uid="{1DCFBCF7-D202-4E5F-9DB6-287726A3D77C}"/>
    <cellStyle name="40% - Accent2 5 3 2" xfId="4994" xr:uid="{36FD58AE-D0E2-464C-A5D4-674544960550}"/>
    <cellStyle name="40% - Accent2 5 3 2 2" xfId="4995" xr:uid="{187E567D-4021-494F-8498-F7D3BF73495E}"/>
    <cellStyle name="40% - Accent2 5 3 2_Jurisdictional Study" xfId="9233" xr:uid="{DA8C8124-0E5F-4C86-A861-7D62AE7FDF0C}"/>
    <cellStyle name="40% - Accent2 5 3 3" xfId="4996" xr:uid="{EC0D4941-6DA4-4351-9DDD-F640FDD70C80}"/>
    <cellStyle name="40% - Accent2 5 3_Jurisdictional Study" xfId="9232" xr:uid="{13D1C569-E9BC-4118-8FAB-D5BB85E05CB1}"/>
    <cellStyle name="40% - Accent2 5 4" xfId="4997" xr:uid="{07209D1E-FF2C-417A-BB9B-A21E4AC38B74}"/>
    <cellStyle name="40% - Accent2 5 4 2" xfId="4998" xr:uid="{6989D966-F219-4A2E-BF08-BD151A52AB2E}"/>
    <cellStyle name="40% - Accent2 5 4_Jurisdictional Study" xfId="9234" xr:uid="{E0219BF4-8B90-4327-9182-F83E2A7B0E13}"/>
    <cellStyle name="40% - Accent2 5 5" xfId="4999" xr:uid="{E3334107-5A09-472D-927F-D8280F9AC70F}"/>
    <cellStyle name="40% - Accent2 5_Jurisdictional Study" xfId="9227" xr:uid="{2731D7F6-29D5-409A-BBDB-45504EFFFBF3}"/>
    <cellStyle name="40% - Accent2 6" xfId="5000" xr:uid="{2AB984CC-118C-42D0-883E-1A3CC65D656B}"/>
    <cellStyle name="40% - Accent2 6 2" xfId="5001" xr:uid="{B3B15563-A046-454D-81B6-AD5506314179}"/>
    <cellStyle name="40% - Accent2 6 2 2" xfId="5002" xr:uid="{CCCD6393-3D92-4CA4-AEEF-B0865A6234F6}"/>
    <cellStyle name="40% - Accent2 6 2 2 2" xfId="5003" xr:uid="{DD187FCC-0D72-495D-9187-C30B7D22B713}"/>
    <cellStyle name="40% - Accent2 6 2 2_Jurisdictional Study" xfId="9237" xr:uid="{EA8046CD-0BF7-4DAE-BF85-F7EBFC6C63BC}"/>
    <cellStyle name="40% - Accent2 6 2 3" xfId="5004" xr:uid="{72BC61A8-B34B-4362-8734-D1747C3D264D}"/>
    <cellStyle name="40% - Accent2 6 2_Jurisdictional Study" xfId="9236" xr:uid="{CD7D0B0D-1979-4C61-AF5B-A7DB092741E5}"/>
    <cellStyle name="40% - Accent2 6 3" xfId="5005" xr:uid="{CE605E4E-EB26-49E5-B315-D8ADBB88DE6D}"/>
    <cellStyle name="40% - Accent2 6 3 2" xfId="5006" xr:uid="{BC040E9F-CEFC-46CF-8164-4D183F904992}"/>
    <cellStyle name="40% - Accent2 6 3_Jurisdictional Study" xfId="9238" xr:uid="{B208117B-57E2-40E6-A34A-D284C0FD2D2C}"/>
    <cellStyle name="40% - Accent2 6 4" xfId="5007" xr:uid="{51FD4C49-B3C2-4DF3-ACDC-0B6458F2AA5D}"/>
    <cellStyle name="40% - Accent2 6_Jurisdictional Study" xfId="9235" xr:uid="{11AAA4ED-D432-4D3C-89B6-F4710D905B6C}"/>
    <cellStyle name="40% - Accent2 7" xfId="5008" xr:uid="{0FAB06ED-45F8-4087-8246-5D8723DDB0A3}"/>
    <cellStyle name="40% - Accent2 7 2" xfId="5009" xr:uid="{BF34A403-E11F-4518-9E89-ABAAD66BC923}"/>
    <cellStyle name="40% - Accent2 7 2 2" xfId="5010" xr:uid="{BAFF0CBA-986B-459F-9998-13B0C2E0A7FB}"/>
    <cellStyle name="40% - Accent2 7 2 2 2" xfId="5011" xr:uid="{0A3935DE-0BD8-4ED2-8649-8EA43E3095A3}"/>
    <cellStyle name="40% - Accent2 7 2 2_Jurisdictional Study" xfId="9241" xr:uid="{8BFB7AEF-6EFB-405F-BC5E-3C3437A61A40}"/>
    <cellStyle name="40% - Accent2 7 2 3" xfId="5012" xr:uid="{092AD13B-3648-4852-A44A-123957DB641B}"/>
    <cellStyle name="40% - Accent2 7 2_Jurisdictional Study" xfId="9240" xr:uid="{76018970-78F7-478F-9751-F1E271D90E4B}"/>
    <cellStyle name="40% - Accent2 7 3" xfId="5013" xr:uid="{E6F1930C-FCB0-454D-99B4-70CB00C5D5FA}"/>
    <cellStyle name="40% - Accent2 7 3 2" xfId="5014" xr:uid="{8049F00E-3546-4271-B74B-CAB2702BC856}"/>
    <cellStyle name="40% - Accent2 7 3_Jurisdictional Study" xfId="9242" xr:uid="{BEC6D48C-A810-44E8-86F7-1FE0A0064B31}"/>
    <cellStyle name="40% - Accent2 7 4" xfId="5015" xr:uid="{00C7648C-6FC3-490F-86F8-58A4500810F9}"/>
    <cellStyle name="40% - Accent2 7_Jurisdictional Study" xfId="9239" xr:uid="{498320CB-6D96-4747-900A-856B6C5515D8}"/>
    <cellStyle name="40% - Accent2 8" xfId="5016" xr:uid="{56126ED2-5CEE-489C-AFE7-390EDA8998BD}"/>
    <cellStyle name="40% - Accent2 8 2" xfId="5017" xr:uid="{1800C60B-EFD0-4A0E-815B-074800996564}"/>
    <cellStyle name="40% - Accent2 8 2 2" xfId="5018" xr:uid="{AF54184F-EA9E-460F-BC0E-0D598DE00F99}"/>
    <cellStyle name="40% - Accent2 8 2 2 2" xfId="5019" xr:uid="{17E787C5-4FF6-4CC9-B325-312D35E17C54}"/>
    <cellStyle name="40% - Accent2 8 2 2_Jurisdictional Study" xfId="9245" xr:uid="{CD23957A-4DE6-4A20-9603-6320BADA5EB1}"/>
    <cellStyle name="40% - Accent2 8 2 3" xfId="5020" xr:uid="{86C0F15F-3B30-4D0E-B6F1-AFF76E5E30C2}"/>
    <cellStyle name="40% - Accent2 8 2_Jurisdictional Study" xfId="9244" xr:uid="{9A7791F2-8256-4BC1-ADFA-5A9A69F1B4BA}"/>
    <cellStyle name="40% - Accent2 8 3" xfId="5021" xr:uid="{E1542C31-5C34-41CA-81C3-6E6069096AE1}"/>
    <cellStyle name="40% - Accent2 8 3 2" xfId="5022" xr:uid="{6892876E-E754-4E5E-9B01-D0E19E67AA95}"/>
    <cellStyle name="40% - Accent2 8 3_Jurisdictional Study" xfId="9246" xr:uid="{19396DED-E11E-4432-8293-FF0140C332F5}"/>
    <cellStyle name="40% - Accent2 8 4" xfId="5023" xr:uid="{733F96E3-78ED-43CB-B9D4-D543DCA3FA24}"/>
    <cellStyle name="40% - Accent2 8_Jurisdictional Study" xfId="9243" xr:uid="{5E5AB66A-103A-4C1D-BB6D-39830431404C}"/>
    <cellStyle name="40% - Accent2 9" xfId="5024" xr:uid="{2D342E9F-CFCC-40AC-9F23-A65C2CDF9F3F}"/>
    <cellStyle name="40% - Accent2 9 2" xfId="5025" xr:uid="{8C5F5ED4-C892-406D-9A9A-85F69DCD653C}"/>
    <cellStyle name="40% - Accent2 9 2 2" xfId="5026" xr:uid="{899D757D-7148-4873-84D4-98522881B337}"/>
    <cellStyle name="40% - Accent2 9 2_Jurisdictional Study" xfId="9248" xr:uid="{53826670-83BA-4FCE-9F05-30F7E00C76A7}"/>
    <cellStyle name="40% - Accent2 9 3" xfId="5027" xr:uid="{72A3DDFC-6501-4D53-AAF8-B404F29CC186}"/>
    <cellStyle name="40% - Accent2 9_Jurisdictional Study" xfId="9247" xr:uid="{78918C53-34B6-4965-A032-86428E486F53}"/>
    <cellStyle name="40% - Accent3" xfId="9" builtinId="39" customBuiltin="1"/>
    <cellStyle name="40% - Accent3 10" xfId="5028" xr:uid="{4B141B0E-C0C4-44A4-9BAA-6F1820A15240}"/>
    <cellStyle name="40% - Accent3 10 2" xfId="5029" xr:uid="{3853D22A-610D-458C-9FF0-999E41F7AEAA}"/>
    <cellStyle name="40% - Accent3 10 2 2" xfId="5030" xr:uid="{A580FB2A-BCAF-4C5C-8C6B-BE95710F2648}"/>
    <cellStyle name="40% - Accent3 10 2_Jurisdictional Study" xfId="9250" xr:uid="{97115726-0ACF-4C46-814A-DF64346B27E6}"/>
    <cellStyle name="40% - Accent3 10 3" xfId="5031" xr:uid="{EF4FB91D-A6F6-4BD0-8664-67E605674297}"/>
    <cellStyle name="40% - Accent3 10_Jurisdictional Study" xfId="9249" xr:uid="{1860323E-626B-44EF-B55A-443C86AC4BD9}"/>
    <cellStyle name="40% - Accent3 11" xfId="5032" xr:uid="{1C664C83-0664-437E-A90B-3FEDFF0603B4}"/>
    <cellStyle name="40% - Accent3 11 2" xfId="5033" xr:uid="{C420A455-C0B3-4250-99A7-F04D95271A21}"/>
    <cellStyle name="40% - Accent3 11 2 2" xfId="5034" xr:uid="{CB384A92-C075-4D44-A896-76AE900A4569}"/>
    <cellStyle name="40% - Accent3 11 2_Jurisdictional Study" xfId="9252" xr:uid="{28351D85-4048-400A-AC3F-AD259A9F7338}"/>
    <cellStyle name="40% - Accent3 11 3" xfId="5035" xr:uid="{1D5D3DB9-3502-425E-AD71-A5E91AECDF57}"/>
    <cellStyle name="40% - Accent3 11_Jurisdictional Study" xfId="9251" xr:uid="{B578FCE5-DF7C-4E72-8FE1-36FDD4964064}"/>
    <cellStyle name="40% - Accent3 12" xfId="5036" xr:uid="{3D81A52D-2AD2-4018-BA06-913AC08EBECD}"/>
    <cellStyle name="40% - Accent3 12 2" xfId="5037" xr:uid="{4E538AF6-23CD-4210-B08E-0D5F8F3C6645}"/>
    <cellStyle name="40% - Accent3 12_Jurisdictional Study" xfId="9253" xr:uid="{8AA9854D-AEEE-4CC6-803C-E8B34BFC3A6D}"/>
    <cellStyle name="40% - Accent3 13" xfId="5038" xr:uid="{8EDEC9B6-6C89-4431-A680-89B235BC7477}"/>
    <cellStyle name="40% - Accent3 14" xfId="3179" xr:uid="{A9CB131C-21E2-4838-9D0A-C9DF4AF01D7C}"/>
    <cellStyle name="40% - Accent3 2" xfId="255" xr:uid="{246F349B-BD1C-4F58-9236-63CA1B194741}"/>
    <cellStyle name="40% - Accent3 2 2" xfId="5040" xr:uid="{151C7BA5-3C20-47FB-8ABD-A5057EAC5515}"/>
    <cellStyle name="40% - Accent3 2 2 2" xfId="5041" xr:uid="{8232981B-16F0-459B-B700-84D160458F0E}"/>
    <cellStyle name="40% - Accent3 2 2 2 2" xfId="5042" xr:uid="{2AC20D0F-726E-4618-A8E4-FED6BE7F0E43}"/>
    <cellStyle name="40% - Accent3 2 2 2 2 2" xfId="5043" xr:uid="{833143E2-0158-402D-9AA8-8D88D48686EF}"/>
    <cellStyle name="40% - Accent3 2 2 2 2 2 2" xfId="5044" xr:uid="{8B63C4E3-614B-481E-B408-BE9EFDE61746}"/>
    <cellStyle name="40% - Accent3 2 2 2 2 2 2 2" xfId="5045" xr:uid="{7D8CB2B1-EAB2-4F38-B6FF-90809A06CA4B}"/>
    <cellStyle name="40% - Accent3 2 2 2 2 2 2_Jurisdictional Study" xfId="9258" xr:uid="{8E549891-DF00-48F1-83ED-64F59800E410}"/>
    <cellStyle name="40% - Accent3 2 2 2 2 2 3" xfId="5046" xr:uid="{5568FE52-CEA4-4E38-84D3-BE17FEF7135D}"/>
    <cellStyle name="40% - Accent3 2 2 2 2 2_Jurisdictional Study" xfId="9257" xr:uid="{C9443DA8-CE8D-4D4E-82B6-77AED742E5BC}"/>
    <cellStyle name="40% - Accent3 2 2 2 2 3" xfId="5047" xr:uid="{678D454C-F6D3-4858-92DA-0695DEC35646}"/>
    <cellStyle name="40% - Accent3 2 2 2 2 3 2" xfId="5048" xr:uid="{E086126E-A6EF-4717-AF03-89C014F0DCBD}"/>
    <cellStyle name="40% - Accent3 2 2 2 2 3_Jurisdictional Study" xfId="9259" xr:uid="{326F3E26-C1B2-441E-A2CF-0100348F7877}"/>
    <cellStyle name="40% - Accent3 2 2 2 2 4" xfId="5049" xr:uid="{AC142858-0951-4C5B-B837-0378279BB3B4}"/>
    <cellStyle name="40% - Accent3 2 2 2 2_Jurisdictional Study" xfId="9256" xr:uid="{32D2ACD8-A615-4DEE-B8F6-9C43E381E288}"/>
    <cellStyle name="40% - Accent3 2 2 2 3" xfId="5050" xr:uid="{450041E3-63EC-4F0D-B766-F18B50EFB820}"/>
    <cellStyle name="40% - Accent3 2 2 2 3 2" xfId="5051" xr:uid="{201F6C77-2696-4BB3-8860-C35DB673DC47}"/>
    <cellStyle name="40% - Accent3 2 2 2 3 2 2" xfId="5052" xr:uid="{9FB82E74-0FF2-4620-9DFC-9A2F4D49AEFE}"/>
    <cellStyle name="40% - Accent3 2 2 2 3 2_Jurisdictional Study" xfId="9261" xr:uid="{5182CBB6-801F-44E3-8067-0E3E44CFB6A9}"/>
    <cellStyle name="40% - Accent3 2 2 2 3 3" xfId="5053" xr:uid="{8708766E-C78C-45FF-90EE-B3AC97CFE351}"/>
    <cellStyle name="40% - Accent3 2 2 2 3_Jurisdictional Study" xfId="9260" xr:uid="{A0542CC5-3FF4-4536-82D1-EBDCDDA82E8F}"/>
    <cellStyle name="40% - Accent3 2 2 2 4" xfId="5054" xr:uid="{9BB6037A-EF5E-44FE-AF01-9641EC31B5E7}"/>
    <cellStyle name="40% - Accent3 2 2 2 4 2" xfId="5055" xr:uid="{FB2655D6-2583-44B8-A209-9E58DDEE63CB}"/>
    <cellStyle name="40% - Accent3 2 2 2 4_Jurisdictional Study" xfId="9262" xr:uid="{C721BD07-1148-4C09-B9A0-8373FBDCFDB7}"/>
    <cellStyle name="40% - Accent3 2 2 2 5" xfId="5056" xr:uid="{01E427FF-5E0D-490D-93E2-D01BC86D44D1}"/>
    <cellStyle name="40% - Accent3 2 2 2_Jurisdictional Study" xfId="9255" xr:uid="{798C730F-97E2-4C23-9AC7-C92383F91796}"/>
    <cellStyle name="40% - Accent3 2 2 3" xfId="5057" xr:uid="{B342777D-A67D-491E-A600-68162C096F5F}"/>
    <cellStyle name="40% - Accent3 2 2 3 2" xfId="5058" xr:uid="{FB5E3B47-DF51-43AD-A2E9-9996B03A2AAC}"/>
    <cellStyle name="40% - Accent3 2 2 3 2 2" xfId="5059" xr:uid="{72815291-40E8-4F83-87D3-858CE215D651}"/>
    <cellStyle name="40% - Accent3 2 2 3 2 2 2" xfId="5060" xr:uid="{6CCFD99E-BB00-4CAF-B21C-CE86221E0E31}"/>
    <cellStyle name="40% - Accent3 2 2 3 2 2_Jurisdictional Study" xfId="9265" xr:uid="{A4E3C020-3E48-4BE7-9185-73183DE2F94B}"/>
    <cellStyle name="40% - Accent3 2 2 3 2 3" xfId="5061" xr:uid="{0E9EB7F5-3F1E-4D12-9BA6-2AC89652ACA9}"/>
    <cellStyle name="40% - Accent3 2 2 3 2_Jurisdictional Study" xfId="9264" xr:uid="{5C2682CB-EF99-42A2-81C0-1876BFC81179}"/>
    <cellStyle name="40% - Accent3 2 2 3 3" xfId="5062" xr:uid="{849CFCE4-8600-4AD4-AB41-BC0E671FA064}"/>
    <cellStyle name="40% - Accent3 2 2 3 3 2" xfId="5063" xr:uid="{16304320-78B5-4029-9147-E8376F8F811A}"/>
    <cellStyle name="40% - Accent3 2 2 3 3_Jurisdictional Study" xfId="9266" xr:uid="{9EC9970B-7E6C-41F1-911E-219DE1B6CA91}"/>
    <cellStyle name="40% - Accent3 2 2 3 4" xfId="5064" xr:uid="{40D9AD47-8996-4146-8A37-228211C291FE}"/>
    <cellStyle name="40% - Accent3 2 2 3_Jurisdictional Study" xfId="9263" xr:uid="{EBAFA582-DF9A-4BD2-96A3-6674254512F6}"/>
    <cellStyle name="40% - Accent3 2 2 4" xfId="5065" xr:uid="{504D53BA-A34F-4409-A0DF-4E0F86B331EC}"/>
    <cellStyle name="40% - Accent3 2 2 4 2" xfId="5066" xr:uid="{3F952F84-6B5E-4C3C-8702-D5405B5E3869}"/>
    <cellStyle name="40% - Accent3 2 2 4 2 2" xfId="5067" xr:uid="{9550BDE3-014C-401C-8B93-1D003DA898E8}"/>
    <cellStyle name="40% - Accent3 2 2 4 2_Jurisdictional Study" xfId="9268" xr:uid="{E66A8FA7-85C2-4A6E-9782-FA151BBFF1F8}"/>
    <cellStyle name="40% - Accent3 2 2 4 3" xfId="5068" xr:uid="{9CA7B0E4-9B42-4EF2-B940-E97E69B9A15D}"/>
    <cellStyle name="40% - Accent3 2 2 4_Jurisdictional Study" xfId="9267" xr:uid="{AD6B449B-D86A-4744-87DF-C34ABC32C854}"/>
    <cellStyle name="40% - Accent3 2 2 5" xfId="5069" xr:uid="{F72CD95E-3E20-497B-8723-DAC18477CAE0}"/>
    <cellStyle name="40% - Accent3 2 2 5 2" xfId="5070" xr:uid="{B5748A2F-E2EF-4FA6-9977-869922040DB1}"/>
    <cellStyle name="40% - Accent3 2 2 5_Jurisdictional Study" xfId="9269" xr:uid="{6958C749-3DA3-430D-BDD1-EA8BD60AC5EB}"/>
    <cellStyle name="40% - Accent3 2 2 6" xfId="5071" xr:uid="{CB7446E2-E5BA-443A-A06C-376909A043C7}"/>
    <cellStyle name="40% - Accent3 2 2_Jurisdictional Study" xfId="9254" xr:uid="{0B26B7BC-F803-4753-B546-46289DFD6493}"/>
    <cellStyle name="40% - Accent3 2 3" xfId="5072" xr:uid="{4C95CC09-AB52-48BF-ADD0-11B3828F8AFA}"/>
    <cellStyle name="40% - Accent3 2 3 2" xfId="5073" xr:uid="{AACFB19F-764E-4FCA-9940-714920C4E9B0}"/>
    <cellStyle name="40% - Accent3 2 3 2 2" xfId="5074" xr:uid="{83C8B4FA-A64A-46DF-BE8F-52D709B2D74B}"/>
    <cellStyle name="40% - Accent3 2 3 2 2 2" xfId="5075" xr:uid="{D29B3359-3537-4F29-9E1E-C4883A2DD404}"/>
    <cellStyle name="40% - Accent3 2 3 2 2 2 2" xfId="5076" xr:uid="{E7C5E05A-D530-4066-B725-7484C1E5F8E1}"/>
    <cellStyle name="40% - Accent3 2 3 2 2 2_Jurisdictional Study" xfId="9273" xr:uid="{917A8702-D954-491D-8D15-CB21CE2A005E}"/>
    <cellStyle name="40% - Accent3 2 3 2 2 3" xfId="5077" xr:uid="{0EF74616-0C92-4B6E-8240-0478DB73BB8B}"/>
    <cellStyle name="40% - Accent3 2 3 2 2_Jurisdictional Study" xfId="9272" xr:uid="{CB42CFFB-525B-4AFC-A9C7-A3DC18F49358}"/>
    <cellStyle name="40% - Accent3 2 3 2 3" xfId="5078" xr:uid="{16AC9E20-4D79-40AB-99B6-5C545267CE6D}"/>
    <cellStyle name="40% - Accent3 2 3 2 3 2" xfId="5079" xr:uid="{CF4947CD-83EC-4993-A931-78030E0C8574}"/>
    <cellStyle name="40% - Accent3 2 3 2 3_Jurisdictional Study" xfId="9274" xr:uid="{03A4359C-C303-4436-987D-DD1E750FCB4B}"/>
    <cellStyle name="40% - Accent3 2 3 2 4" xfId="5080" xr:uid="{A3BCEEBB-1CB5-42BF-B1A0-E9A73BED1A44}"/>
    <cellStyle name="40% - Accent3 2 3 2_Jurisdictional Study" xfId="9271" xr:uid="{14D8DF08-9A47-4E2C-9F01-84FDC85B59B2}"/>
    <cellStyle name="40% - Accent3 2 3 3" xfId="5081" xr:uid="{2516B562-268A-4EB6-A32D-90EABDF9AC25}"/>
    <cellStyle name="40% - Accent3 2 3 3 2" xfId="5082" xr:uid="{8C4B1FED-AD5A-4E8C-B4B0-1CC3C7BE38F2}"/>
    <cellStyle name="40% - Accent3 2 3 3 2 2" xfId="5083" xr:uid="{23E69A55-C6D0-4830-A769-9D124C75A60B}"/>
    <cellStyle name="40% - Accent3 2 3 3 2_Jurisdictional Study" xfId="9276" xr:uid="{FBD2217C-A349-4743-98D9-9228EA54CA16}"/>
    <cellStyle name="40% - Accent3 2 3 3 3" xfId="5084" xr:uid="{1D0C2884-06AA-4A62-97F7-558B3CE56967}"/>
    <cellStyle name="40% - Accent3 2 3 3_Jurisdictional Study" xfId="9275" xr:uid="{52E19403-B01B-41B0-8AEF-6E18A37A2DB7}"/>
    <cellStyle name="40% - Accent3 2 3 4" xfId="5085" xr:uid="{C4DB5018-8CAD-47D5-8624-E9967FB36FD5}"/>
    <cellStyle name="40% - Accent3 2 3 4 2" xfId="5086" xr:uid="{6F0BE8FB-8A10-4A97-9251-D7FE3C40CC66}"/>
    <cellStyle name="40% - Accent3 2 3 4_Jurisdictional Study" xfId="9277" xr:uid="{C17D2A35-C772-412E-A1A7-62B1DE7B805A}"/>
    <cellStyle name="40% - Accent3 2 3 5" xfId="5087" xr:uid="{47D01786-E73B-4204-831E-B2E47E3AFA3E}"/>
    <cellStyle name="40% - Accent3 2 3_Jurisdictional Study" xfId="9270" xr:uid="{E88091CF-11A8-447A-95A4-252B197D0787}"/>
    <cellStyle name="40% - Accent3 2 4" xfId="5088" xr:uid="{43EB7C12-26D7-48EA-93F0-9551DE4B8188}"/>
    <cellStyle name="40% - Accent3 2 4 2" xfId="5089" xr:uid="{6660E7B3-752D-43C8-B338-63330495A30B}"/>
    <cellStyle name="40% - Accent3 2 4 2 2" xfId="5090" xr:uid="{F0BDDF4F-6A5D-43F7-BD9E-8022716CFF3F}"/>
    <cellStyle name="40% - Accent3 2 4 2 2 2" xfId="5091" xr:uid="{A49F11AA-BEBA-4260-B085-E2638BAAAFEE}"/>
    <cellStyle name="40% - Accent3 2 4 2 2_Jurisdictional Study" xfId="9280" xr:uid="{E437810A-5611-478F-A1CE-CE6B420C6302}"/>
    <cellStyle name="40% - Accent3 2 4 2 3" xfId="5092" xr:uid="{849BBE90-FFFF-400C-81F6-4A0C3BB55C87}"/>
    <cellStyle name="40% - Accent3 2 4 2_Jurisdictional Study" xfId="9279" xr:uid="{18560316-60A7-4372-84D7-CD90FE79FC0A}"/>
    <cellStyle name="40% - Accent3 2 4 3" xfId="5093" xr:uid="{1C019EF1-2382-458D-95D4-C02ACE5C905E}"/>
    <cellStyle name="40% - Accent3 2 4 3 2" xfId="5094" xr:uid="{152DD741-BE60-4C81-9E70-5CBFC578C3FB}"/>
    <cellStyle name="40% - Accent3 2 4 3_Jurisdictional Study" xfId="9281" xr:uid="{590F47C7-203A-49C7-A7D3-E309272BA178}"/>
    <cellStyle name="40% - Accent3 2 4 4" xfId="5095" xr:uid="{3234586A-620E-459D-B3C3-A066DA11985C}"/>
    <cellStyle name="40% - Accent3 2 4_Jurisdictional Study" xfId="9278" xr:uid="{EFA176CD-F42E-41B3-A32B-08B1BFE97703}"/>
    <cellStyle name="40% - Accent3 2 5" xfId="5096" xr:uid="{E70C1D11-BAB9-44BA-B525-57C199B87E52}"/>
    <cellStyle name="40% - Accent3 2 5 2" xfId="5097" xr:uid="{063B00CB-BECA-46EE-BA94-2F413E54E2F7}"/>
    <cellStyle name="40% - Accent3 2 5 2 2" xfId="5098" xr:uid="{1F8746FD-F62E-4421-8A47-D3BD44C56214}"/>
    <cellStyle name="40% - Accent3 2 5 2_Jurisdictional Study" xfId="9283" xr:uid="{7078C003-6C01-4A32-8E7E-9DD0F7BC8E3F}"/>
    <cellStyle name="40% - Accent3 2 5 3" xfId="5099" xr:uid="{18AD3E70-74E2-499E-BEE2-45E970B3F61D}"/>
    <cellStyle name="40% - Accent3 2 5_Jurisdictional Study" xfId="9282" xr:uid="{AA155A45-F9C5-404C-942D-8B39D8839F5F}"/>
    <cellStyle name="40% - Accent3 2 6" xfId="5100" xr:uid="{C03410F6-6601-49C5-8D03-66192976B3AD}"/>
    <cellStyle name="40% - Accent3 2 6 2" xfId="5101" xr:uid="{FF2B23CC-3828-4631-9D93-2FFE638678A9}"/>
    <cellStyle name="40% - Accent3 2 6_Jurisdictional Study" xfId="9284" xr:uid="{3587533B-73C7-4B68-8A1B-58AFDCC8BD5D}"/>
    <cellStyle name="40% - Accent3 2 7" xfId="5102" xr:uid="{D02E166D-CBAD-4134-B1C6-059A435C550A}"/>
    <cellStyle name="40% - Accent3 2 8" xfId="5039" xr:uid="{87DB8E14-AF72-4B97-A91F-112272374AFA}"/>
    <cellStyle name="40% - Accent3 3" xfId="3212" xr:uid="{B010A816-D0A3-4B0B-BDD8-B519A5E3856D}"/>
    <cellStyle name="40% - Accent3 3 2" xfId="5104" xr:uid="{08E0FE4C-FFE6-4CF8-A876-C0E1E7D20286}"/>
    <cellStyle name="40% - Accent3 3 2 2" xfId="5105" xr:uid="{EC547E08-7A7B-42F3-BA02-79359530318C}"/>
    <cellStyle name="40% - Accent3 3 2 2 2" xfId="5106" xr:uid="{B85CA7F3-D1E9-496A-85C6-9566F5404A59}"/>
    <cellStyle name="40% - Accent3 3 2 2 2 2" xfId="5107" xr:uid="{E2279AE6-7BB4-43B2-A4D2-50D04ACA1FF0}"/>
    <cellStyle name="40% - Accent3 3 2 2 2 2 2" xfId="5108" xr:uid="{3C104381-1179-4082-B6E7-65D3E2722805}"/>
    <cellStyle name="40% - Accent3 3 2 2 2 2 2 2" xfId="5109" xr:uid="{CE364F2B-F6E1-4A89-BADB-E6AF8ADD7F91}"/>
    <cellStyle name="40% - Accent3 3 2 2 2 2 2_Jurisdictional Study" xfId="9290" xr:uid="{5295F723-C539-4115-9CC6-C17C02345833}"/>
    <cellStyle name="40% - Accent3 3 2 2 2 2 3" xfId="5110" xr:uid="{7EEC23AF-E3AB-4530-9ABB-42AE9048B8C4}"/>
    <cellStyle name="40% - Accent3 3 2 2 2 2_Jurisdictional Study" xfId="9289" xr:uid="{35D8F19E-F075-4845-87D7-D409478DBBD9}"/>
    <cellStyle name="40% - Accent3 3 2 2 2 3" xfId="5111" xr:uid="{84FAD3A2-1444-47AD-9142-4C19D752A12E}"/>
    <cellStyle name="40% - Accent3 3 2 2 2 3 2" xfId="5112" xr:uid="{A6C1CF10-39E0-4EE0-B444-FD69CC294846}"/>
    <cellStyle name="40% - Accent3 3 2 2 2 3_Jurisdictional Study" xfId="9291" xr:uid="{8B4192B7-B895-464A-B211-C1C8C09A037F}"/>
    <cellStyle name="40% - Accent3 3 2 2 2 4" xfId="5113" xr:uid="{1456F039-4B19-4243-BE49-69F65E505A5E}"/>
    <cellStyle name="40% - Accent3 3 2 2 2_Jurisdictional Study" xfId="9288" xr:uid="{D644FB19-5124-4969-861F-B1B7742F0992}"/>
    <cellStyle name="40% - Accent3 3 2 2 3" xfId="5114" xr:uid="{BCE64366-AF3E-4373-B50C-505E38A2B7FC}"/>
    <cellStyle name="40% - Accent3 3 2 2 3 2" xfId="5115" xr:uid="{DEE94DFB-E8F7-47FC-9EA8-FD3368615427}"/>
    <cellStyle name="40% - Accent3 3 2 2 3 2 2" xfId="5116" xr:uid="{1DA96D11-8206-44DF-ACB5-3E3C4C43770D}"/>
    <cellStyle name="40% - Accent3 3 2 2 3 2_Jurisdictional Study" xfId="9293" xr:uid="{514F2AAF-F5BC-4328-9175-2C006B95C370}"/>
    <cellStyle name="40% - Accent3 3 2 2 3 3" xfId="5117" xr:uid="{B4CDB1FC-B076-4958-BBE0-411DFB5DE1F7}"/>
    <cellStyle name="40% - Accent3 3 2 2 3_Jurisdictional Study" xfId="9292" xr:uid="{319A7386-66E3-4639-A10E-6E86C97772D7}"/>
    <cellStyle name="40% - Accent3 3 2 2 4" xfId="5118" xr:uid="{49282286-899B-4B34-B85F-7827CD5E7D61}"/>
    <cellStyle name="40% - Accent3 3 2 2 4 2" xfId="5119" xr:uid="{D9492F45-8E12-4B57-80D0-46F710B57841}"/>
    <cellStyle name="40% - Accent3 3 2 2 4_Jurisdictional Study" xfId="9294" xr:uid="{D9C65BAC-01F2-48BD-A702-0BD1F1A0B593}"/>
    <cellStyle name="40% - Accent3 3 2 2 5" xfId="5120" xr:uid="{73882DE6-F07C-4088-99A3-F9579E70C0AF}"/>
    <cellStyle name="40% - Accent3 3 2 2_Jurisdictional Study" xfId="9287" xr:uid="{90A842F7-BA82-4B05-89E7-0C3FE012DEE0}"/>
    <cellStyle name="40% - Accent3 3 2 3" xfId="5121" xr:uid="{3F4C5AA9-ADC3-4EFC-96BE-AD469FD6F3C0}"/>
    <cellStyle name="40% - Accent3 3 2 3 2" xfId="5122" xr:uid="{102F506C-D779-40AD-B1C5-AED24A944F60}"/>
    <cellStyle name="40% - Accent3 3 2 3 2 2" xfId="5123" xr:uid="{BB741E67-C37E-48B7-9FAB-A409C02A85DE}"/>
    <cellStyle name="40% - Accent3 3 2 3 2 2 2" xfId="5124" xr:uid="{237B0709-DC80-487F-8552-4A03BD5B0996}"/>
    <cellStyle name="40% - Accent3 3 2 3 2 2_Jurisdictional Study" xfId="9297" xr:uid="{9185DD2B-BB11-495D-ACB5-339940840C9C}"/>
    <cellStyle name="40% - Accent3 3 2 3 2 3" xfId="5125" xr:uid="{B0E31A57-0E50-4221-B46D-0D44A4FDC6D1}"/>
    <cellStyle name="40% - Accent3 3 2 3 2_Jurisdictional Study" xfId="9296" xr:uid="{738DFFAE-B796-4D0E-B09E-2B0DDE26B30E}"/>
    <cellStyle name="40% - Accent3 3 2 3 3" xfId="5126" xr:uid="{EA310B96-C211-411D-9B94-BF858FB7DD66}"/>
    <cellStyle name="40% - Accent3 3 2 3 3 2" xfId="5127" xr:uid="{82D95249-A79E-4686-9D31-F5D3B9B80656}"/>
    <cellStyle name="40% - Accent3 3 2 3 3_Jurisdictional Study" xfId="9298" xr:uid="{13E50667-1007-4CF1-AA8B-96DB6E45EABF}"/>
    <cellStyle name="40% - Accent3 3 2 3 4" xfId="5128" xr:uid="{4226F315-0CD9-40F8-8D5B-0564FF87C44A}"/>
    <cellStyle name="40% - Accent3 3 2 3_Jurisdictional Study" xfId="9295" xr:uid="{51080090-C857-4710-A868-CD6F01E23E93}"/>
    <cellStyle name="40% - Accent3 3 2 4" xfId="5129" xr:uid="{0ABCF83E-4388-469F-BBD7-111D13B3D068}"/>
    <cellStyle name="40% - Accent3 3 2 4 2" xfId="5130" xr:uid="{02D495A9-C91A-403D-A8A8-1DEB01E54EDE}"/>
    <cellStyle name="40% - Accent3 3 2 4 2 2" xfId="5131" xr:uid="{9CD7F193-E5B1-4420-A825-2B8C72BCC50B}"/>
    <cellStyle name="40% - Accent3 3 2 4 2_Jurisdictional Study" xfId="9300" xr:uid="{3EAC813E-A6C7-4DE7-A323-0DEA3584772D}"/>
    <cellStyle name="40% - Accent3 3 2 4 3" xfId="5132" xr:uid="{0CFB6B4C-C709-4F70-884E-F34552EF2A4D}"/>
    <cellStyle name="40% - Accent3 3 2 4_Jurisdictional Study" xfId="9299" xr:uid="{27AE888E-0415-4BB2-B2A6-28B69B998A0B}"/>
    <cellStyle name="40% - Accent3 3 2 5" xfId="5133" xr:uid="{0132EE8A-C78A-4EC2-BEE8-2A1492B1F6F3}"/>
    <cellStyle name="40% - Accent3 3 2 5 2" xfId="5134" xr:uid="{380E73D2-BC45-48E3-B5D1-FD3F6B86C69D}"/>
    <cellStyle name="40% - Accent3 3 2 5_Jurisdictional Study" xfId="9301" xr:uid="{52F8615F-4C79-4592-B477-E8C59637086F}"/>
    <cellStyle name="40% - Accent3 3 2 6" xfId="5135" xr:uid="{A8A53383-A1E7-4987-B872-9DD164C620A5}"/>
    <cellStyle name="40% - Accent3 3 2_Jurisdictional Study" xfId="9286" xr:uid="{A82FE824-7838-4A58-B75A-91A56EFC3F51}"/>
    <cellStyle name="40% - Accent3 3 3" xfId="5136" xr:uid="{D293D6E0-65D2-49A6-980C-06D649391A14}"/>
    <cellStyle name="40% - Accent3 3 3 2" xfId="5137" xr:uid="{1EDCD13B-630A-4D29-9D24-A793DB244AA7}"/>
    <cellStyle name="40% - Accent3 3 3 2 2" xfId="5138" xr:uid="{F9C09723-DF1A-434E-9406-6ED12432144D}"/>
    <cellStyle name="40% - Accent3 3 3 2 2 2" xfId="5139" xr:uid="{BEADC2CD-7ADC-4E63-B358-BD964F87B9F8}"/>
    <cellStyle name="40% - Accent3 3 3 2 2 2 2" xfId="5140" xr:uid="{2B89C0ED-B26D-41E6-B39C-82BA2404941A}"/>
    <cellStyle name="40% - Accent3 3 3 2 2 2_Jurisdictional Study" xfId="9305" xr:uid="{08210890-DE66-4261-BFC1-F1EB7A4BBD67}"/>
    <cellStyle name="40% - Accent3 3 3 2 2 3" xfId="5141" xr:uid="{CFEA1807-A942-4226-9415-DD1E80BF1BDA}"/>
    <cellStyle name="40% - Accent3 3 3 2 2_Jurisdictional Study" xfId="9304" xr:uid="{29CE075C-C036-4948-8B3A-100E96000671}"/>
    <cellStyle name="40% - Accent3 3 3 2 3" xfId="5142" xr:uid="{09725BE5-D6A5-4D58-86C8-8657171EB85C}"/>
    <cellStyle name="40% - Accent3 3 3 2 3 2" xfId="5143" xr:uid="{6CB7CDE1-9809-4092-A0B9-3AB36AA39BAE}"/>
    <cellStyle name="40% - Accent3 3 3 2 3_Jurisdictional Study" xfId="9306" xr:uid="{937B9907-08C1-45F3-BB7A-1E823DD31786}"/>
    <cellStyle name="40% - Accent3 3 3 2 4" xfId="5144" xr:uid="{5DD8037B-9052-4986-AF39-FE62BBCCB277}"/>
    <cellStyle name="40% - Accent3 3 3 2_Jurisdictional Study" xfId="9303" xr:uid="{65A79CB8-C103-4BF0-85E2-6F09D7AE2B81}"/>
    <cellStyle name="40% - Accent3 3 3 3" xfId="5145" xr:uid="{C08148EE-015A-43F2-AD54-3BC38F87C393}"/>
    <cellStyle name="40% - Accent3 3 3 3 2" xfId="5146" xr:uid="{C71C7E19-3ECC-4061-B92C-E01ED400E652}"/>
    <cellStyle name="40% - Accent3 3 3 3 2 2" xfId="5147" xr:uid="{20E69F4D-71C6-4D21-B07C-540B0462B224}"/>
    <cellStyle name="40% - Accent3 3 3 3 2_Jurisdictional Study" xfId="9308" xr:uid="{FF754AE6-90F8-4BDC-8F92-3385A166C6E0}"/>
    <cellStyle name="40% - Accent3 3 3 3 3" xfId="5148" xr:uid="{36D85FD0-64AB-4C7A-8B0E-790B6B990131}"/>
    <cellStyle name="40% - Accent3 3 3 3_Jurisdictional Study" xfId="9307" xr:uid="{51C0424F-FF53-4AF8-9AB5-6FBA0C5B492E}"/>
    <cellStyle name="40% - Accent3 3 3 4" xfId="5149" xr:uid="{4FCFFD24-8FD6-4AC7-9097-DD01B65705E3}"/>
    <cellStyle name="40% - Accent3 3 3 4 2" xfId="5150" xr:uid="{3CEF6A75-554F-4575-B016-8CB9009F3E22}"/>
    <cellStyle name="40% - Accent3 3 3 4_Jurisdictional Study" xfId="9309" xr:uid="{5756B445-B80F-4458-AECC-E2CAC9D1AEB2}"/>
    <cellStyle name="40% - Accent3 3 3 5" xfId="5151" xr:uid="{E8CA8913-9D36-41BD-BA2B-3853471D9484}"/>
    <cellStyle name="40% - Accent3 3 3_Jurisdictional Study" xfId="9302" xr:uid="{D060C1F3-F93C-4EAD-B462-7387D83BC635}"/>
    <cellStyle name="40% - Accent3 3 4" xfId="5152" xr:uid="{EEBBCEE2-57B5-4819-8ED8-55DB4C3BB64C}"/>
    <cellStyle name="40% - Accent3 3 4 2" xfId="5153" xr:uid="{AA6988ED-47E4-441A-A8D8-43A29FD8E13B}"/>
    <cellStyle name="40% - Accent3 3 4 2 2" xfId="5154" xr:uid="{B7AA4FF0-F8C2-4639-A222-126AC8DC372C}"/>
    <cellStyle name="40% - Accent3 3 4 2 2 2" xfId="5155" xr:uid="{CCE1F3B8-1A56-4C50-8A46-6647AD428D04}"/>
    <cellStyle name="40% - Accent3 3 4 2 2_Jurisdictional Study" xfId="9312" xr:uid="{FE8DE951-519D-451C-B87A-738D7DCE94E2}"/>
    <cellStyle name="40% - Accent3 3 4 2 3" xfId="5156" xr:uid="{F70D7D0C-7924-48AB-B494-1FA80DC8715B}"/>
    <cellStyle name="40% - Accent3 3 4 2_Jurisdictional Study" xfId="9311" xr:uid="{3EA0295E-490F-47E3-B9CA-72051D6EAD3B}"/>
    <cellStyle name="40% - Accent3 3 4 3" xfId="5157" xr:uid="{569FDBF9-F9B8-44BE-8441-0150D5FD9DCC}"/>
    <cellStyle name="40% - Accent3 3 4 3 2" xfId="5158" xr:uid="{B5DE54BF-8263-40E0-BFC3-155D2F1E5465}"/>
    <cellStyle name="40% - Accent3 3 4 3_Jurisdictional Study" xfId="9313" xr:uid="{006E05E4-FE97-4997-8A5D-54A8B112967F}"/>
    <cellStyle name="40% - Accent3 3 4 4" xfId="5159" xr:uid="{5726530A-4FFC-4CA0-9674-A216765CB67C}"/>
    <cellStyle name="40% - Accent3 3 4_Jurisdictional Study" xfId="9310" xr:uid="{B67B19DE-F8FE-4D3C-B6AB-763D9FC3A15D}"/>
    <cellStyle name="40% - Accent3 3 5" xfId="5160" xr:uid="{0372F4D1-A9B2-411A-A965-F04B0CC42E19}"/>
    <cellStyle name="40% - Accent3 3 5 2" xfId="5161" xr:uid="{706BE74F-9842-4761-BF8B-15A319F473B2}"/>
    <cellStyle name="40% - Accent3 3 5 2 2" xfId="5162" xr:uid="{0103DBBB-5BF3-4643-925D-A53988F98980}"/>
    <cellStyle name="40% - Accent3 3 5 2_Jurisdictional Study" xfId="9315" xr:uid="{4A681431-D343-489D-8BE2-EAB979460F13}"/>
    <cellStyle name="40% - Accent3 3 5 3" xfId="5163" xr:uid="{2A4EC5AD-B60F-4A8F-9386-CBB4D61CA5C2}"/>
    <cellStyle name="40% - Accent3 3 5_Jurisdictional Study" xfId="9314" xr:uid="{F8C730F0-0A6E-4BDC-AE77-07257A6DB6BD}"/>
    <cellStyle name="40% - Accent3 3 6" xfId="5164" xr:uid="{E78E8CDB-A465-4A63-BA24-04711BD84EC2}"/>
    <cellStyle name="40% - Accent3 3 6 2" xfId="5165" xr:uid="{C44F50CA-00EA-461C-8F33-DE8294517142}"/>
    <cellStyle name="40% - Accent3 3 6_Jurisdictional Study" xfId="9316" xr:uid="{39EB0625-C632-4FAD-AD4A-2A1B01268C84}"/>
    <cellStyle name="40% - Accent3 3 7" xfId="5166" xr:uid="{5952E137-A24A-49C1-95EB-553754B3977B}"/>
    <cellStyle name="40% - Accent3 3 8" xfId="5103" xr:uid="{92996327-F033-430D-9E7F-38B9919F938B}"/>
    <cellStyle name="40% - Accent3 3_Jurisdictional Study" xfId="9285" xr:uid="{1DDE24A7-0BA4-4FA8-BE53-217620538FBB}"/>
    <cellStyle name="40% - Accent3 4" xfId="5167" xr:uid="{F1F5F4C1-99E4-4C46-895C-9FFF03E151E3}"/>
    <cellStyle name="40% - Accent3 4 2" xfId="5168" xr:uid="{E2282E3C-B31C-4C05-AA20-8E7552C97F81}"/>
    <cellStyle name="40% - Accent3 4 2 2" xfId="5169" xr:uid="{F3CAF97F-D8AD-4C42-8534-158BBDA98AEE}"/>
    <cellStyle name="40% - Accent3 4 2 2 2" xfId="5170" xr:uid="{134E7692-F6F0-44D9-841C-931AE9A708F3}"/>
    <cellStyle name="40% - Accent3 4 2 2 2 2" xfId="5171" xr:uid="{D4DB3111-CC61-4E16-8912-22D34E885158}"/>
    <cellStyle name="40% - Accent3 4 2 2 2 2 2" xfId="5172" xr:uid="{82915558-1263-481A-86F7-505E0403640F}"/>
    <cellStyle name="40% - Accent3 4 2 2 2 2_Jurisdictional Study" xfId="9321" xr:uid="{DD4B74D0-7A4F-46D0-AC2F-9257C7E37FB3}"/>
    <cellStyle name="40% - Accent3 4 2 2 2 3" xfId="5173" xr:uid="{F52B66D5-3DBF-4023-BB56-73BB5E67D399}"/>
    <cellStyle name="40% - Accent3 4 2 2 2_Jurisdictional Study" xfId="9320" xr:uid="{4EA5B123-6DEA-4DC2-A09A-ECC6CDCE5338}"/>
    <cellStyle name="40% - Accent3 4 2 2 3" xfId="5174" xr:uid="{7AD4CE9A-4B6B-4C59-A183-553A789EA38F}"/>
    <cellStyle name="40% - Accent3 4 2 2 3 2" xfId="5175" xr:uid="{045332EE-D8D4-4424-8056-6B08F5028E82}"/>
    <cellStyle name="40% - Accent3 4 2 2 3_Jurisdictional Study" xfId="9322" xr:uid="{C2579637-66A5-4217-9D10-7186D523A0DC}"/>
    <cellStyle name="40% - Accent3 4 2 2 4" xfId="5176" xr:uid="{5922C7C8-8DB5-4109-94E9-AD34843A73E4}"/>
    <cellStyle name="40% - Accent3 4 2 2_Jurisdictional Study" xfId="9319" xr:uid="{FA05431B-F9E2-4E2D-97DB-90D32AE66109}"/>
    <cellStyle name="40% - Accent3 4 2 3" xfId="5177" xr:uid="{10ED286B-FD5B-4390-B8FC-2C7B02BA3CD4}"/>
    <cellStyle name="40% - Accent3 4 2 3 2" xfId="5178" xr:uid="{57395EFD-A57F-42DA-8953-F3AC11ADFCD9}"/>
    <cellStyle name="40% - Accent3 4 2 3 2 2" xfId="5179" xr:uid="{74A14F94-32ED-4924-949F-05F5667ADED0}"/>
    <cellStyle name="40% - Accent3 4 2 3 2_Jurisdictional Study" xfId="9324" xr:uid="{7818D031-69D7-4EFF-AC96-E91D7048F38F}"/>
    <cellStyle name="40% - Accent3 4 2 3 3" xfId="5180" xr:uid="{A18F4ED2-44E4-438C-B08B-A4A31565DD80}"/>
    <cellStyle name="40% - Accent3 4 2 3_Jurisdictional Study" xfId="9323" xr:uid="{ACF463B2-FE2E-47DD-AA86-C96CA935906D}"/>
    <cellStyle name="40% - Accent3 4 2 4" xfId="5181" xr:uid="{37D059ED-624E-4A0D-92BF-24AE9B78D654}"/>
    <cellStyle name="40% - Accent3 4 2 4 2" xfId="5182" xr:uid="{FB28D271-510F-45BA-B003-1BC0E2B68E02}"/>
    <cellStyle name="40% - Accent3 4 2 4_Jurisdictional Study" xfId="9325" xr:uid="{6983E227-E91F-4683-AD55-09EA4AF385F0}"/>
    <cellStyle name="40% - Accent3 4 2 5" xfId="5183" xr:uid="{2BB4B6B8-30A1-4527-AAAB-5607ABB1F2BE}"/>
    <cellStyle name="40% - Accent3 4 2_Jurisdictional Study" xfId="9318" xr:uid="{9B32183E-2357-4544-AC14-BF1BD05C0D75}"/>
    <cellStyle name="40% - Accent3 4 3" xfId="5184" xr:uid="{2B6A8589-E1A7-403B-B66C-47B6BC234A5A}"/>
    <cellStyle name="40% - Accent3 4 3 2" xfId="5185" xr:uid="{62487CC9-7EB6-41AD-9623-5AE374796074}"/>
    <cellStyle name="40% - Accent3 4 3 2 2" xfId="5186" xr:uid="{150B3A52-B67C-4A6C-BEDC-D998C78C5DF1}"/>
    <cellStyle name="40% - Accent3 4 3 2 2 2" xfId="5187" xr:uid="{075F7C3F-74B4-4BCA-A8C3-77D6B7EE1D60}"/>
    <cellStyle name="40% - Accent3 4 3 2 2_Jurisdictional Study" xfId="9328" xr:uid="{72BE1985-EE5F-4FB3-8456-0B495C42AC34}"/>
    <cellStyle name="40% - Accent3 4 3 2 3" xfId="5188" xr:uid="{4E1FBD7F-69D4-4D5A-A853-4646F4016F80}"/>
    <cellStyle name="40% - Accent3 4 3 2_Jurisdictional Study" xfId="9327" xr:uid="{45471845-B782-42A4-AFAB-BE3DD50ED84A}"/>
    <cellStyle name="40% - Accent3 4 3 3" xfId="5189" xr:uid="{21F6D53D-F066-46AE-86ED-DB3C7F9EEB77}"/>
    <cellStyle name="40% - Accent3 4 3 3 2" xfId="5190" xr:uid="{BA27FF26-0CC8-4919-B0BE-88961212FBD6}"/>
    <cellStyle name="40% - Accent3 4 3 3_Jurisdictional Study" xfId="9329" xr:uid="{B6E5C29A-0CFB-436A-BF09-D0C8A7CD7AA5}"/>
    <cellStyle name="40% - Accent3 4 3 4" xfId="5191" xr:uid="{753DFC29-767F-495D-94E4-4F9F7968525E}"/>
    <cellStyle name="40% - Accent3 4 3_Jurisdictional Study" xfId="9326" xr:uid="{F4B4EA03-3CEF-49B3-9CC0-99B2DAAD79B5}"/>
    <cellStyle name="40% - Accent3 4 4" xfId="5192" xr:uid="{89C3E83A-F41D-43A6-ACD4-2D17B40BB51D}"/>
    <cellStyle name="40% - Accent3 4 4 2" xfId="5193" xr:uid="{4A69E82D-03A6-44AE-B912-4D99B091AB01}"/>
    <cellStyle name="40% - Accent3 4 4 2 2" xfId="5194" xr:uid="{EAFDEE1B-4A57-4613-850E-A646D9EDEF75}"/>
    <cellStyle name="40% - Accent3 4 4 2_Jurisdictional Study" xfId="9331" xr:uid="{CBE507EA-6011-4A99-AB7E-320F979CB91E}"/>
    <cellStyle name="40% - Accent3 4 4 3" xfId="5195" xr:uid="{5CD46EFF-21A7-4196-88DD-8C74C7995ABD}"/>
    <cellStyle name="40% - Accent3 4 4_Jurisdictional Study" xfId="9330" xr:uid="{30439B4D-3BEB-47EB-821D-11BC8E71AB28}"/>
    <cellStyle name="40% - Accent3 4 5" xfId="5196" xr:uid="{EDCA2ABC-4C2B-4FAA-BF16-3CC0477E6385}"/>
    <cellStyle name="40% - Accent3 4 5 2" xfId="5197" xr:uid="{411F7CC2-B088-450F-A5D1-A60FF954C0FD}"/>
    <cellStyle name="40% - Accent3 4 5_Jurisdictional Study" xfId="9332" xr:uid="{B0F69FF6-E4DB-44FA-A090-E19D2E12A617}"/>
    <cellStyle name="40% - Accent3 4 6" xfId="5198" xr:uid="{9F6FA8A0-B65F-4E9D-8996-F08C42637D02}"/>
    <cellStyle name="40% - Accent3 4_Jurisdictional Study" xfId="9317" xr:uid="{0A6EFCDC-3AEC-4E89-9D10-92B83482CCCA}"/>
    <cellStyle name="40% - Accent3 5" xfId="5199" xr:uid="{D1C901BB-4A7C-455F-A73C-0A1713DAAC2A}"/>
    <cellStyle name="40% - Accent3 5 2" xfId="5200" xr:uid="{8B0F4913-6CF5-4617-9386-E605BD11BCA5}"/>
    <cellStyle name="40% - Accent3 5 2 2" xfId="5201" xr:uid="{285F6F20-48F9-4114-8C7B-3516D77BA9CF}"/>
    <cellStyle name="40% - Accent3 5 2 2 2" xfId="5202" xr:uid="{2F57702A-4B56-4EBC-B4DA-89BC6A7F3DF0}"/>
    <cellStyle name="40% - Accent3 5 2 2 2 2" xfId="5203" xr:uid="{065B4C96-FA48-4F9E-91F2-03389B82871A}"/>
    <cellStyle name="40% - Accent3 5 2 2 2_Jurisdictional Study" xfId="9336" xr:uid="{743101E6-AC60-443F-9E29-D22911A24B38}"/>
    <cellStyle name="40% - Accent3 5 2 2 3" xfId="5204" xr:uid="{9EB839A9-C725-406B-AE24-451DC7AD4D0A}"/>
    <cellStyle name="40% - Accent3 5 2 2_Jurisdictional Study" xfId="9335" xr:uid="{AF6704F3-42BE-4E6D-B66A-6814D23F4EA3}"/>
    <cellStyle name="40% - Accent3 5 2 3" xfId="5205" xr:uid="{468389A2-38A7-43CC-B068-FC6F306B3625}"/>
    <cellStyle name="40% - Accent3 5 2 3 2" xfId="5206" xr:uid="{0DF6FC0A-48EF-4D41-AC1B-9899B722D671}"/>
    <cellStyle name="40% - Accent3 5 2 3_Jurisdictional Study" xfId="9337" xr:uid="{5B4D2E49-BECC-4476-8030-432D4350155C}"/>
    <cellStyle name="40% - Accent3 5 2 4" xfId="5207" xr:uid="{B96AE19A-9108-4579-9CA5-D079B0369529}"/>
    <cellStyle name="40% - Accent3 5 2_Jurisdictional Study" xfId="9334" xr:uid="{EBEEA83F-0965-4739-94A4-482919E58DD0}"/>
    <cellStyle name="40% - Accent3 5 3" xfId="5208" xr:uid="{A7DFB555-5BE1-424A-B845-54247448F354}"/>
    <cellStyle name="40% - Accent3 5 3 2" xfId="5209" xr:uid="{D7EA3F0E-EE83-4879-B8EF-8688959F74C8}"/>
    <cellStyle name="40% - Accent3 5 3 2 2" xfId="5210" xr:uid="{30311821-2596-4019-B1C7-2EE2A08CDF30}"/>
    <cellStyle name="40% - Accent3 5 3 2_Jurisdictional Study" xfId="9339" xr:uid="{08CB96B7-FE0A-411F-817F-BF9F44EDCC21}"/>
    <cellStyle name="40% - Accent3 5 3 3" xfId="5211" xr:uid="{AF5E3221-0192-4CB4-910C-8DF8B26FA4DF}"/>
    <cellStyle name="40% - Accent3 5 3_Jurisdictional Study" xfId="9338" xr:uid="{E5A10A69-D087-498A-9E96-39E347C4CC06}"/>
    <cellStyle name="40% - Accent3 5 4" xfId="5212" xr:uid="{BFB5769E-F5B9-4341-9024-6B28FF63B958}"/>
    <cellStyle name="40% - Accent3 5 4 2" xfId="5213" xr:uid="{6C055787-EF34-48A5-986A-DBD3276E175C}"/>
    <cellStyle name="40% - Accent3 5 4_Jurisdictional Study" xfId="9340" xr:uid="{7DEB7D55-BB9E-478E-A1CC-3233E7356116}"/>
    <cellStyle name="40% - Accent3 5 5" xfId="5214" xr:uid="{BE87C0AA-CAD1-4C82-B695-F80ECAD3D443}"/>
    <cellStyle name="40% - Accent3 5_Jurisdictional Study" xfId="9333" xr:uid="{E2633730-1FA0-4DA0-93E9-D4D04A23EB01}"/>
    <cellStyle name="40% - Accent3 6" xfId="5215" xr:uid="{32E15710-A634-4FE6-A5E5-513881EECE99}"/>
    <cellStyle name="40% - Accent3 6 2" xfId="5216" xr:uid="{0B1B835D-00E9-4E59-A76C-ABE49FAF6ABE}"/>
    <cellStyle name="40% - Accent3 6 2 2" xfId="5217" xr:uid="{4F95E5E3-0E25-4BD9-B5E9-AA477BC373EB}"/>
    <cellStyle name="40% - Accent3 6 2 2 2" xfId="5218" xr:uid="{A67058CD-432E-455D-A144-3BB08D7D65F2}"/>
    <cellStyle name="40% - Accent3 6 2 2_Jurisdictional Study" xfId="9343" xr:uid="{B3CA5982-C12E-4F60-A6FF-F11B98B79E13}"/>
    <cellStyle name="40% - Accent3 6 2 3" xfId="5219" xr:uid="{F0BB516B-4FD4-4380-9F5B-01052D857CE8}"/>
    <cellStyle name="40% - Accent3 6 2_Jurisdictional Study" xfId="9342" xr:uid="{8764FF8E-B7FE-4451-8316-E97FDF229836}"/>
    <cellStyle name="40% - Accent3 6 3" xfId="5220" xr:uid="{671C885A-D3ED-4239-AB37-22074A5B2C78}"/>
    <cellStyle name="40% - Accent3 6 3 2" xfId="5221" xr:uid="{019221A6-B8EB-411A-BDC2-CF9F5913822C}"/>
    <cellStyle name="40% - Accent3 6 3_Jurisdictional Study" xfId="9344" xr:uid="{D78FEAC6-47BF-40F6-9879-FD06A2C7FC24}"/>
    <cellStyle name="40% - Accent3 6 4" xfId="5222" xr:uid="{52824DEB-8F6B-4E58-BA2F-0C1B73D071E8}"/>
    <cellStyle name="40% - Accent3 6_Jurisdictional Study" xfId="9341" xr:uid="{836F0F98-6AF7-4341-81D3-8028AC093220}"/>
    <cellStyle name="40% - Accent3 7" xfId="5223" xr:uid="{20378423-3F6B-4A90-A4F4-B62666CABBAB}"/>
    <cellStyle name="40% - Accent3 7 2" xfId="5224" xr:uid="{493C4ECD-6167-4C8E-AB55-FDD1182529B7}"/>
    <cellStyle name="40% - Accent3 7 2 2" xfId="5225" xr:uid="{AE0363E7-97A6-4A71-972F-6653E7CCDF70}"/>
    <cellStyle name="40% - Accent3 7 2 2 2" xfId="5226" xr:uid="{8009948C-7950-41E9-ADE8-F33AE677FCEC}"/>
    <cellStyle name="40% - Accent3 7 2 2_Jurisdictional Study" xfId="9347" xr:uid="{161E98CA-12F8-4D2D-BAEB-CE71F89DA8BA}"/>
    <cellStyle name="40% - Accent3 7 2 3" xfId="5227" xr:uid="{C3A5A79F-78A6-413C-AB7B-BDB19CB17AE0}"/>
    <cellStyle name="40% - Accent3 7 2_Jurisdictional Study" xfId="9346" xr:uid="{2FAE5F8B-32A5-4DFF-BEBC-149393DD2CC7}"/>
    <cellStyle name="40% - Accent3 7 3" xfId="5228" xr:uid="{9353C6DA-E558-4C57-8FFE-DA48C731FB4C}"/>
    <cellStyle name="40% - Accent3 7 3 2" xfId="5229" xr:uid="{B66C06DB-B574-4574-B573-83C42F77DB32}"/>
    <cellStyle name="40% - Accent3 7 3_Jurisdictional Study" xfId="9348" xr:uid="{58ECA86E-A589-403C-9E4A-8A0B5848E023}"/>
    <cellStyle name="40% - Accent3 7 4" xfId="5230" xr:uid="{89E589E7-0F69-42EF-87E5-AA3D75FD20DD}"/>
    <cellStyle name="40% - Accent3 7_Jurisdictional Study" xfId="9345" xr:uid="{A3267648-ADAB-4C44-9557-B2845EFAE81D}"/>
    <cellStyle name="40% - Accent3 8" xfId="5231" xr:uid="{5653B4D7-B676-46B1-A970-052704351D32}"/>
    <cellStyle name="40% - Accent3 8 2" xfId="5232" xr:uid="{0EC4DCEF-F21F-4F7F-B347-A32F39A548AC}"/>
    <cellStyle name="40% - Accent3 8 2 2" xfId="5233" xr:uid="{426C7B99-94A2-4264-B450-7E118B2CE3B5}"/>
    <cellStyle name="40% - Accent3 8 2 2 2" xfId="5234" xr:uid="{54A00D13-B90E-42AC-BEEE-443D4BE3B032}"/>
    <cellStyle name="40% - Accent3 8 2 2_Jurisdictional Study" xfId="9351" xr:uid="{76C3C54B-C4FC-4375-A184-13962B91199B}"/>
    <cellStyle name="40% - Accent3 8 2 3" xfId="5235" xr:uid="{94F6A262-CB9C-4E85-8020-B0EBE124841B}"/>
    <cellStyle name="40% - Accent3 8 2_Jurisdictional Study" xfId="9350" xr:uid="{5DE62845-601A-4B11-A78A-E5C011CD5EC8}"/>
    <cellStyle name="40% - Accent3 8 3" xfId="5236" xr:uid="{7332398F-4325-465F-9480-EE52BA7FB7D6}"/>
    <cellStyle name="40% - Accent3 8 3 2" xfId="5237" xr:uid="{149C29A9-7EA4-4662-A6E3-E9BF85C2DC9E}"/>
    <cellStyle name="40% - Accent3 8 3_Jurisdictional Study" xfId="9352" xr:uid="{3E73398F-D125-44EB-9394-9C437512701D}"/>
    <cellStyle name="40% - Accent3 8 4" xfId="5238" xr:uid="{C8849C81-2518-47C7-9798-5F6C5FA6C21C}"/>
    <cellStyle name="40% - Accent3 8_Jurisdictional Study" xfId="9349" xr:uid="{B494AEBF-6D00-47E1-9169-1FE13D4139E1}"/>
    <cellStyle name="40% - Accent3 9" xfId="5239" xr:uid="{DE3DB6ED-A3D8-4E6C-B9B7-32CAC4BFC777}"/>
    <cellStyle name="40% - Accent3 9 2" xfId="5240" xr:uid="{94A95D8F-5E8A-41B6-81AC-21FC0E1F6A78}"/>
    <cellStyle name="40% - Accent3 9 2 2" xfId="5241" xr:uid="{1E34062C-7F1B-43E8-8489-84A6E5A98010}"/>
    <cellStyle name="40% - Accent3 9 2_Jurisdictional Study" xfId="9354" xr:uid="{0EB50DBA-420A-46E4-9BF4-0C031D9DA1BB}"/>
    <cellStyle name="40% - Accent3 9 3" xfId="5242" xr:uid="{8A98597F-EFEF-4E16-8B05-7E114B1EC34F}"/>
    <cellStyle name="40% - Accent3 9_Jurisdictional Study" xfId="9353" xr:uid="{D954C18D-B543-4F4B-9C97-F86F498BC8E7}"/>
    <cellStyle name="40% - Accent4" xfId="10" builtinId="43" customBuiltin="1"/>
    <cellStyle name="40% - Accent4 10" xfId="5243" xr:uid="{5E7FA826-348A-4C29-9C2B-BB5C7349C1E3}"/>
    <cellStyle name="40% - Accent4 10 2" xfId="5244" xr:uid="{7D77E9CA-27A2-4384-9349-7B98B9A0BC41}"/>
    <cellStyle name="40% - Accent4 10 2 2" xfId="5245" xr:uid="{3396DBA7-FAFC-43A9-A754-422898E3ED3D}"/>
    <cellStyle name="40% - Accent4 10 2_Jurisdictional Study" xfId="9356" xr:uid="{E77F7767-80BE-4B9E-82A8-D6AE2336ACDD}"/>
    <cellStyle name="40% - Accent4 10 3" xfId="5246" xr:uid="{64127013-1C79-4717-9BB6-59B191E1CB9F}"/>
    <cellStyle name="40% - Accent4 10_Jurisdictional Study" xfId="9355" xr:uid="{7403760A-DB5B-4C38-AE4C-DA389B185044}"/>
    <cellStyle name="40% - Accent4 11" xfId="5247" xr:uid="{636CE8C4-9F00-445B-A9B0-C467C6FDE0C9}"/>
    <cellStyle name="40% - Accent4 11 2" xfId="5248" xr:uid="{DAC0D009-D1E6-485B-8D52-44F6907D1D02}"/>
    <cellStyle name="40% - Accent4 11 2 2" xfId="5249" xr:uid="{0CDAFCF3-B769-4C70-ADB5-544F223A2C63}"/>
    <cellStyle name="40% - Accent4 11 2_Jurisdictional Study" xfId="9358" xr:uid="{22502A7C-431D-40A9-93EB-81B6A1EFFB7C}"/>
    <cellStyle name="40% - Accent4 11 3" xfId="5250" xr:uid="{F6B90A81-E9A9-47D8-B111-6B807FAA9A41}"/>
    <cellStyle name="40% - Accent4 11_Jurisdictional Study" xfId="9357" xr:uid="{F17C8C37-1BF8-4599-922A-8E6FDA8E5672}"/>
    <cellStyle name="40% - Accent4 12" xfId="5251" xr:uid="{4D8D9FB7-E7A5-48B5-A423-6568AC15E4B2}"/>
    <cellStyle name="40% - Accent4 12 2" xfId="5252" xr:uid="{FB77E1E5-6C75-45A2-8118-C113F642B238}"/>
    <cellStyle name="40% - Accent4 12_Jurisdictional Study" xfId="9359" xr:uid="{91B4706C-36A3-4A14-B5F2-813B8B0D0413}"/>
    <cellStyle name="40% - Accent4 13" xfId="5253" xr:uid="{3AAB3C46-B237-470D-AB1B-D581459291F9}"/>
    <cellStyle name="40% - Accent4 14" xfId="3183" xr:uid="{C33CC537-29F6-4D89-9734-038D4FFC38C5}"/>
    <cellStyle name="40% - Accent4 2" xfId="256" xr:uid="{CF14166A-F30B-4B5E-BEE8-27A900DF9C68}"/>
    <cellStyle name="40% - Accent4 2 2" xfId="5255" xr:uid="{5B703DE1-91C6-4C1C-8775-92A695FA58EA}"/>
    <cellStyle name="40% - Accent4 2 2 2" xfId="5256" xr:uid="{BBF15961-C957-4B99-B575-26C8C2A44C01}"/>
    <cellStyle name="40% - Accent4 2 2 2 2" xfId="5257" xr:uid="{14CBFD96-1430-4A10-A21C-42232966004A}"/>
    <cellStyle name="40% - Accent4 2 2 2 2 2" xfId="5258" xr:uid="{DE8EEA3B-2C6D-4578-81DC-1445C1FEA69B}"/>
    <cellStyle name="40% - Accent4 2 2 2 2 2 2" xfId="5259" xr:uid="{CA246CCA-6F44-4F4C-8F78-F406B946FF0B}"/>
    <cellStyle name="40% - Accent4 2 2 2 2 2 2 2" xfId="5260" xr:uid="{D7DBD0AC-37D8-498A-878A-A1C685C6248A}"/>
    <cellStyle name="40% - Accent4 2 2 2 2 2 2_Jurisdictional Study" xfId="9364" xr:uid="{A2ADDF50-00D5-476E-84FB-8096DBBF6BB0}"/>
    <cellStyle name="40% - Accent4 2 2 2 2 2 3" xfId="5261" xr:uid="{DFBF51BE-53AC-4B89-89AA-CD02672FC62D}"/>
    <cellStyle name="40% - Accent4 2 2 2 2 2_Jurisdictional Study" xfId="9363" xr:uid="{6967C802-BB85-44C0-8137-528C06A5963C}"/>
    <cellStyle name="40% - Accent4 2 2 2 2 3" xfId="5262" xr:uid="{FCDABEC5-14D1-4D93-9C78-F621DFAB10FF}"/>
    <cellStyle name="40% - Accent4 2 2 2 2 3 2" xfId="5263" xr:uid="{E6C5DEA3-7EEE-4C70-81CC-5266D6A4B25A}"/>
    <cellStyle name="40% - Accent4 2 2 2 2 3_Jurisdictional Study" xfId="9365" xr:uid="{F203F78C-DE5F-4DAE-A526-E61DA9EAEC89}"/>
    <cellStyle name="40% - Accent4 2 2 2 2 4" xfId="5264" xr:uid="{A815CDB4-59DF-44AB-BAB9-FA08EC18EA63}"/>
    <cellStyle name="40% - Accent4 2 2 2 2_Jurisdictional Study" xfId="9362" xr:uid="{9390028C-2EC4-4A78-8731-ED588E3E7671}"/>
    <cellStyle name="40% - Accent4 2 2 2 3" xfId="5265" xr:uid="{2635B57F-1D88-40F4-90FF-42970FC56305}"/>
    <cellStyle name="40% - Accent4 2 2 2 3 2" xfId="5266" xr:uid="{207140C0-B7D1-41DE-AA88-64C469023D9B}"/>
    <cellStyle name="40% - Accent4 2 2 2 3 2 2" xfId="5267" xr:uid="{BB7FBF42-9D53-4D88-822A-69D12E91912D}"/>
    <cellStyle name="40% - Accent4 2 2 2 3 2_Jurisdictional Study" xfId="9367" xr:uid="{B073E70B-F5C6-4E63-AD6B-7B9FDEA816C0}"/>
    <cellStyle name="40% - Accent4 2 2 2 3 3" xfId="5268" xr:uid="{56820D0A-2B6C-415E-86CA-28C5D5A62849}"/>
    <cellStyle name="40% - Accent4 2 2 2 3_Jurisdictional Study" xfId="9366" xr:uid="{C3774CA2-6A2A-412E-9350-E7E1D96E07A2}"/>
    <cellStyle name="40% - Accent4 2 2 2 4" xfId="5269" xr:uid="{A762640F-7CD2-4C86-82C0-031109E7FE5D}"/>
    <cellStyle name="40% - Accent4 2 2 2 4 2" xfId="5270" xr:uid="{6F93BCC6-4628-46FA-9D39-D1D08E4DAD2E}"/>
    <cellStyle name="40% - Accent4 2 2 2 4_Jurisdictional Study" xfId="9368" xr:uid="{31637B84-850C-4655-A67F-4FFDFB61D77C}"/>
    <cellStyle name="40% - Accent4 2 2 2 5" xfId="5271" xr:uid="{2AD39459-8414-4800-AA1C-F1BFAAAAFC0B}"/>
    <cellStyle name="40% - Accent4 2 2 2_Jurisdictional Study" xfId="9361" xr:uid="{47164374-E465-45EB-85DF-14FFCF8A305F}"/>
    <cellStyle name="40% - Accent4 2 2 3" xfId="5272" xr:uid="{33F986E1-EEBD-4B6F-9A66-AD2C7A54B1B1}"/>
    <cellStyle name="40% - Accent4 2 2 3 2" xfId="5273" xr:uid="{D9246EC8-0014-432B-AFA3-697998698845}"/>
    <cellStyle name="40% - Accent4 2 2 3 2 2" xfId="5274" xr:uid="{13AE690C-1FBA-4EEA-B91C-A41D208575CA}"/>
    <cellStyle name="40% - Accent4 2 2 3 2 2 2" xfId="5275" xr:uid="{02E6DB2A-5106-4DB9-BB4E-990FEEBBBD8F}"/>
    <cellStyle name="40% - Accent4 2 2 3 2 2_Jurisdictional Study" xfId="9371" xr:uid="{1EC30872-FB94-445D-A9F9-CCFD420B353E}"/>
    <cellStyle name="40% - Accent4 2 2 3 2 3" xfId="5276" xr:uid="{1476841A-A59A-48D1-8094-5DAC7C6562FF}"/>
    <cellStyle name="40% - Accent4 2 2 3 2_Jurisdictional Study" xfId="9370" xr:uid="{5F2EF1D1-D6C1-418E-859A-6E03FE870105}"/>
    <cellStyle name="40% - Accent4 2 2 3 3" xfId="5277" xr:uid="{0F233668-B847-45F6-BB3B-90FC39D5DFD3}"/>
    <cellStyle name="40% - Accent4 2 2 3 3 2" xfId="5278" xr:uid="{B28AE53D-A898-473B-85AA-53AB0346B0C5}"/>
    <cellStyle name="40% - Accent4 2 2 3 3_Jurisdictional Study" xfId="9372" xr:uid="{A25B4323-C140-48A9-BDFA-2A1BAB30A27F}"/>
    <cellStyle name="40% - Accent4 2 2 3 4" xfId="5279" xr:uid="{6BD94768-D278-4DAC-A515-EA2B2E42C4B6}"/>
    <cellStyle name="40% - Accent4 2 2 3_Jurisdictional Study" xfId="9369" xr:uid="{4D074E39-2CAE-49F3-A8B0-9ACDEA700526}"/>
    <cellStyle name="40% - Accent4 2 2 4" xfId="5280" xr:uid="{0612FA41-1804-4C21-BCDA-02DDD9CF7D17}"/>
    <cellStyle name="40% - Accent4 2 2 4 2" xfId="5281" xr:uid="{06BEC630-E70A-4C37-8D99-7E79C2BB5185}"/>
    <cellStyle name="40% - Accent4 2 2 4 2 2" xfId="5282" xr:uid="{3CC9EE6A-ACD6-445A-8D7E-111017FEBFC4}"/>
    <cellStyle name="40% - Accent4 2 2 4 2_Jurisdictional Study" xfId="9374" xr:uid="{B2AF0279-C154-4A74-AFA6-7E1784C98731}"/>
    <cellStyle name="40% - Accent4 2 2 4 3" xfId="5283" xr:uid="{D5AE46D8-7A88-4C49-9C93-75B96CCB9136}"/>
    <cellStyle name="40% - Accent4 2 2 4_Jurisdictional Study" xfId="9373" xr:uid="{D69FB1DD-DD60-493A-AAA2-DE89ACEFF849}"/>
    <cellStyle name="40% - Accent4 2 2 5" xfId="5284" xr:uid="{5DA861D5-FC54-41C1-88F3-7F6A9A95E236}"/>
    <cellStyle name="40% - Accent4 2 2 5 2" xfId="5285" xr:uid="{BAF75502-9C14-4421-B12A-484CE85A5E78}"/>
    <cellStyle name="40% - Accent4 2 2 5_Jurisdictional Study" xfId="9375" xr:uid="{E08887CF-FF4F-45F5-9201-57E4BA75A4D4}"/>
    <cellStyle name="40% - Accent4 2 2 6" xfId="5286" xr:uid="{830218B4-2EB4-470A-8496-841193563184}"/>
    <cellStyle name="40% - Accent4 2 2_Jurisdictional Study" xfId="9360" xr:uid="{F15C265F-0D1F-4344-BF3E-8EE35902D4A6}"/>
    <cellStyle name="40% - Accent4 2 3" xfId="5287" xr:uid="{E13110F2-3DF8-4D52-BF30-49B6E974D4A0}"/>
    <cellStyle name="40% - Accent4 2 3 2" xfId="5288" xr:uid="{85CCB0FF-0EE2-485A-9955-6A161966E455}"/>
    <cellStyle name="40% - Accent4 2 3 2 2" xfId="5289" xr:uid="{5B91C572-E61B-433D-A14D-67C0E8ECCB40}"/>
    <cellStyle name="40% - Accent4 2 3 2 2 2" xfId="5290" xr:uid="{BDB95104-6A46-4913-9F1B-33517A44A352}"/>
    <cellStyle name="40% - Accent4 2 3 2 2 2 2" xfId="5291" xr:uid="{A891335E-E446-485B-BD7D-AD2D0FA0909B}"/>
    <cellStyle name="40% - Accent4 2 3 2 2 2_Jurisdictional Study" xfId="9379" xr:uid="{B7B85203-50EA-4177-8AA4-143D26629543}"/>
    <cellStyle name="40% - Accent4 2 3 2 2 3" xfId="5292" xr:uid="{A942C7F5-BA28-4392-8083-5848824B4F75}"/>
    <cellStyle name="40% - Accent4 2 3 2 2_Jurisdictional Study" xfId="9378" xr:uid="{1DC60874-2CC3-4A86-B909-9E7E000D05A8}"/>
    <cellStyle name="40% - Accent4 2 3 2 3" xfId="5293" xr:uid="{3A14BDFB-A718-44BC-861A-FE60FE5B13E5}"/>
    <cellStyle name="40% - Accent4 2 3 2 3 2" xfId="5294" xr:uid="{C7C1DC4C-9F77-4BA1-92AA-7CE42F2738D2}"/>
    <cellStyle name="40% - Accent4 2 3 2 3_Jurisdictional Study" xfId="9380" xr:uid="{F119D6CF-FD42-4A35-B3A5-3C749AC63542}"/>
    <cellStyle name="40% - Accent4 2 3 2 4" xfId="5295" xr:uid="{11464FCD-EB6B-4C88-9695-82DB27BD4A66}"/>
    <cellStyle name="40% - Accent4 2 3 2_Jurisdictional Study" xfId="9377" xr:uid="{692AFA35-2ED0-41BE-A3D7-1B581E95F997}"/>
    <cellStyle name="40% - Accent4 2 3 3" xfId="5296" xr:uid="{AB71AB1F-3FE1-43D6-ABED-2EA0AEE87BA9}"/>
    <cellStyle name="40% - Accent4 2 3 3 2" xfId="5297" xr:uid="{EAD52F34-DEDA-4E8F-AD51-65E89F7872AD}"/>
    <cellStyle name="40% - Accent4 2 3 3 2 2" xfId="5298" xr:uid="{5034FCC3-CA20-41C7-8369-05DBB47C42FB}"/>
    <cellStyle name="40% - Accent4 2 3 3 2_Jurisdictional Study" xfId="9382" xr:uid="{B2F98534-6761-4489-8E24-2726A048FE01}"/>
    <cellStyle name="40% - Accent4 2 3 3 3" xfId="5299" xr:uid="{7F6E26D0-8910-4723-AA38-26302B8871A3}"/>
    <cellStyle name="40% - Accent4 2 3 3_Jurisdictional Study" xfId="9381" xr:uid="{CD3563DF-741D-4635-B7B7-AD6D6FB6E323}"/>
    <cellStyle name="40% - Accent4 2 3 4" xfId="5300" xr:uid="{8F6DA930-472D-4967-A58C-A971205161E8}"/>
    <cellStyle name="40% - Accent4 2 3 4 2" xfId="5301" xr:uid="{BFBB62B5-3ECB-4423-8A92-A3144D1E414D}"/>
    <cellStyle name="40% - Accent4 2 3 4_Jurisdictional Study" xfId="9383" xr:uid="{28500AD0-2A30-4002-A49A-B9DAFD5A8B6B}"/>
    <cellStyle name="40% - Accent4 2 3 5" xfId="5302" xr:uid="{4ECBFC3A-C98D-406B-AF5C-8ECB5D203AED}"/>
    <cellStyle name="40% - Accent4 2 3_Jurisdictional Study" xfId="9376" xr:uid="{55C13595-CE12-4449-BFC0-8906FD8467C7}"/>
    <cellStyle name="40% - Accent4 2 4" xfId="5303" xr:uid="{0548CB61-CF49-477D-985A-34402CCDBB37}"/>
    <cellStyle name="40% - Accent4 2 4 2" xfId="5304" xr:uid="{5C180A41-AD93-4B7F-865F-72DFC212BDC0}"/>
    <cellStyle name="40% - Accent4 2 4 2 2" xfId="5305" xr:uid="{973CBDA8-302A-4E98-A3C5-58B90E4B058E}"/>
    <cellStyle name="40% - Accent4 2 4 2 2 2" xfId="5306" xr:uid="{50B3F9F9-4FBB-4DA7-93D6-0C39B700EC9B}"/>
    <cellStyle name="40% - Accent4 2 4 2 2_Jurisdictional Study" xfId="9386" xr:uid="{015998F0-BCAD-410D-8919-6C1C3C976382}"/>
    <cellStyle name="40% - Accent4 2 4 2 3" xfId="5307" xr:uid="{D04DEE5C-DF84-4271-AD52-85A1310E28D0}"/>
    <cellStyle name="40% - Accent4 2 4 2_Jurisdictional Study" xfId="9385" xr:uid="{0EAC5709-262D-4227-98CD-DAD2EC31934A}"/>
    <cellStyle name="40% - Accent4 2 4 3" xfId="5308" xr:uid="{DEAA819E-6BD7-4370-8500-37259DEF5F1B}"/>
    <cellStyle name="40% - Accent4 2 4 3 2" xfId="5309" xr:uid="{5D605C79-1662-4E6C-BBC0-F210F8F0E41C}"/>
    <cellStyle name="40% - Accent4 2 4 3_Jurisdictional Study" xfId="9387" xr:uid="{3B75B14D-4260-4E6F-AF10-9333AC670E04}"/>
    <cellStyle name="40% - Accent4 2 4 4" xfId="5310" xr:uid="{D1CEC925-D231-4692-B864-223AA2D41455}"/>
    <cellStyle name="40% - Accent4 2 4_Jurisdictional Study" xfId="9384" xr:uid="{8939D061-6021-48AE-A28B-8E1FEAF89DF4}"/>
    <cellStyle name="40% - Accent4 2 5" xfId="5311" xr:uid="{2FACDE44-9466-4DE6-8156-4BEDAA5AD79F}"/>
    <cellStyle name="40% - Accent4 2 5 2" xfId="5312" xr:uid="{71CFA3AE-6903-47D1-AEAC-218E6172F857}"/>
    <cellStyle name="40% - Accent4 2 5 2 2" xfId="5313" xr:uid="{CF971CAC-E213-4A9E-9E16-A8DFBC7F73E7}"/>
    <cellStyle name="40% - Accent4 2 5 2_Jurisdictional Study" xfId="9389" xr:uid="{621DEBBE-93AB-4542-9CEE-4527910B97AD}"/>
    <cellStyle name="40% - Accent4 2 5 3" xfId="5314" xr:uid="{2330BDB5-4576-4AF8-B9F5-8D78BB66BD71}"/>
    <cellStyle name="40% - Accent4 2 5_Jurisdictional Study" xfId="9388" xr:uid="{748DE768-0E8E-4FFD-9CE8-A6720D3F025E}"/>
    <cellStyle name="40% - Accent4 2 6" xfId="5315" xr:uid="{8EE9B2A8-FE2F-4A22-A7E2-76CF9A8DF772}"/>
    <cellStyle name="40% - Accent4 2 6 2" xfId="5316" xr:uid="{569C4DFE-1DBF-474C-85EE-10CB8B4FA582}"/>
    <cellStyle name="40% - Accent4 2 6_Jurisdictional Study" xfId="9390" xr:uid="{084BCB2D-D83E-4324-B0B5-1C9E7FBE6EC8}"/>
    <cellStyle name="40% - Accent4 2 7" xfId="5317" xr:uid="{BF47A7A9-ED5F-4586-BC29-B5EAC232F388}"/>
    <cellStyle name="40% - Accent4 2 8" xfId="5254" xr:uid="{E19F2DF4-45BD-4E36-AA8D-90D96522A61D}"/>
    <cellStyle name="40% - Accent4 3" xfId="3213" xr:uid="{C58DD7B3-8809-4535-9D8E-F8D60DBEE05E}"/>
    <cellStyle name="40% - Accent4 3 2" xfId="5319" xr:uid="{B3A1175D-7C93-4D5A-B881-1A39D5CFC80C}"/>
    <cellStyle name="40% - Accent4 3 2 2" xfId="5320" xr:uid="{321D60AB-CA98-4697-9EC6-84C8E5DC4CAE}"/>
    <cellStyle name="40% - Accent4 3 2 2 2" xfId="5321" xr:uid="{BF6C6DEE-4240-4FA6-9C48-7D6FECD94E85}"/>
    <cellStyle name="40% - Accent4 3 2 2 2 2" xfId="5322" xr:uid="{A2F87FC6-3532-4906-8DBF-67B9936E2E03}"/>
    <cellStyle name="40% - Accent4 3 2 2 2 2 2" xfId="5323" xr:uid="{4DCA2000-3DB3-4427-A862-F8017F8426E0}"/>
    <cellStyle name="40% - Accent4 3 2 2 2 2 2 2" xfId="5324" xr:uid="{B711ADA0-D664-4407-B955-FD65324B8E28}"/>
    <cellStyle name="40% - Accent4 3 2 2 2 2 2_Jurisdictional Study" xfId="9396" xr:uid="{F82A7799-0485-4A40-8BD1-1D0D32FD8581}"/>
    <cellStyle name="40% - Accent4 3 2 2 2 2 3" xfId="5325" xr:uid="{95CD3AE1-CB98-41F3-A1E8-192A94A1C3CB}"/>
    <cellStyle name="40% - Accent4 3 2 2 2 2_Jurisdictional Study" xfId="9395" xr:uid="{C81E0C85-9A93-4EC6-B35A-C1A022221741}"/>
    <cellStyle name="40% - Accent4 3 2 2 2 3" xfId="5326" xr:uid="{8FDB22D1-5EA1-4C52-8388-09CD652E722C}"/>
    <cellStyle name="40% - Accent4 3 2 2 2 3 2" xfId="5327" xr:uid="{20AC6C58-32CF-492E-B43D-324976DCBC86}"/>
    <cellStyle name="40% - Accent4 3 2 2 2 3_Jurisdictional Study" xfId="9397" xr:uid="{352FBDFB-BE0B-45A6-B8FF-9F8E57FBB799}"/>
    <cellStyle name="40% - Accent4 3 2 2 2 4" xfId="5328" xr:uid="{E437ADB9-0FD3-45EE-97ED-E6E6F1DB5D72}"/>
    <cellStyle name="40% - Accent4 3 2 2 2_Jurisdictional Study" xfId="9394" xr:uid="{59C67C90-C1DA-478B-82E7-D549D16B97D2}"/>
    <cellStyle name="40% - Accent4 3 2 2 3" xfId="5329" xr:uid="{11152CEA-FAAF-409D-89C6-10B1DCC07570}"/>
    <cellStyle name="40% - Accent4 3 2 2 3 2" xfId="5330" xr:uid="{77591776-DA00-42BE-B91C-F32A53B3D36A}"/>
    <cellStyle name="40% - Accent4 3 2 2 3 2 2" xfId="5331" xr:uid="{25471FB2-F9E1-44A5-B5B7-91F2B7A30349}"/>
    <cellStyle name="40% - Accent4 3 2 2 3 2_Jurisdictional Study" xfId="9399" xr:uid="{93549A48-B547-4A18-AE2D-DFF066EC4AF6}"/>
    <cellStyle name="40% - Accent4 3 2 2 3 3" xfId="5332" xr:uid="{7F6585A1-5404-470E-A5A0-B022B4E78CDA}"/>
    <cellStyle name="40% - Accent4 3 2 2 3_Jurisdictional Study" xfId="9398" xr:uid="{4B3012FE-D4CC-4000-9706-67819B2792DB}"/>
    <cellStyle name="40% - Accent4 3 2 2 4" xfId="5333" xr:uid="{C2B7D15A-1312-4E1C-85E1-B13548409478}"/>
    <cellStyle name="40% - Accent4 3 2 2 4 2" xfId="5334" xr:uid="{C9680C5E-5607-4261-8077-B400A213108E}"/>
    <cellStyle name="40% - Accent4 3 2 2 4_Jurisdictional Study" xfId="9400" xr:uid="{A0F922F0-5D16-401B-BE6B-EB991B36CEB1}"/>
    <cellStyle name="40% - Accent4 3 2 2 5" xfId="5335" xr:uid="{2723F101-FA5B-47FF-9FB7-AC5DC0E23AF3}"/>
    <cellStyle name="40% - Accent4 3 2 2_Jurisdictional Study" xfId="9393" xr:uid="{9EC96E2B-089F-471F-899C-03F97A9E1F11}"/>
    <cellStyle name="40% - Accent4 3 2 3" xfId="5336" xr:uid="{5BFF066F-50CB-4E70-A7F2-2823E3674B67}"/>
    <cellStyle name="40% - Accent4 3 2 3 2" xfId="5337" xr:uid="{001AE43B-8D68-4FE7-A731-8CD84955910C}"/>
    <cellStyle name="40% - Accent4 3 2 3 2 2" xfId="5338" xr:uid="{F61A91C4-AC8C-4BE5-A862-3EF7C917EA28}"/>
    <cellStyle name="40% - Accent4 3 2 3 2 2 2" xfId="5339" xr:uid="{B46E1EC0-2077-4053-B082-2117E0448BB1}"/>
    <cellStyle name="40% - Accent4 3 2 3 2 2_Jurisdictional Study" xfId="9403" xr:uid="{080516F2-E000-448C-9E79-F53CCBF19921}"/>
    <cellStyle name="40% - Accent4 3 2 3 2 3" xfId="5340" xr:uid="{09244EAC-24FD-4DC2-B49B-BB730E337B8D}"/>
    <cellStyle name="40% - Accent4 3 2 3 2_Jurisdictional Study" xfId="9402" xr:uid="{110D7ED1-1953-4D91-8AAB-D472DC52704A}"/>
    <cellStyle name="40% - Accent4 3 2 3 3" xfId="5341" xr:uid="{3595693C-F9CF-4832-8D03-74A49DA31055}"/>
    <cellStyle name="40% - Accent4 3 2 3 3 2" xfId="5342" xr:uid="{C077813A-7500-45E9-B512-F1DDA2B2617F}"/>
    <cellStyle name="40% - Accent4 3 2 3 3_Jurisdictional Study" xfId="9404" xr:uid="{167F46ED-5736-4298-8284-50EACF1214FE}"/>
    <cellStyle name="40% - Accent4 3 2 3 4" xfId="5343" xr:uid="{1E89A76E-8ECA-4625-99EB-1581B12139F0}"/>
    <cellStyle name="40% - Accent4 3 2 3_Jurisdictional Study" xfId="9401" xr:uid="{405CC076-C3E9-40E5-87B9-8B2EA0166527}"/>
    <cellStyle name="40% - Accent4 3 2 4" xfId="5344" xr:uid="{24FF4F65-478E-4CD7-A4F0-B6A9F31102FE}"/>
    <cellStyle name="40% - Accent4 3 2 4 2" xfId="5345" xr:uid="{C7366BD1-6897-41F4-ABB0-C195ED3E8096}"/>
    <cellStyle name="40% - Accent4 3 2 4 2 2" xfId="5346" xr:uid="{C6BEBAD5-CED5-40D3-9BCF-19DCCE4D0B8F}"/>
    <cellStyle name="40% - Accent4 3 2 4 2_Jurisdictional Study" xfId="9406" xr:uid="{04FFC9E7-F1B8-406B-AF9B-3EAC6D03452E}"/>
    <cellStyle name="40% - Accent4 3 2 4 3" xfId="5347" xr:uid="{F3838FA3-1823-4A47-BFC0-B12A6567C311}"/>
    <cellStyle name="40% - Accent4 3 2 4_Jurisdictional Study" xfId="9405" xr:uid="{7D36E973-028E-420F-9D28-2490022E2627}"/>
    <cellStyle name="40% - Accent4 3 2 5" xfId="5348" xr:uid="{CAA494B0-6EFE-4907-81BC-198952D075A6}"/>
    <cellStyle name="40% - Accent4 3 2 5 2" xfId="5349" xr:uid="{8BA02E37-A2D1-4AD7-9160-E8983CFE8A62}"/>
    <cellStyle name="40% - Accent4 3 2 5_Jurisdictional Study" xfId="9407" xr:uid="{99F89E71-4E86-40D0-B3E1-2E38F0AFAB4E}"/>
    <cellStyle name="40% - Accent4 3 2 6" xfId="5350" xr:uid="{71761F0C-7843-4481-8964-2CD4E4A954AB}"/>
    <cellStyle name="40% - Accent4 3 2_Jurisdictional Study" xfId="9392" xr:uid="{25AC7D7E-0DFF-418F-A161-D7633F46237C}"/>
    <cellStyle name="40% - Accent4 3 3" xfId="5351" xr:uid="{0CC3FCFA-63EF-4368-9B14-81BD46DA56A6}"/>
    <cellStyle name="40% - Accent4 3 3 2" xfId="5352" xr:uid="{49D2BD67-CF17-4642-8CBA-36E6E676B648}"/>
    <cellStyle name="40% - Accent4 3 3 2 2" xfId="5353" xr:uid="{12975FF6-A6CA-4A47-89A9-AA1B68922BAC}"/>
    <cellStyle name="40% - Accent4 3 3 2 2 2" xfId="5354" xr:uid="{83AD5E33-ABF6-42E0-B67E-9D4F45868D90}"/>
    <cellStyle name="40% - Accent4 3 3 2 2 2 2" xfId="5355" xr:uid="{87F37578-BE4D-42A2-88A7-3B25721B33B2}"/>
    <cellStyle name="40% - Accent4 3 3 2 2 2_Jurisdictional Study" xfId="9411" xr:uid="{C778BC78-5096-436D-B54F-15389DDC84E1}"/>
    <cellStyle name="40% - Accent4 3 3 2 2 3" xfId="5356" xr:uid="{47F3EAF8-C633-466D-81FF-89D8C756F152}"/>
    <cellStyle name="40% - Accent4 3 3 2 2_Jurisdictional Study" xfId="9410" xr:uid="{914BB7AE-F46A-4EEF-AA31-E87BD76DA5AD}"/>
    <cellStyle name="40% - Accent4 3 3 2 3" xfId="5357" xr:uid="{D08EE41C-23E6-4100-A23C-D2E0C0299B43}"/>
    <cellStyle name="40% - Accent4 3 3 2 3 2" xfId="5358" xr:uid="{639A3BCE-ED4C-4E44-A00C-6514483BDA98}"/>
    <cellStyle name="40% - Accent4 3 3 2 3_Jurisdictional Study" xfId="9412" xr:uid="{4F761586-3732-40F8-B4DE-37CA77231443}"/>
    <cellStyle name="40% - Accent4 3 3 2 4" xfId="5359" xr:uid="{7690B361-AE45-44C0-A6F8-4D4D3E93D795}"/>
    <cellStyle name="40% - Accent4 3 3 2_Jurisdictional Study" xfId="9409" xr:uid="{97F10223-1BF3-4316-90FD-16F03765127E}"/>
    <cellStyle name="40% - Accent4 3 3 3" xfId="5360" xr:uid="{0724CFC2-0A05-480F-8A5E-872250122BA4}"/>
    <cellStyle name="40% - Accent4 3 3 3 2" xfId="5361" xr:uid="{5CA5B044-4C00-46A5-8FCD-465B005B8C71}"/>
    <cellStyle name="40% - Accent4 3 3 3 2 2" xfId="5362" xr:uid="{7063A71D-D77C-4F51-9803-889597267E15}"/>
    <cellStyle name="40% - Accent4 3 3 3 2_Jurisdictional Study" xfId="9414" xr:uid="{C934F3F3-6290-412E-8703-B49896150C9F}"/>
    <cellStyle name="40% - Accent4 3 3 3 3" xfId="5363" xr:uid="{49CF7979-21BD-4386-B078-54DAC190E5D8}"/>
    <cellStyle name="40% - Accent4 3 3 3_Jurisdictional Study" xfId="9413" xr:uid="{503B21ED-5A7D-4F28-8CA7-91CA4BF9A375}"/>
    <cellStyle name="40% - Accent4 3 3 4" xfId="5364" xr:uid="{EDB8EB64-BF96-402B-8FB1-23FEF76132DB}"/>
    <cellStyle name="40% - Accent4 3 3 4 2" xfId="5365" xr:uid="{D746994D-FCB3-4F8D-9D54-8A923E591415}"/>
    <cellStyle name="40% - Accent4 3 3 4_Jurisdictional Study" xfId="9415" xr:uid="{0B6DCB74-EBE2-4EAC-B8D5-902F516AC8F2}"/>
    <cellStyle name="40% - Accent4 3 3 5" xfId="5366" xr:uid="{83789C7E-B5DA-499D-89C3-2B6AEDF2C599}"/>
    <cellStyle name="40% - Accent4 3 3_Jurisdictional Study" xfId="9408" xr:uid="{01CFFD0D-9AC9-4A99-BAD9-156D743D2E5D}"/>
    <cellStyle name="40% - Accent4 3 4" xfId="5367" xr:uid="{92D6863D-9F82-4912-B16B-43CFC3980DD2}"/>
    <cellStyle name="40% - Accent4 3 4 2" xfId="5368" xr:uid="{1324691D-01A8-427A-AF4A-925B2F22AB01}"/>
    <cellStyle name="40% - Accent4 3 4 2 2" xfId="5369" xr:uid="{98127C2D-58DE-48F4-AAB3-75F63325A0F9}"/>
    <cellStyle name="40% - Accent4 3 4 2 2 2" xfId="5370" xr:uid="{256C6D34-0FDD-48F2-9BEC-BFCB3DC8B2DC}"/>
    <cellStyle name="40% - Accent4 3 4 2 2_Jurisdictional Study" xfId="9418" xr:uid="{5387C9B4-9581-417B-9A0F-A3FFA8D24583}"/>
    <cellStyle name="40% - Accent4 3 4 2 3" xfId="5371" xr:uid="{B4403C3F-46F5-46AB-A5D1-32D77F301057}"/>
    <cellStyle name="40% - Accent4 3 4 2_Jurisdictional Study" xfId="9417" xr:uid="{7337A1BE-B1B7-4021-A7A0-D9E0639D68FC}"/>
    <cellStyle name="40% - Accent4 3 4 3" xfId="5372" xr:uid="{46EAA5E6-BAD7-420B-94EB-19070F07631B}"/>
    <cellStyle name="40% - Accent4 3 4 3 2" xfId="5373" xr:uid="{9AE87E98-D8FD-4FF0-B9D9-5DF8661528A9}"/>
    <cellStyle name="40% - Accent4 3 4 3_Jurisdictional Study" xfId="9419" xr:uid="{D35CF3D1-D8FA-42F4-B432-1AF7A6AF41D4}"/>
    <cellStyle name="40% - Accent4 3 4 4" xfId="5374" xr:uid="{B5896B64-C58F-4BD5-B8A0-EA9BF8171BB7}"/>
    <cellStyle name="40% - Accent4 3 4_Jurisdictional Study" xfId="9416" xr:uid="{EAF5D4AA-B9BA-4AFA-B2F9-6064FC926715}"/>
    <cellStyle name="40% - Accent4 3 5" xfId="5375" xr:uid="{A96B5424-949C-443F-A016-2D99D9A05FAA}"/>
    <cellStyle name="40% - Accent4 3 5 2" xfId="5376" xr:uid="{8DC0F7C5-41FA-4604-9AFC-870AB02FE1D7}"/>
    <cellStyle name="40% - Accent4 3 5 2 2" xfId="5377" xr:uid="{4B6187DE-3043-491F-99E9-77DFA6E2E4C8}"/>
    <cellStyle name="40% - Accent4 3 5 2_Jurisdictional Study" xfId="9421" xr:uid="{D540D0D8-034F-40DE-ACA2-791E002F328B}"/>
    <cellStyle name="40% - Accent4 3 5 3" xfId="5378" xr:uid="{B6CCE7B0-9593-445E-B0DE-1F55FD43DB7D}"/>
    <cellStyle name="40% - Accent4 3 5_Jurisdictional Study" xfId="9420" xr:uid="{C67B04A1-D25F-45A3-9843-0673A307BB3A}"/>
    <cellStyle name="40% - Accent4 3 6" xfId="5379" xr:uid="{48506B92-72F3-406C-9841-45283E398C0C}"/>
    <cellStyle name="40% - Accent4 3 6 2" xfId="5380" xr:uid="{871497D6-F877-4FF4-A7D1-F5288B1954B4}"/>
    <cellStyle name="40% - Accent4 3 6_Jurisdictional Study" xfId="9422" xr:uid="{F26E0BF2-1479-418C-BD96-0AFB6C7CB76D}"/>
    <cellStyle name="40% - Accent4 3 7" xfId="5381" xr:uid="{73717290-05C6-4934-8C7E-253A435735BB}"/>
    <cellStyle name="40% - Accent4 3 8" xfId="5318" xr:uid="{7F56A664-5DE5-4417-8E4E-E545D4AF78A8}"/>
    <cellStyle name="40% - Accent4 3_Jurisdictional Study" xfId="9391" xr:uid="{8BADF0CB-24DF-4CA9-8118-328F1D30B7FC}"/>
    <cellStyle name="40% - Accent4 4" xfId="5382" xr:uid="{6E90A582-701C-4BD4-878B-B5AA96140753}"/>
    <cellStyle name="40% - Accent4 4 2" xfId="5383" xr:uid="{83621D5D-1A0F-4331-92E0-7825076DFDD8}"/>
    <cellStyle name="40% - Accent4 4 2 2" xfId="5384" xr:uid="{40D5DDED-8AB4-4A8D-B97A-E930F3A2C181}"/>
    <cellStyle name="40% - Accent4 4 2 2 2" xfId="5385" xr:uid="{1A80E500-E937-4407-A9D2-D8ECA037B813}"/>
    <cellStyle name="40% - Accent4 4 2 2 2 2" xfId="5386" xr:uid="{C0F2F384-31F8-42D9-B75D-D939E1138292}"/>
    <cellStyle name="40% - Accent4 4 2 2 2 2 2" xfId="5387" xr:uid="{8712DFFF-EBCF-4896-8EE4-E777F69802DE}"/>
    <cellStyle name="40% - Accent4 4 2 2 2 2_Jurisdictional Study" xfId="9427" xr:uid="{7BE00AC0-0172-4073-8DE6-6C6D6B2F5157}"/>
    <cellStyle name="40% - Accent4 4 2 2 2 3" xfId="5388" xr:uid="{188D9C29-4DDA-449E-8373-02DB09F7C4EA}"/>
    <cellStyle name="40% - Accent4 4 2 2 2_Jurisdictional Study" xfId="9426" xr:uid="{27B129D5-E76E-45CF-AEB6-DC1EC9B885CC}"/>
    <cellStyle name="40% - Accent4 4 2 2 3" xfId="5389" xr:uid="{3DA6778D-37CB-4455-B0EB-956C73AC7EEC}"/>
    <cellStyle name="40% - Accent4 4 2 2 3 2" xfId="5390" xr:uid="{D3C0F4D5-AE70-447F-BF80-13BA4C33F6E5}"/>
    <cellStyle name="40% - Accent4 4 2 2 3_Jurisdictional Study" xfId="9428" xr:uid="{F1CF4A5E-9054-4A2C-B5F5-FFCC1B3EB757}"/>
    <cellStyle name="40% - Accent4 4 2 2 4" xfId="5391" xr:uid="{F4E3B89B-99EB-47E9-99D8-951843C83FA6}"/>
    <cellStyle name="40% - Accent4 4 2 2_Jurisdictional Study" xfId="9425" xr:uid="{1B8E53F5-76FC-489C-99DD-78FFDF4D3C50}"/>
    <cellStyle name="40% - Accent4 4 2 3" xfId="5392" xr:uid="{F7F05731-E2E4-4C4D-9F96-8E723CF131D2}"/>
    <cellStyle name="40% - Accent4 4 2 3 2" xfId="5393" xr:uid="{361CEF55-A279-4742-9364-256E2F14FE26}"/>
    <cellStyle name="40% - Accent4 4 2 3 2 2" xfId="5394" xr:uid="{EB96F702-A80A-4584-8252-7B98FA963CA9}"/>
    <cellStyle name="40% - Accent4 4 2 3 2_Jurisdictional Study" xfId="9430" xr:uid="{7795AD92-BD66-40AC-85AC-81DE778F2DCD}"/>
    <cellStyle name="40% - Accent4 4 2 3 3" xfId="5395" xr:uid="{B8756493-1F6B-43CF-A734-D32BACC7EC44}"/>
    <cellStyle name="40% - Accent4 4 2 3_Jurisdictional Study" xfId="9429" xr:uid="{AEE05F99-3C3D-4494-BF38-8018E5E6EB84}"/>
    <cellStyle name="40% - Accent4 4 2 4" xfId="5396" xr:uid="{43388E40-4CBD-4BEC-870E-618764B740D9}"/>
    <cellStyle name="40% - Accent4 4 2 4 2" xfId="5397" xr:uid="{538FE353-2D32-460F-8269-4B16B20AFEF0}"/>
    <cellStyle name="40% - Accent4 4 2 4_Jurisdictional Study" xfId="9431" xr:uid="{391FD18C-35D7-4506-9F9F-9B4251FBE23B}"/>
    <cellStyle name="40% - Accent4 4 2 5" xfId="5398" xr:uid="{F796BEB1-3178-445D-8FD2-E68BF69E3A61}"/>
    <cellStyle name="40% - Accent4 4 2_Jurisdictional Study" xfId="9424" xr:uid="{419EAFA8-1FBD-4BB3-BB43-F870871F25CC}"/>
    <cellStyle name="40% - Accent4 4 3" xfId="5399" xr:uid="{F355EF59-2835-465B-B9B5-BDAA12E09E0E}"/>
    <cellStyle name="40% - Accent4 4 3 2" xfId="5400" xr:uid="{513BFC83-6A1D-4487-A84F-6E9BAF7E52EB}"/>
    <cellStyle name="40% - Accent4 4 3 2 2" xfId="5401" xr:uid="{36697E63-6D5C-4D4B-9972-251B51418FBE}"/>
    <cellStyle name="40% - Accent4 4 3 2 2 2" xfId="5402" xr:uid="{0AFBD073-0AA4-4F4E-83FF-A241BFE4878E}"/>
    <cellStyle name="40% - Accent4 4 3 2 2_Jurisdictional Study" xfId="9434" xr:uid="{140FA0C8-82AA-4880-A65D-0F6A121FB350}"/>
    <cellStyle name="40% - Accent4 4 3 2 3" xfId="5403" xr:uid="{2091DA43-5E58-4E8C-8298-036FA815C7F1}"/>
    <cellStyle name="40% - Accent4 4 3 2_Jurisdictional Study" xfId="9433" xr:uid="{90834C25-1AE5-4C39-A956-601571C621B6}"/>
    <cellStyle name="40% - Accent4 4 3 3" xfId="5404" xr:uid="{E16D30B1-7B7E-42EC-BEA9-1DBCB01EFC90}"/>
    <cellStyle name="40% - Accent4 4 3 3 2" xfId="5405" xr:uid="{A4519D28-CA76-4E7E-B688-9A6F1EBDE13F}"/>
    <cellStyle name="40% - Accent4 4 3 3_Jurisdictional Study" xfId="9435" xr:uid="{7FB72A6E-2B31-4BC3-836F-C2855E6ECD96}"/>
    <cellStyle name="40% - Accent4 4 3 4" xfId="5406" xr:uid="{37F77C88-CFCC-4B3D-9DE3-32BC5B5BF78B}"/>
    <cellStyle name="40% - Accent4 4 3_Jurisdictional Study" xfId="9432" xr:uid="{4E0AB089-5340-4CC7-8301-43B3E2B21A80}"/>
    <cellStyle name="40% - Accent4 4 4" xfId="5407" xr:uid="{B5B4CB9F-F0A2-43EB-802A-5002E08D399E}"/>
    <cellStyle name="40% - Accent4 4 4 2" xfId="5408" xr:uid="{AF29EA00-D44B-4F4D-95EB-EF3ACB5FAD27}"/>
    <cellStyle name="40% - Accent4 4 4 2 2" xfId="5409" xr:uid="{BE5A5ECB-1965-41F4-8FB9-A7857E673F43}"/>
    <cellStyle name="40% - Accent4 4 4 2_Jurisdictional Study" xfId="9437" xr:uid="{CA8F35AF-B753-4EB9-9169-5FC626FF2853}"/>
    <cellStyle name="40% - Accent4 4 4 3" xfId="5410" xr:uid="{C5AE335B-8C26-4AA9-81FB-24AD06338197}"/>
    <cellStyle name="40% - Accent4 4 4_Jurisdictional Study" xfId="9436" xr:uid="{A05A52DA-4D69-4742-A6AE-B73621F807AF}"/>
    <cellStyle name="40% - Accent4 4 5" xfId="5411" xr:uid="{103BA79A-1B46-487C-AE5D-862D4C907BBC}"/>
    <cellStyle name="40% - Accent4 4 5 2" xfId="5412" xr:uid="{E6777D2E-BF85-442A-882F-42EF99E47110}"/>
    <cellStyle name="40% - Accent4 4 5_Jurisdictional Study" xfId="9438" xr:uid="{8D80563D-4E51-4DCF-A04F-280278F46401}"/>
    <cellStyle name="40% - Accent4 4 6" xfId="5413" xr:uid="{A88BF448-B1E4-4BA5-B603-96089298AE53}"/>
    <cellStyle name="40% - Accent4 4_Jurisdictional Study" xfId="9423" xr:uid="{FE86E13C-0832-47EF-9B2E-7EF70B889D81}"/>
    <cellStyle name="40% - Accent4 5" xfId="5414" xr:uid="{27931F30-95FF-4CD1-88D4-854F03FEAC92}"/>
    <cellStyle name="40% - Accent4 5 2" xfId="5415" xr:uid="{447EA032-D000-4583-AFD5-DDC12CB41DB5}"/>
    <cellStyle name="40% - Accent4 5 2 2" xfId="5416" xr:uid="{FC91F5D0-D334-4F5C-A95B-314EA584548C}"/>
    <cellStyle name="40% - Accent4 5 2 2 2" xfId="5417" xr:uid="{E057367D-FD0B-4159-A3FD-28D4C8DF81E3}"/>
    <cellStyle name="40% - Accent4 5 2 2 2 2" xfId="5418" xr:uid="{E085C36E-D580-406E-9177-7BEE7D85700E}"/>
    <cellStyle name="40% - Accent4 5 2 2 2_Jurisdictional Study" xfId="9442" xr:uid="{DC23845A-6F47-4476-957F-D53567322245}"/>
    <cellStyle name="40% - Accent4 5 2 2 3" xfId="5419" xr:uid="{F8556887-92C6-4CBD-8382-E8FE64194AEA}"/>
    <cellStyle name="40% - Accent4 5 2 2_Jurisdictional Study" xfId="9441" xr:uid="{EE1FBBEA-A9F5-4605-91F9-9AAF8FD8F1AB}"/>
    <cellStyle name="40% - Accent4 5 2 3" xfId="5420" xr:uid="{DF1CA1F9-CFAC-489A-9A45-6FE39E5DA201}"/>
    <cellStyle name="40% - Accent4 5 2 3 2" xfId="5421" xr:uid="{32C5EBD8-9740-4CF2-9D62-00E907BBCB5A}"/>
    <cellStyle name="40% - Accent4 5 2 3_Jurisdictional Study" xfId="9443" xr:uid="{422E505C-B514-4342-8E72-620002B3A524}"/>
    <cellStyle name="40% - Accent4 5 2 4" xfId="5422" xr:uid="{DEF87362-B057-4D37-9A39-F9E64B366F1B}"/>
    <cellStyle name="40% - Accent4 5 2_Jurisdictional Study" xfId="9440" xr:uid="{066DF319-2D1A-4CED-A0AF-B9F1EE894F18}"/>
    <cellStyle name="40% - Accent4 5 3" xfId="5423" xr:uid="{82D7181B-E7D1-4913-A2D1-49D210E32866}"/>
    <cellStyle name="40% - Accent4 5 3 2" xfId="5424" xr:uid="{58A42004-94B9-4888-BCBE-F39F5087A5EF}"/>
    <cellStyle name="40% - Accent4 5 3 2 2" xfId="5425" xr:uid="{35944049-E93E-4110-9DE6-465DDB0869DC}"/>
    <cellStyle name="40% - Accent4 5 3 2_Jurisdictional Study" xfId="9445" xr:uid="{8E6FDB08-ED31-4597-81E5-CAFDD09984CF}"/>
    <cellStyle name="40% - Accent4 5 3 3" xfId="5426" xr:uid="{FDAFFE19-6D50-40CB-BA66-8CF69B99AD88}"/>
    <cellStyle name="40% - Accent4 5 3_Jurisdictional Study" xfId="9444" xr:uid="{B2F66309-F6F9-4E3E-B15E-91A974FF3882}"/>
    <cellStyle name="40% - Accent4 5 4" xfId="5427" xr:uid="{93F9F0B8-659F-4EFA-BEF9-8824F073C7E1}"/>
    <cellStyle name="40% - Accent4 5 4 2" xfId="5428" xr:uid="{C5F2B604-CBC1-42D7-9FA8-3A4997170DBC}"/>
    <cellStyle name="40% - Accent4 5 4_Jurisdictional Study" xfId="9446" xr:uid="{18EB9CB9-6229-45B4-9907-87AB9DBB8B1B}"/>
    <cellStyle name="40% - Accent4 5 5" xfId="5429" xr:uid="{3F0FBC81-178D-44B5-BD13-152F02CB8C9A}"/>
    <cellStyle name="40% - Accent4 5_Jurisdictional Study" xfId="9439" xr:uid="{3B1AFDF0-83A1-4653-BE35-E2148DB1A26E}"/>
    <cellStyle name="40% - Accent4 6" xfId="5430" xr:uid="{0F02A9EA-81F8-4124-8A22-23E4B1D9BB59}"/>
    <cellStyle name="40% - Accent4 6 2" xfId="5431" xr:uid="{AEDF912D-DD7E-4A8D-9FEF-E36865C207C6}"/>
    <cellStyle name="40% - Accent4 6 2 2" xfId="5432" xr:uid="{EADC267E-CED6-44D4-9007-344C55939F85}"/>
    <cellStyle name="40% - Accent4 6 2 2 2" xfId="5433" xr:uid="{F23A516B-528F-461E-8107-E58C725052F3}"/>
    <cellStyle name="40% - Accent4 6 2 2_Jurisdictional Study" xfId="9449" xr:uid="{381E5706-E77B-49DB-BF59-813EA288ACC5}"/>
    <cellStyle name="40% - Accent4 6 2 3" xfId="5434" xr:uid="{DE9BC7D9-65E7-47F1-8263-77901806E1F7}"/>
    <cellStyle name="40% - Accent4 6 2_Jurisdictional Study" xfId="9448" xr:uid="{E6E3B8B3-15B4-436E-AAC7-1F9C89728287}"/>
    <cellStyle name="40% - Accent4 6 3" xfId="5435" xr:uid="{5BAD276D-AE77-435F-A657-553363328721}"/>
    <cellStyle name="40% - Accent4 6 3 2" xfId="5436" xr:uid="{CF2CBBC2-705D-46A3-B7C0-AB00DAC53EAD}"/>
    <cellStyle name="40% - Accent4 6 3_Jurisdictional Study" xfId="9450" xr:uid="{D5C181FE-7302-4537-8873-C2FD6B669D94}"/>
    <cellStyle name="40% - Accent4 6 4" xfId="5437" xr:uid="{AED3392E-C8E5-4494-A677-CF762BE67CC7}"/>
    <cellStyle name="40% - Accent4 6_Jurisdictional Study" xfId="9447" xr:uid="{BB5B228D-EDDD-4D23-878D-7E7A89D92F3C}"/>
    <cellStyle name="40% - Accent4 7" xfId="5438" xr:uid="{83FE0F23-C1E6-4DAF-B693-D90F726A537A}"/>
    <cellStyle name="40% - Accent4 7 2" xfId="5439" xr:uid="{EBD7C0ED-FEA4-4960-BC48-FDF0531E1C8E}"/>
    <cellStyle name="40% - Accent4 7 2 2" xfId="5440" xr:uid="{FC249782-45CB-41E1-A628-43CBD1AEEC04}"/>
    <cellStyle name="40% - Accent4 7 2 2 2" xfId="5441" xr:uid="{04A91718-2747-4F6B-8F9D-E61FBB04D450}"/>
    <cellStyle name="40% - Accent4 7 2 2_Jurisdictional Study" xfId="9453" xr:uid="{90563B2E-8575-41AF-BB66-4B9F08315463}"/>
    <cellStyle name="40% - Accent4 7 2 3" xfId="5442" xr:uid="{3AA01788-6498-4F33-AA30-2801AB507E00}"/>
    <cellStyle name="40% - Accent4 7 2_Jurisdictional Study" xfId="9452" xr:uid="{1BCC85CD-AA73-474C-AB69-795723494009}"/>
    <cellStyle name="40% - Accent4 7 3" xfId="5443" xr:uid="{032C1AD0-064D-4E6A-8AA0-9AFC39AC6B37}"/>
    <cellStyle name="40% - Accent4 7 3 2" xfId="5444" xr:uid="{96928FAC-07C5-4F26-9B58-DE32AD4A3870}"/>
    <cellStyle name="40% - Accent4 7 3_Jurisdictional Study" xfId="9454" xr:uid="{B5B1526F-2542-4852-A07C-EC1BC6CBBF2E}"/>
    <cellStyle name="40% - Accent4 7 4" xfId="5445" xr:uid="{4076C197-5885-4B51-A363-DFB3C11CEE7C}"/>
    <cellStyle name="40% - Accent4 7_Jurisdictional Study" xfId="9451" xr:uid="{3C567D3B-F917-45B7-B6FD-B55FD15C3EA1}"/>
    <cellStyle name="40% - Accent4 8" xfId="5446" xr:uid="{E60A3FAF-3FBA-4F9D-A6D8-E0008F73AC8C}"/>
    <cellStyle name="40% - Accent4 8 2" xfId="5447" xr:uid="{E8284F1C-E6EE-4EE4-B776-E5E03B2E7CDC}"/>
    <cellStyle name="40% - Accent4 8 2 2" xfId="5448" xr:uid="{0ECC679C-76BF-452F-8951-7A2CD1D9BF93}"/>
    <cellStyle name="40% - Accent4 8 2 2 2" xfId="5449" xr:uid="{6C9EA7A0-CB10-4EB5-A5FD-AA027115EBB8}"/>
    <cellStyle name="40% - Accent4 8 2 2_Jurisdictional Study" xfId="9457" xr:uid="{824DDF31-273F-4F16-9496-8DB6E6691C95}"/>
    <cellStyle name="40% - Accent4 8 2 3" xfId="5450" xr:uid="{913CB524-A132-4364-BD62-990CB77247FD}"/>
    <cellStyle name="40% - Accent4 8 2_Jurisdictional Study" xfId="9456" xr:uid="{DD26ABD4-912D-4384-8F2B-EEB6599EC8C1}"/>
    <cellStyle name="40% - Accent4 8 3" xfId="5451" xr:uid="{6177C904-2EE4-44A7-B003-C4D4EBA14B78}"/>
    <cellStyle name="40% - Accent4 8 3 2" xfId="5452" xr:uid="{50A6C161-88CD-43D5-818B-B05A098B517E}"/>
    <cellStyle name="40% - Accent4 8 3_Jurisdictional Study" xfId="9458" xr:uid="{080F7429-92C6-43E1-A7CC-7E7E48B3E8B9}"/>
    <cellStyle name="40% - Accent4 8 4" xfId="5453" xr:uid="{A645C068-9600-4871-B2D2-30945933BEB8}"/>
    <cellStyle name="40% - Accent4 8_Jurisdictional Study" xfId="9455" xr:uid="{CA95FB07-5AA0-45FD-8B32-521667D2E2AF}"/>
    <cellStyle name="40% - Accent4 9" xfId="5454" xr:uid="{FF5E1360-56B9-4AD6-A1D2-A48C6B8CFFDA}"/>
    <cellStyle name="40% - Accent4 9 2" xfId="5455" xr:uid="{1EB3970F-F774-42DF-80D3-236126E81F3A}"/>
    <cellStyle name="40% - Accent4 9 2 2" xfId="5456" xr:uid="{3616191F-856B-4349-B03C-71A461454804}"/>
    <cellStyle name="40% - Accent4 9 2_Jurisdictional Study" xfId="9460" xr:uid="{AA78A5DE-2818-47E7-A958-765329D0973D}"/>
    <cellStyle name="40% - Accent4 9 3" xfId="5457" xr:uid="{2F31583D-AF4B-4CD4-9573-D32C1633C916}"/>
    <cellStyle name="40% - Accent4 9_Jurisdictional Study" xfId="9459" xr:uid="{C2FE9F5C-4CFA-44B5-8E69-3B250BB9B636}"/>
    <cellStyle name="40% - Accent5" xfId="11" builtinId="47" customBuiltin="1"/>
    <cellStyle name="40% - Accent5 10" xfId="5458" xr:uid="{1F7828ED-3943-4A82-94ED-987F90FBDA96}"/>
    <cellStyle name="40% - Accent5 10 2" xfId="5459" xr:uid="{2133AB05-978F-49D7-BAEB-4F3BA61EEAD7}"/>
    <cellStyle name="40% - Accent5 10 2 2" xfId="5460" xr:uid="{E0C1B3F0-D9F4-4785-8BA7-1AFBE285096E}"/>
    <cellStyle name="40% - Accent5 10 2_Jurisdictional Study" xfId="9462" xr:uid="{27313E59-4CE1-4FF0-828F-EB852BEA510D}"/>
    <cellStyle name="40% - Accent5 10 3" xfId="5461" xr:uid="{B4188BAD-69BB-41E7-AF9D-3AD9C130AF98}"/>
    <cellStyle name="40% - Accent5 10_Jurisdictional Study" xfId="9461" xr:uid="{971958FC-A4DA-4622-A293-0F9D1C546CB7}"/>
    <cellStyle name="40% - Accent5 11" xfId="5462" xr:uid="{CE550AF5-2A3E-4C7E-9253-BC4291FFE517}"/>
    <cellStyle name="40% - Accent5 11 2" xfId="5463" xr:uid="{9273E213-951F-4A4B-A0C0-A0296725EAE7}"/>
    <cellStyle name="40% - Accent5 11 2 2" xfId="5464" xr:uid="{3D7D61EA-429F-4CBB-A4E5-0A1A934CB472}"/>
    <cellStyle name="40% - Accent5 11 2_Jurisdictional Study" xfId="9464" xr:uid="{9D655AD9-F59C-4699-8A85-51608B613285}"/>
    <cellStyle name="40% - Accent5 11 3" xfId="5465" xr:uid="{FCD1CDB9-A389-4E8F-9C7A-EFB58943896E}"/>
    <cellStyle name="40% - Accent5 11_Jurisdictional Study" xfId="9463" xr:uid="{E4E9A650-E396-4CF1-AE97-FEF3BAF869E1}"/>
    <cellStyle name="40% - Accent5 12" xfId="5466" xr:uid="{538236FD-9742-4BD4-BE4A-14F77B529239}"/>
    <cellStyle name="40% - Accent5 12 2" xfId="5467" xr:uid="{A12B84AD-16B2-4A00-9482-65FCC9F7C418}"/>
    <cellStyle name="40% - Accent5 12_Jurisdictional Study" xfId="9465" xr:uid="{92FE5541-8A43-463B-ADDB-AFFCC47FCEB4}"/>
    <cellStyle name="40% - Accent5 13" xfId="5468" xr:uid="{FAE4E495-AB81-4E4F-8BBE-3380FFE0B683}"/>
    <cellStyle name="40% - Accent5 14" xfId="3187" xr:uid="{7D6D70B0-3046-4496-AB0D-C04610E8FA09}"/>
    <cellStyle name="40% - Accent5 2" xfId="257" xr:uid="{74C4E6ED-3258-4E4F-A400-554E225BAA36}"/>
    <cellStyle name="40% - Accent5 2 2" xfId="5470" xr:uid="{A13B3650-6BF0-4478-9281-137A8E4159D9}"/>
    <cellStyle name="40% - Accent5 2 2 2" xfId="5471" xr:uid="{7771F497-B593-40B9-A843-0C59B948467F}"/>
    <cellStyle name="40% - Accent5 2 2 2 2" xfId="5472" xr:uid="{D5493DD4-1DE1-4638-A6F7-DD0FA120A6EE}"/>
    <cellStyle name="40% - Accent5 2 2 2 2 2" xfId="5473" xr:uid="{199EDC9D-EE9C-4B07-AF6C-7D3E9B3617D2}"/>
    <cellStyle name="40% - Accent5 2 2 2 2 2 2" xfId="5474" xr:uid="{C067AB21-D8D8-49F1-9392-AAA417E2F24A}"/>
    <cellStyle name="40% - Accent5 2 2 2 2 2 2 2" xfId="5475" xr:uid="{EB2EC778-9BF4-446D-8230-0A056EFDC307}"/>
    <cellStyle name="40% - Accent5 2 2 2 2 2 2_Jurisdictional Study" xfId="9470" xr:uid="{AAAD94B4-84E4-4DB6-A637-C348F6573D24}"/>
    <cellStyle name="40% - Accent5 2 2 2 2 2 3" xfId="5476" xr:uid="{1CCA8176-8DBE-4AA6-8D52-11DDE94F1534}"/>
    <cellStyle name="40% - Accent5 2 2 2 2 2_Jurisdictional Study" xfId="9469" xr:uid="{A1CD6BD4-AFD5-4AFA-9EC6-81703920BD33}"/>
    <cellStyle name="40% - Accent5 2 2 2 2 3" xfId="5477" xr:uid="{3B9D52E8-91E2-4060-88D4-0DC983F9A2F9}"/>
    <cellStyle name="40% - Accent5 2 2 2 2 3 2" xfId="5478" xr:uid="{D3A830BA-9D13-47C4-BD68-678D41B6EC45}"/>
    <cellStyle name="40% - Accent5 2 2 2 2 3_Jurisdictional Study" xfId="9471" xr:uid="{1ED402F1-FDD0-4A55-B0E0-45D0DA80E6F0}"/>
    <cellStyle name="40% - Accent5 2 2 2 2 4" xfId="5479" xr:uid="{3D8FA505-C411-442D-83DF-C9E6882ADCE9}"/>
    <cellStyle name="40% - Accent5 2 2 2 2_Jurisdictional Study" xfId="9468" xr:uid="{F659372B-D184-433E-A840-57153E427942}"/>
    <cellStyle name="40% - Accent5 2 2 2 3" xfId="5480" xr:uid="{7548E5DE-7123-4DC9-B516-6AFD8229C82D}"/>
    <cellStyle name="40% - Accent5 2 2 2 3 2" xfId="5481" xr:uid="{12ADF8C3-10B0-4F00-AC74-74F09E388403}"/>
    <cellStyle name="40% - Accent5 2 2 2 3 2 2" xfId="5482" xr:uid="{150A1361-9AE7-4D5D-A0E0-86EFA6D72BCA}"/>
    <cellStyle name="40% - Accent5 2 2 2 3 2_Jurisdictional Study" xfId="9473" xr:uid="{C5B72E8A-67EA-4B12-8B63-0540F9C99422}"/>
    <cellStyle name="40% - Accent5 2 2 2 3 3" xfId="5483" xr:uid="{3825F82B-F66F-4246-B1B8-272CD10A44F7}"/>
    <cellStyle name="40% - Accent5 2 2 2 3_Jurisdictional Study" xfId="9472" xr:uid="{3DFC79EA-EC2A-4FEC-86B2-0AD13B251919}"/>
    <cellStyle name="40% - Accent5 2 2 2 4" xfId="5484" xr:uid="{6ABF5784-E807-4041-A404-8AE4E091E5C1}"/>
    <cellStyle name="40% - Accent5 2 2 2 4 2" xfId="5485" xr:uid="{8C1E7679-DE47-44D6-BAC0-6324C84CB17B}"/>
    <cellStyle name="40% - Accent5 2 2 2 4_Jurisdictional Study" xfId="9474" xr:uid="{B8DC5FF0-F4A9-4F06-8840-CE54EBEE9B11}"/>
    <cellStyle name="40% - Accent5 2 2 2 5" xfId="5486" xr:uid="{B48B9982-A49B-499D-9BC1-67E241F6F395}"/>
    <cellStyle name="40% - Accent5 2 2 2_Jurisdictional Study" xfId="9467" xr:uid="{49F88355-7FF0-4598-860D-163FFBF57050}"/>
    <cellStyle name="40% - Accent5 2 2 3" xfId="5487" xr:uid="{A3C97E1C-95FF-4798-B6FF-E1DC37C03F0F}"/>
    <cellStyle name="40% - Accent5 2 2 3 2" xfId="5488" xr:uid="{12167387-AED6-4361-8276-9AC497C1838D}"/>
    <cellStyle name="40% - Accent5 2 2 3 2 2" xfId="5489" xr:uid="{A950A67A-C203-46BC-969A-4957E9F2CE72}"/>
    <cellStyle name="40% - Accent5 2 2 3 2 2 2" xfId="5490" xr:uid="{A3AD99F0-DA47-48BC-B25E-94FC85E7A3F7}"/>
    <cellStyle name="40% - Accent5 2 2 3 2 2_Jurisdictional Study" xfId="9477" xr:uid="{843AD9B8-0361-4F96-9A8B-DAF580D54514}"/>
    <cellStyle name="40% - Accent5 2 2 3 2 3" xfId="5491" xr:uid="{31A698D1-78D3-457D-AE33-4B7A1AD63014}"/>
    <cellStyle name="40% - Accent5 2 2 3 2_Jurisdictional Study" xfId="9476" xr:uid="{ECFE58A3-2F7C-47EC-A32A-AD06DD6B18D8}"/>
    <cellStyle name="40% - Accent5 2 2 3 3" xfId="5492" xr:uid="{76A77F28-41B6-4879-B344-F81EED107F64}"/>
    <cellStyle name="40% - Accent5 2 2 3 3 2" xfId="5493" xr:uid="{691455C9-3395-4A42-AFBF-4EC5F68DDEA3}"/>
    <cellStyle name="40% - Accent5 2 2 3 3_Jurisdictional Study" xfId="9478" xr:uid="{0270120D-A3A2-480A-A268-C17843257B4F}"/>
    <cellStyle name="40% - Accent5 2 2 3 4" xfId="5494" xr:uid="{53E5FCF0-CFE6-4FD6-903B-6B29D12A2D0C}"/>
    <cellStyle name="40% - Accent5 2 2 3_Jurisdictional Study" xfId="9475" xr:uid="{5FBA4BB0-D2EC-469D-9720-BC922083DE56}"/>
    <cellStyle name="40% - Accent5 2 2 4" xfId="5495" xr:uid="{88B1979A-0C57-4D21-BA58-229D2E4E84D6}"/>
    <cellStyle name="40% - Accent5 2 2 4 2" xfId="5496" xr:uid="{7CD01D61-F26F-4E18-955F-C5084794D980}"/>
    <cellStyle name="40% - Accent5 2 2 4 2 2" xfId="5497" xr:uid="{7B120B96-088C-4D50-A945-BC248E84BF0A}"/>
    <cellStyle name="40% - Accent5 2 2 4 2_Jurisdictional Study" xfId="9480" xr:uid="{9ED12F7F-3EA1-4AFF-8C38-97FDF47AFC3A}"/>
    <cellStyle name="40% - Accent5 2 2 4 3" xfId="5498" xr:uid="{141C8339-74BC-4C34-A929-99E5602689AE}"/>
    <cellStyle name="40% - Accent5 2 2 4_Jurisdictional Study" xfId="9479" xr:uid="{868FAED3-1481-4E6E-95E1-626CA084011D}"/>
    <cellStyle name="40% - Accent5 2 2 5" xfId="5499" xr:uid="{ED255291-B9F3-402B-908F-D964272EDA28}"/>
    <cellStyle name="40% - Accent5 2 2 5 2" xfId="5500" xr:uid="{DAE1C3F0-FB38-469D-B1CC-4A45D9B549DA}"/>
    <cellStyle name="40% - Accent5 2 2 5_Jurisdictional Study" xfId="9481" xr:uid="{2515DA24-FC6F-4531-B971-C2E58AA07239}"/>
    <cellStyle name="40% - Accent5 2 2 6" xfId="5501" xr:uid="{9DE86C9A-60E8-4643-B485-14E778126745}"/>
    <cellStyle name="40% - Accent5 2 2_Jurisdictional Study" xfId="9466" xr:uid="{D71F5263-2356-4086-BAEB-353EB93BE863}"/>
    <cellStyle name="40% - Accent5 2 3" xfId="5502" xr:uid="{B059515C-328C-4507-B169-613EAA917F99}"/>
    <cellStyle name="40% - Accent5 2 3 2" xfId="5503" xr:uid="{23B0AD81-51B5-4242-A91C-DC825D34FBFA}"/>
    <cellStyle name="40% - Accent5 2 3 2 2" xfId="5504" xr:uid="{96668192-165E-4A30-BE9D-DA004ED726D8}"/>
    <cellStyle name="40% - Accent5 2 3 2 2 2" xfId="5505" xr:uid="{32266543-9958-4D09-BBAE-286A01FCB44A}"/>
    <cellStyle name="40% - Accent5 2 3 2 2 2 2" xfId="5506" xr:uid="{275D0B19-537C-45AF-9BAA-41718A132E59}"/>
    <cellStyle name="40% - Accent5 2 3 2 2 2_Jurisdictional Study" xfId="9485" xr:uid="{4C167A5C-F4C5-4834-8D24-648C29927C97}"/>
    <cellStyle name="40% - Accent5 2 3 2 2 3" xfId="5507" xr:uid="{BE091132-E448-4DB9-BF7D-F32A187A92B2}"/>
    <cellStyle name="40% - Accent5 2 3 2 2_Jurisdictional Study" xfId="9484" xr:uid="{97B503C2-D576-44D6-B70D-0B4BBBB3BC91}"/>
    <cellStyle name="40% - Accent5 2 3 2 3" xfId="5508" xr:uid="{29C52FDF-4919-4C8E-A063-74D2CF274B9C}"/>
    <cellStyle name="40% - Accent5 2 3 2 3 2" xfId="5509" xr:uid="{2D8EDDBA-C184-4DAC-847A-025CD9D83DAF}"/>
    <cellStyle name="40% - Accent5 2 3 2 3_Jurisdictional Study" xfId="9486" xr:uid="{8C209118-243C-4E9F-866E-57BE527679C8}"/>
    <cellStyle name="40% - Accent5 2 3 2 4" xfId="5510" xr:uid="{79BF694E-5B0F-43D3-882E-D7C2731DCC39}"/>
    <cellStyle name="40% - Accent5 2 3 2_Jurisdictional Study" xfId="9483" xr:uid="{3F0E26DD-C99D-4943-85B5-1C08B4BD1777}"/>
    <cellStyle name="40% - Accent5 2 3 3" xfId="5511" xr:uid="{E53DBD10-FFAC-4178-BE80-160EBE881D4F}"/>
    <cellStyle name="40% - Accent5 2 3 3 2" xfId="5512" xr:uid="{259E0A77-6509-4C4B-83D5-DF2FE6E8BF39}"/>
    <cellStyle name="40% - Accent5 2 3 3 2 2" xfId="5513" xr:uid="{217AAF38-EDA3-4B43-97BA-D4A343A3F1F9}"/>
    <cellStyle name="40% - Accent5 2 3 3 2_Jurisdictional Study" xfId="9488" xr:uid="{F737EC17-8544-4275-A5F4-CEC9977C1DF0}"/>
    <cellStyle name="40% - Accent5 2 3 3 3" xfId="5514" xr:uid="{25F443B7-121B-4758-9CFF-39C7B0E9EBB4}"/>
    <cellStyle name="40% - Accent5 2 3 3_Jurisdictional Study" xfId="9487" xr:uid="{C0D42F59-962C-4A1F-9CF3-5135F7D73DF1}"/>
    <cellStyle name="40% - Accent5 2 3 4" xfId="5515" xr:uid="{59D2910A-031B-4B05-B833-2A20A78656E6}"/>
    <cellStyle name="40% - Accent5 2 3 4 2" xfId="5516" xr:uid="{1D64BAC5-5DDA-42CD-B740-D73216932B51}"/>
    <cellStyle name="40% - Accent5 2 3 4_Jurisdictional Study" xfId="9489" xr:uid="{831BFB33-C6B6-4131-A56F-0CABE304BDB3}"/>
    <cellStyle name="40% - Accent5 2 3 5" xfId="5517" xr:uid="{694CE85C-F577-4B4D-BF0A-F141F8CFE565}"/>
    <cellStyle name="40% - Accent5 2 3_Jurisdictional Study" xfId="9482" xr:uid="{AEFDA910-2AB0-4A7A-8425-1218BC8FFC6E}"/>
    <cellStyle name="40% - Accent5 2 4" xfId="5518" xr:uid="{AA545B90-2B56-4517-9A06-CA4EAB958ABA}"/>
    <cellStyle name="40% - Accent5 2 4 2" xfId="5519" xr:uid="{5765FB19-00D9-4088-B2B3-0C71A084F130}"/>
    <cellStyle name="40% - Accent5 2 4 2 2" xfId="5520" xr:uid="{121774AD-72AD-4B79-9D33-B49C02FD2517}"/>
    <cellStyle name="40% - Accent5 2 4 2 2 2" xfId="5521" xr:uid="{6F6023B8-A4DA-41D2-A790-0D05E403394E}"/>
    <cellStyle name="40% - Accent5 2 4 2 2_Jurisdictional Study" xfId="9492" xr:uid="{B2AAC342-6095-459B-9098-236C2E098326}"/>
    <cellStyle name="40% - Accent5 2 4 2 3" xfId="5522" xr:uid="{88C1E05C-6E10-459A-B276-D37386707DFD}"/>
    <cellStyle name="40% - Accent5 2 4 2_Jurisdictional Study" xfId="9491" xr:uid="{DC94F603-7C7A-4222-85FD-C76EA9DA6D5D}"/>
    <cellStyle name="40% - Accent5 2 4 3" xfId="5523" xr:uid="{2A585B08-1FB4-412A-9A0C-283044B4E887}"/>
    <cellStyle name="40% - Accent5 2 4 3 2" xfId="5524" xr:uid="{B467BD28-6B78-4DCC-822E-95A109234EE4}"/>
    <cellStyle name="40% - Accent5 2 4 3_Jurisdictional Study" xfId="9493" xr:uid="{C0F917FD-900A-4591-98BD-25D683AB95D2}"/>
    <cellStyle name="40% - Accent5 2 4 4" xfId="5525" xr:uid="{FC1AE766-4180-4155-9BAB-41F90BF46D2D}"/>
    <cellStyle name="40% - Accent5 2 4_Jurisdictional Study" xfId="9490" xr:uid="{70FA4CFF-18FC-4BAC-A731-5110647837DA}"/>
    <cellStyle name="40% - Accent5 2 5" xfId="5526" xr:uid="{0429BE81-DAEC-45E7-9EC7-D2834C77A179}"/>
    <cellStyle name="40% - Accent5 2 5 2" xfId="5527" xr:uid="{9095D60B-8687-49D8-937E-FA0CFE449912}"/>
    <cellStyle name="40% - Accent5 2 5 2 2" xfId="5528" xr:uid="{7A0E1419-A015-4742-B1DD-1C25EE7B031E}"/>
    <cellStyle name="40% - Accent5 2 5 2_Jurisdictional Study" xfId="9495" xr:uid="{17E92681-EB3F-4708-8737-6A60375F07CF}"/>
    <cellStyle name="40% - Accent5 2 5 3" xfId="5529" xr:uid="{16BBCB5B-183B-4A8F-8BFC-75BAEDA5CE88}"/>
    <cellStyle name="40% - Accent5 2 5_Jurisdictional Study" xfId="9494" xr:uid="{BF6B9F9C-1169-4924-B38B-4D7E84B0D31A}"/>
    <cellStyle name="40% - Accent5 2 6" xfId="5530" xr:uid="{073F6EB5-FA5A-40C9-944B-6E64724B5566}"/>
    <cellStyle name="40% - Accent5 2 6 2" xfId="5531" xr:uid="{DF8A672F-B807-4128-B9F9-0EB32278758C}"/>
    <cellStyle name="40% - Accent5 2 6_Jurisdictional Study" xfId="9496" xr:uid="{12D2062A-B5B8-4C17-927E-16A7D57BC536}"/>
    <cellStyle name="40% - Accent5 2 7" xfId="5532" xr:uid="{11EFBEEB-2ECC-433B-93C4-C7088AADFB40}"/>
    <cellStyle name="40% - Accent5 2 8" xfId="5469" xr:uid="{174903B1-6639-4CA9-A61E-523FCC0E87C5}"/>
    <cellStyle name="40% - Accent5 3" xfId="3214" xr:uid="{19F0564A-6E9C-4376-96FF-A3F6BB932F33}"/>
    <cellStyle name="40% - Accent5 3 2" xfId="5534" xr:uid="{D3390C82-6BB2-4A39-9ACB-DAC449837F96}"/>
    <cellStyle name="40% - Accent5 3 2 2" xfId="5535" xr:uid="{2C7AD2CC-547D-4C6D-8C41-C75BB46DF933}"/>
    <cellStyle name="40% - Accent5 3 2 2 2" xfId="5536" xr:uid="{D42DCFA4-16CB-4B17-9203-6378C31CFD56}"/>
    <cellStyle name="40% - Accent5 3 2 2 2 2" xfId="5537" xr:uid="{A6C3E65C-B807-4282-A1A1-AAC9F19616F1}"/>
    <cellStyle name="40% - Accent5 3 2 2 2 2 2" xfId="5538" xr:uid="{7E18F079-AA8C-4939-A634-CF399D882FE1}"/>
    <cellStyle name="40% - Accent5 3 2 2 2 2 2 2" xfId="5539" xr:uid="{5D3FB97F-B94D-4780-A079-D62EF2A98354}"/>
    <cellStyle name="40% - Accent5 3 2 2 2 2 2_Jurisdictional Study" xfId="9502" xr:uid="{71445B5C-E0C3-4976-BB37-358ED7EC485D}"/>
    <cellStyle name="40% - Accent5 3 2 2 2 2 3" xfId="5540" xr:uid="{B2508980-AEA8-4279-A9DC-BE0245DA1A34}"/>
    <cellStyle name="40% - Accent5 3 2 2 2 2_Jurisdictional Study" xfId="9501" xr:uid="{D2A41443-64A3-4CD4-84F0-761124667127}"/>
    <cellStyle name="40% - Accent5 3 2 2 2 3" xfId="5541" xr:uid="{607B4E2A-B747-43C1-86C2-02E31586E625}"/>
    <cellStyle name="40% - Accent5 3 2 2 2 3 2" xfId="5542" xr:uid="{76F4D021-E152-4A0F-8D86-75A701FEC122}"/>
    <cellStyle name="40% - Accent5 3 2 2 2 3_Jurisdictional Study" xfId="9503" xr:uid="{89A9A864-8D98-4A88-8C72-B1FDECE94280}"/>
    <cellStyle name="40% - Accent5 3 2 2 2 4" xfId="5543" xr:uid="{F61B0029-3F7A-4632-BC67-BB0485B4258B}"/>
    <cellStyle name="40% - Accent5 3 2 2 2_Jurisdictional Study" xfId="9500" xr:uid="{BF549414-9BCD-4900-A835-AE297F3E3998}"/>
    <cellStyle name="40% - Accent5 3 2 2 3" xfId="5544" xr:uid="{FA1CF38C-DD4D-4D60-AEDD-09A729705AF8}"/>
    <cellStyle name="40% - Accent5 3 2 2 3 2" xfId="5545" xr:uid="{B7075FE0-4BA6-4FBF-815A-88AC4D2660D0}"/>
    <cellStyle name="40% - Accent5 3 2 2 3 2 2" xfId="5546" xr:uid="{A27891EE-89E0-4035-8F45-A83B28135DE0}"/>
    <cellStyle name="40% - Accent5 3 2 2 3 2_Jurisdictional Study" xfId="9505" xr:uid="{B0053660-75CD-4FF2-8A33-58C8F543E958}"/>
    <cellStyle name="40% - Accent5 3 2 2 3 3" xfId="5547" xr:uid="{8D436EAE-2C99-4E27-B50D-78B0EC33E8F8}"/>
    <cellStyle name="40% - Accent5 3 2 2 3_Jurisdictional Study" xfId="9504" xr:uid="{5304A721-CB84-41B1-9E5B-0F3EB9A76A46}"/>
    <cellStyle name="40% - Accent5 3 2 2 4" xfId="5548" xr:uid="{93D4A577-70CA-41A0-895D-7029B1AC9CF3}"/>
    <cellStyle name="40% - Accent5 3 2 2 4 2" xfId="5549" xr:uid="{759A737D-85EA-44B1-B3F9-5FB25518E99A}"/>
    <cellStyle name="40% - Accent5 3 2 2 4_Jurisdictional Study" xfId="9506" xr:uid="{A94279F6-8A51-4CC5-9683-C4056EC9D34F}"/>
    <cellStyle name="40% - Accent5 3 2 2 5" xfId="5550" xr:uid="{B9E71EDB-1FE5-4618-BBED-6853442A0951}"/>
    <cellStyle name="40% - Accent5 3 2 2_Jurisdictional Study" xfId="9499" xr:uid="{4EB2B541-56E3-40D1-A7A5-BAF681D2A6E8}"/>
    <cellStyle name="40% - Accent5 3 2 3" xfId="5551" xr:uid="{FB9660F8-96E1-41BC-B49E-3D45947D2698}"/>
    <cellStyle name="40% - Accent5 3 2 3 2" xfId="5552" xr:uid="{08DD140F-04CD-48C6-A80D-58377A26AEC9}"/>
    <cellStyle name="40% - Accent5 3 2 3 2 2" xfId="5553" xr:uid="{744B1E6B-594F-44E4-8622-41E0AE7321C2}"/>
    <cellStyle name="40% - Accent5 3 2 3 2 2 2" xfId="5554" xr:uid="{08AEE8F2-A09D-40F6-AE17-25369FF682ED}"/>
    <cellStyle name="40% - Accent5 3 2 3 2 2_Jurisdictional Study" xfId="9509" xr:uid="{C23A6862-BB39-4D52-9F69-68449D337B39}"/>
    <cellStyle name="40% - Accent5 3 2 3 2 3" xfId="5555" xr:uid="{EE9FBA34-469E-4FA9-88B2-B89BA2DA1366}"/>
    <cellStyle name="40% - Accent5 3 2 3 2_Jurisdictional Study" xfId="9508" xr:uid="{F262CD94-AD23-46CC-B4B1-5B243C98F74A}"/>
    <cellStyle name="40% - Accent5 3 2 3 3" xfId="5556" xr:uid="{9B8D3455-CD9C-4277-9E1D-209FA65C7A7B}"/>
    <cellStyle name="40% - Accent5 3 2 3 3 2" xfId="5557" xr:uid="{3108437C-06EB-420F-A1DA-E165E30F3766}"/>
    <cellStyle name="40% - Accent5 3 2 3 3_Jurisdictional Study" xfId="9510" xr:uid="{941618A5-9F3E-4F40-BBC0-0354BF7E1B32}"/>
    <cellStyle name="40% - Accent5 3 2 3 4" xfId="5558" xr:uid="{94C695C8-331D-4660-A6B3-396ECFADC27D}"/>
    <cellStyle name="40% - Accent5 3 2 3_Jurisdictional Study" xfId="9507" xr:uid="{5EDE6E4B-82E3-485F-BB10-F9F31C8CE88D}"/>
    <cellStyle name="40% - Accent5 3 2 4" xfId="5559" xr:uid="{0481C6E0-32C9-4F8B-9BC7-BC8B502B87A3}"/>
    <cellStyle name="40% - Accent5 3 2 4 2" xfId="5560" xr:uid="{1AEB9B85-86C1-4905-9529-1F5FCB9C6EF1}"/>
    <cellStyle name="40% - Accent5 3 2 4 2 2" xfId="5561" xr:uid="{28ED8991-E986-4DF2-9EBA-39B18FFB75CB}"/>
    <cellStyle name="40% - Accent5 3 2 4 2_Jurisdictional Study" xfId="9512" xr:uid="{91C0A9A0-9A97-49E3-846F-D6A766AD3383}"/>
    <cellStyle name="40% - Accent5 3 2 4 3" xfId="5562" xr:uid="{37160492-B58C-46AD-836A-FF171B2BA913}"/>
    <cellStyle name="40% - Accent5 3 2 4_Jurisdictional Study" xfId="9511" xr:uid="{CC8E301E-E6E2-4173-B321-CD6D27D75722}"/>
    <cellStyle name="40% - Accent5 3 2 5" xfId="5563" xr:uid="{14592501-3A59-4B2B-9535-6024AF6B7F78}"/>
    <cellStyle name="40% - Accent5 3 2 5 2" xfId="5564" xr:uid="{DC259126-FFEF-4841-8EEE-CFC4BDAF1604}"/>
    <cellStyle name="40% - Accent5 3 2 5_Jurisdictional Study" xfId="9513" xr:uid="{FB829AEA-9E3C-4FD4-8336-5D80C3B68180}"/>
    <cellStyle name="40% - Accent5 3 2 6" xfId="5565" xr:uid="{BC71EC4C-7D53-4828-B481-8E7A6EA769A7}"/>
    <cellStyle name="40% - Accent5 3 2_Jurisdictional Study" xfId="9498" xr:uid="{6BCF7643-6747-4376-96D8-50F62BCAA114}"/>
    <cellStyle name="40% - Accent5 3 3" xfId="5566" xr:uid="{289C0E56-7F2C-4963-B9E5-E9484B5EC324}"/>
    <cellStyle name="40% - Accent5 3 3 2" xfId="5567" xr:uid="{3921B54C-36AE-4BE9-862A-5AAFDE9F4EB9}"/>
    <cellStyle name="40% - Accent5 3 3 2 2" xfId="5568" xr:uid="{E8C93756-A1D2-4081-BDFF-14C006F25BB8}"/>
    <cellStyle name="40% - Accent5 3 3 2 2 2" xfId="5569" xr:uid="{C55975B4-B6A7-4B04-AA6F-D4086BF491AA}"/>
    <cellStyle name="40% - Accent5 3 3 2 2 2 2" xfId="5570" xr:uid="{D35E624C-14DD-46E2-B8A6-A623B2E8D0EB}"/>
    <cellStyle name="40% - Accent5 3 3 2 2 2_Jurisdictional Study" xfId="9517" xr:uid="{134783DB-9E74-4CA9-B4E9-4547B538AC66}"/>
    <cellStyle name="40% - Accent5 3 3 2 2 3" xfId="5571" xr:uid="{6F5FBD7C-76DD-470E-9904-04954842F7BC}"/>
    <cellStyle name="40% - Accent5 3 3 2 2_Jurisdictional Study" xfId="9516" xr:uid="{7D5909C9-F351-49F5-9EB2-42BA08F26FF4}"/>
    <cellStyle name="40% - Accent5 3 3 2 3" xfId="5572" xr:uid="{9C1BA07B-FBC1-4C96-A6EC-435E27B4E1F3}"/>
    <cellStyle name="40% - Accent5 3 3 2 3 2" xfId="5573" xr:uid="{9D398597-5404-453C-A12E-F849829295DA}"/>
    <cellStyle name="40% - Accent5 3 3 2 3_Jurisdictional Study" xfId="9518" xr:uid="{54ABD9D1-63C7-4CF1-AEB1-6CAEB4069D19}"/>
    <cellStyle name="40% - Accent5 3 3 2 4" xfId="5574" xr:uid="{B97A010E-8AA8-4039-968B-554FABBD9BB5}"/>
    <cellStyle name="40% - Accent5 3 3 2_Jurisdictional Study" xfId="9515" xr:uid="{52AB74BA-6167-4BD7-A95E-A2108AECEA5C}"/>
    <cellStyle name="40% - Accent5 3 3 3" xfId="5575" xr:uid="{215730E9-119D-42DB-A854-22785CD3BADB}"/>
    <cellStyle name="40% - Accent5 3 3 3 2" xfId="5576" xr:uid="{AAE0863B-2BB4-426B-9A97-1179A791AB53}"/>
    <cellStyle name="40% - Accent5 3 3 3 2 2" xfId="5577" xr:uid="{AD75FFDD-4042-415D-92E7-07811223B4BB}"/>
    <cellStyle name="40% - Accent5 3 3 3 2_Jurisdictional Study" xfId="9520" xr:uid="{C6EA272E-7C5E-4D72-93BA-FE20FFB01EF7}"/>
    <cellStyle name="40% - Accent5 3 3 3 3" xfId="5578" xr:uid="{7BBEB9DC-B4AF-4786-92A7-3D9067DB878E}"/>
    <cellStyle name="40% - Accent5 3 3 3_Jurisdictional Study" xfId="9519" xr:uid="{01771921-FF48-45D4-AECD-10B3F0EB2393}"/>
    <cellStyle name="40% - Accent5 3 3 4" xfId="5579" xr:uid="{8DCBE1A6-DC04-4612-B9F9-D8FD3E2ABFA1}"/>
    <cellStyle name="40% - Accent5 3 3 4 2" xfId="5580" xr:uid="{BFE2C8A0-BCDB-42EC-A523-95A982A319F4}"/>
    <cellStyle name="40% - Accent5 3 3 4_Jurisdictional Study" xfId="9521" xr:uid="{2EA6877E-F5EA-4227-A676-B099CA07DC67}"/>
    <cellStyle name="40% - Accent5 3 3 5" xfId="5581" xr:uid="{92380623-BFC4-43EE-9070-AE641373A4D3}"/>
    <cellStyle name="40% - Accent5 3 3_Jurisdictional Study" xfId="9514" xr:uid="{505DCF12-3DCB-428B-87DC-95675E4F979D}"/>
    <cellStyle name="40% - Accent5 3 4" xfId="5582" xr:uid="{AA39706F-B7F7-4D39-8CD3-560F4E122968}"/>
    <cellStyle name="40% - Accent5 3 4 2" xfId="5583" xr:uid="{5FC0C2DD-1835-4559-91C4-8D1561BC2FC8}"/>
    <cellStyle name="40% - Accent5 3 4 2 2" xfId="5584" xr:uid="{12E37B32-89A9-46B6-818B-923BE027813A}"/>
    <cellStyle name="40% - Accent5 3 4 2 2 2" xfId="5585" xr:uid="{AFEEC59D-7E2A-4257-AF55-1EE68C34E066}"/>
    <cellStyle name="40% - Accent5 3 4 2 2_Jurisdictional Study" xfId="9524" xr:uid="{728BFD3D-ABA5-488D-A78E-7E533C230621}"/>
    <cellStyle name="40% - Accent5 3 4 2 3" xfId="5586" xr:uid="{C9D25F05-83C5-4D10-BD5C-F93984A5CBFE}"/>
    <cellStyle name="40% - Accent5 3 4 2_Jurisdictional Study" xfId="9523" xr:uid="{D3546A36-9763-4D15-B52A-BFF0B48061FD}"/>
    <cellStyle name="40% - Accent5 3 4 3" xfId="5587" xr:uid="{34FCBA0E-A2D6-48DF-8D00-D876B215D79B}"/>
    <cellStyle name="40% - Accent5 3 4 3 2" xfId="5588" xr:uid="{6BBBB278-6A29-4C76-9C8C-EDCB82EEF83D}"/>
    <cellStyle name="40% - Accent5 3 4 3_Jurisdictional Study" xfId="9525" xr:uid="{3010C2C0-72CD-4917-8054-E4FE1E735CBA}"/>
    <cellStyle name="40% - Accent5 3 4 4" xfId="5589" xr:uid="{3F0A0EBB-D9D2-4872-9521-C60E40415C52}"/>
    <cellStyle name="40% - Accent5 3 4_Jurisdictional Study" xfId="9522" xr:uid="{A696425A-3412-4750-AB10-A6852F888A2B}"/>
    <cellStyle name="40% - Accent5 3 5" xfId="5590" xr:uid="{E9A3D0E4-707F-4D83-97B1-A9E2E12DD2B8}"/>
    <cellStyle name="40% - Accent5 3 5 2" xfId="5591" xr:uid="{EDB96A7E-889B-4BA3-B763-FE50990EBC53}"/>
    <cellStyle name="40% - Accent5 3 5 2 2" xfId="5592" xr:uid="{D96A05D0-C3CC-4047-8A1A-540674353C70}"/>
    <cellStyle name="40% - Accent5 3 5 2_Jurisdictional Study" xfId="9527" xr:uid="{9FF6F470-25AF-4FD3-A4A0-675F1681DAAB}"/>
    <cellStyle name="40% - Accent5 3 5 3" xfId="5593" xr:uid="{079CB7BC-B659-45DC-9130-12905307CD50}"/>
    <cellStyle name="40% - Accent5 3 5_Jurisdictional Study" xfId="9526" xr:uid="{2DA6CE99-77B4-4242-AAB8-1A4E84B7714A}"/>
    <cellStyle name="40% - Accent5 3 6" xfId="5594" xr:uid="{F19BFF10-630C-475A-8B67-977989C22E68}"/>
    <cellStyle name="40% - Accent5 3 6 2" xfId="5595" xr:uid="{78613804-3A64-4DB1-B6B2-5E13BB02DD0D}"/>
    <cellStyle name="40% - Accent5 3 6_Jurisdictional Study" xfId="9528" xr:uid="{45A9E451-4ED5-4DCE-B491-9B5AE7FAF35E}"/>
    <cellStyle name="40% - Accent5 3 7" xfId="5596" xr:uid="{0245B34A-FE1A-4BEF-9EAB-41218779428A}"/>
    <cellStyle name="40% - Accent5 3 8" xfId="5533" xr:uid="{953D7D18-8FFA-4CEA-849B-59E1CB5EA8CE}"/>
    <cellStyle name="40% - Accent5 3_Jurisdictional Study" xfId="9497" xr:uid="{36346DFF-E9BC-49F5-94FB-50D1B87D0F6B}"/>
    <cellStyle name="40% - Accent5 4" xfId="5597" xr:uid="{0379D61D-EF68-478E-8925-65D854C9F288}"/>
    <cellStyle name="40% - Accent5 4 2" xfId="5598" xr:uid="{D5F5796D-62AB-4D4E-BB26-4364C574BB25}"/>
    <cellStyle name="40% - Accent5 4 2 2" xfId="5599" xr:uid="{F6850BE7-24D2-4C4D-8479-26AF19C65E00}"/>
    <cellStyle name="40% - Accent5 4 2 2 2" xfId="5600" xr:uid="{016F0F20-98B9-4E20-B308-5B0BC09C7B9C}"/>
    <cellStyle name="40% - Accent5 4 2 2 2 2" xfId="5601" xr:uid="{1C38BD14-9F2B-4257-950F-04FB767C7AA3}"/>
    <cellStyle name="40% - Accent5 4 2 2 2 2 2" xfId="5602" xr:uid="{DAF321E4-189D-47D0-B696-607BC1C47E45}"/>
    <cellStyle name="40% - Accent5 4 2 2 2 2_Jurisdictional Study" xfId="9533" xr:uid="{33F8ED27-C0B0-40CD-9D45-2D1EFB744D6B}"/>
    <cellStyle name="40% - Accent5 4 2 2 2 3" xfId="5603" xr:uid="{F8567132-C9F2-41E8-8C66-EFE1B8CF5E73}"/>
    <cellStyle name="40% - Accent5 4 2 2 2_Jurisdictional Study" xfId="9532" xr:uid="{FEDAF4AC-EB89-4B5B-9E0B-16848F98F185}"/>
    <cellStyle name="40% - Accent5 4 2 2 3" xfId="5604" xr:uid="{587BB37E-D6C3-4AC8-B0AE-6E8E49FC6DF2}"/>
    <cellStyle name="40% - Accent5 4 2 2 3 2" xfId="5605" xr:uid="{24CA6E98-8AD6-4347-B082-81DAEFF3E54C}"/>
    <cellStyle name="40% - Accent5 4 2 2 3_Jurisdictional Study" xfId="9534" xr:uid="{B298DE2B-1A88-46B4-93DB-075F0DC56548}"/>
    <cellStyle name="40% - Accent5 4 2 2 4" xfId="5606" xr:uid="{9397DA10-79AC-4399-972C-77827FBBE196}"/>
    <cellStyle name="40% - Accent5 4 2 2_Jurisdictional Study" xfId="9531" xr:uid="{89EF24CF-3BF8-449C-9633-BE21A807AFF5}"/>
    <cellStyle name="40% - Accent5 4 2 3" xfId="5607" xr:uid="{4AC0E766-74D3-4A8D-886C-095A0EA1E4F4}"/>
    <cellStyle name="40% - Accent5 4 2 3 2" xfId="5608" xr:uid="{96ADDC3B-0AA6-4EFD-9A25-B80F2D0CB5F4}"/>
    <cellStyle name="40% - Accent5 4 2 3 2 2" xfId="5609" xr:uid="{89A9D94A-4C72-4D29-B1F3-2AE9F2857081}"/>
    <cellStyle name="40% - Accent5 4 2 3 2_Jurisdictional Study" xfId="9536" xr:uid="{0C3F97C0-9E1D-49E4-98EA-622519637293}"/>
    <cellStyle name="40% - Accent5 4 2 3 3" xfId="5610" xr:uid="{548F0299-C852-4C03-A525-1332F261F989}"/>
    <cellStyle name="40% - Accent5 4 2 3_Jurisdictional Study" xfId="9535" xr:uid="{9648D68D-2EFA-4FA8-BDF0-F92E93075717}"/>
    <cellStyle name="40% - Accent5 4 2 4" xfId="5611" xr:uid="{55E20148-A18E-44F2-A24D-CA6020B48188}"/>
    <cellStyle name="40% - Accent5 4 2 4 2" xfId="5612" xr:uid="{CE73D3D6-7F29-4F8D-9C22-B72458C967BF}"/>
    <cellStyle name="40% - Accent5 4 2 4_Jurisdictional Study" xfId="9537" xr:uid="{049C939D-0EB5-4CF3-9680-93FDA7913F8A}"/>
    <cellStyle name="40% - Accent5 4 2 5" xfId="5613" xr:uid="{478ED891-930E-4FBD-BBCF-FB1160C7E739}"/>
    <cellStyle name="40% - Accent5 4 2_Jurisdictional Study" xfId="9530" xr:uid="{3A5002C9-50ED-49D1-A47F-E4D4D5FEA3B2}"/>
    <cellStyle name="40% - Accent5 4 3" xfId="5614" xr:uid="{B12CF585-7748-456B-AA03-6E66777A378E}"/>
    <cellStyle name="40% - Accent5 4 3 2" xfId="5615" xr:uid="{7AF7C6E2-9CA3-45B9-BE78-5F144D89FC43}"/>
    <cellStyle name="40% - Accent5 4 3 2 2" xfId="5616" xr:uid="{51D2C37A-C0DF-4A38-B364-7DF716D955A2}"/>
    <cellStyle name="40% - Accent5 4 3 2 2 2" xfId="5617" xr:uid="{48660506-CA46-470D-A39F-535D6071BDC1}"/>
    <cellStyle name="40% - Accent5 4 3 2 2_Jurisdictional Study" xfId="9540" xr:uid="{BD45C255-90F6-49A2-862B-CBB05F38AF2A}"/>
    <cellStyle name="40% - Accent5 4 3 2 3" xfId="5618" xr:uid="{D085CD38-055F-488C-B9F4-385F24264324}"/>
    <cellStyle name="40% - Accent5 4 3 2_Jurisdictional Study" xfId="9539" xr:uid="{D4EC6FF2-7D83-4BAE-82A0-876BA56F11DA}"/>
    <cellStyle name="40% - Accent5 4 3 3" xfId="5619" xr:uid="{D082585E-3152-4040-A7F4-B66A30A2CDB5}"/>
    <cellStyle name="40% - Accent5 4 3 3 2" xfId="5620" xr:uid="{8E0DD070-063F-4A19-B069-2D4ED96AC202}"/>
    <cellStyle name="40% - Accent5 4 3 3_Jurisdictional Study" xfId="9541" xr:uid="{46F4FF6A-B51D-4BA0-BAC4-6E1BBBC7C572}"/>
    <cellStyle name="40% - Accent5 4 3 4" xfId="5621" xr:uid="{87F1C004-959A-4925-92BD-C55645FE2C2C}"/>
    <cellStyle name="40% - Accent5 4 3_Jurisdictional Study" xfId="9538" xr:uid="{A4C8AB83-A453-47C1-BE2C-C39A3313ED23}"/>
    <cellStyle name="40% - Accent5 4 4" xfId="5622" xr:uid="{CD9273AF-E2A5-4664-B90D-82C8C8F1AA89}"/>
    <cellStyle name="40% - Accent5 4 4 2" xfId="5623" xr:uid="{A1CBF07C-28A8-44AC-9BA8-99F107905033}"/>
    <cellStyle name="40% - Accent5 4 4 2 2" xfId="5624" xr:uid="{D917D410-B3BE-4C70-B111-4DE0BFE7B2EA}"/>
    <cellStyle name="40% - Accent5 4 4 2_Jurisdictional Study" xfId="9543" xr:uid="{3DE68213-5597-418A-B9CD-8D53654B48E5}"/>
    <cellStyle name="40% - Accent5 4 4 3" xfId="5625" xr:uid="{6E83266A-12C4-4FC3-9932-4E3866C7ACAF}"/>
    <cellStyle name="40% - Accent5 4 4_Jurisdictional Study" xfId="9542" xr:uid="{0AED74CC-A99A-4B43-9730-81CE3D3DAFEF}"/>
    <cellStyle name="40% - Accent5 4 5" xfId="5626" xr:uid="{57334215-CEE7-4553-8736-CC1B1F19A3BF}"/>
    <cellStyle name="40% - Accent5 4 5 2" xfId="5627" xr:uid="{07D382AA-4507-4ECB-9309-7D04AFAA25EC}"/>
    <cellStyle name="40% - Accent5 4 5_Jurisdictional Study" xfId="9544" xr:uid="{8A00E369-0CAC-4BE6-893B-15426DB2B9D0}"/>
    <cellStyle name="40% - Accent5 4 6" xfId="5628" xr:uid="{CC3E049C-9E7E-4AC1-8870-1ADDB92840BF}"/>
    <cellStyle name="40% - Accent5 4_Jurisdictional Study" xfId="9529" xr:uid="{2B9CEF1D-CBD3-4363-A273-EB6CC3A59843}"/>
    <cellStyle name="40% - Accent5 5" xfId="5629" xr:uid="{AFFC5F38-4AF8-4F13-8BD6-E45F07B6C6D4}"/>
    <cellStyle name="40% - Accent5 5 2" xfId="5630" xr:uid="{D3119C80-4778-4A1B-823F-9299017B8B5E}"/>
    <cellStyle name="40% - Accent5 5 2 2" xfId="5631" xr:uid="{3F126394-F501-4F06-BB56-618A4F7DFFF7}"/>
    <cellStyle name="40% - Accent5 5 2 2 2" xfId="5632" xr:uid="{EE4BA949-9DCC-47FF-B902-12D738F46662}"/>
    <cellStyle name="40% - Accent5 5 2 2 2 2" xfId="5633" xr:uid="{92F5EF43-9FDA-4A69-B84A-A8CCDF358711}"/>
    <cellStyle name="40% - Accent5 5 2 2 2_Jurisdictional Study" xfId="9548" xr:uid="{52154A50-AD0E-488D-96FB-4BE4E1CBEC99}"/>
    <cellStyle name="40% - Accent5 5 2 2 3" xfId="5634" xr:uid="{7F781383-EBCF-4E55-A9E5-A1421856F948}"/>
    <cellStyle name="40% - Accent5 5 2 2_Jurisdictional Study" xfId="9547" xr:uid="{63614189-462B-4816-9EAD-7F05E32AC774}"/>
    <cellStyle name="40% - Accent5 5 2 3" xfId="5635" xr:uid="{B9349C12-C8AC-45DF-958B-0998451C7678}"/>
    <cellStyle name="40% - Accent5 5 2 3 2" xfId="5636" xr:uid="{ABC3D579-EFEE-449A-B22D-1999C5D87EBE}"/>
    <cellStyle name="40% - Accent5 5 2 3_Jurisdictional Study" xfId="9549" xr:uid="{3FD96FD2-CDC9-48FA-91B3-FAA9D2A0843D}"/>
    <cellStyle name="40% - Accent5 5 2 4" xfId="5637" xr:uid="{FBAEC8AA-4296-4200-B0B2-E93DC2C50C5D}"/>
    <cellStyle name="40% - Accent5 5 2_Jurisdictional Study" xfId="9546" xr:uid="{038D4BFD-D85C-477D-A479-343E53DF1BC5}"/>
    <cellStyle name="40% - Accent5 5 3" xfId="5638" xr:uid="{D85D2A29-7111-4834-8055-7BBA3B1AB55B}"/>
    <cellStyle name="40% - Accent5 5 3 2" xfId="5639" xr:uid="{A1533386-6DBC-43BB-BDB0-8AF8BD2C5043}"/>
    <cellStyle name="40% - Accent5 5 3 2 2" xfId="5640" xr:uid="{23AC7638-EC9C-4E8A-99C5-C5540C90D4DF}"/>
    <cellStyle name="40% - Accent5 5 3 2_Jurisdictional Study" xfId="9551" xr:uid="{6C7F5409-E07F-4EC6-B33B-3706C0C8DD06}"/>
    <cellStyle name="40% - Accent5 5 3 3" xfId="5641" xr:uid="{B13180B3-B3A3-4BB7-AC4A-6CAA739832E0}"/>
    <cellStyle name="40% - Accent5 5 3_Jurisdictional Study" xfId="9550" xr:uid="{298AA5A4-7F2B-45D2-8D0D-2236AD261580}"/>
    <cellStyle name="40% - Accent5 5 4" xfId="5642" xr:uid="{764FF56B-3F82-455D-9587-5D6E70BC6DA7}"/>
    <cellStyle name="40% - Accent5 5 4 2" xfId="5643" xr:uid="{624006E4-A54D-452D-BDDC-1A2CB70558B4}"/>
    <cellStyle name="40% - Accent5 5 4_Jurisdictional Study" xfId="9552" xr:uid="{C5DCAC64-A0B9-41C0-896B-B93C5BFE9CD9}"/>
    <cellStyle name="40% - Accent5 5 5" xfId="5644" xr:uid="{0D141401-C76B-4CF4-A76A-C6690F8DCD16}"/>
    <cellStyle name="40% - Accent5 5_Jurisdictional Study" xfId="9545" xr:uid="{2C0904B3-1C0B-48E2-9D26-E109CF9AB88A}"/>
    <cellStyle name="40% - Accent5 6" xfId="5645" xr:uid="{8E554AC4-7F4B-44E7-951C-EF68D1FC9839}"/>
    <cellStyle name="40% - Accent5 6 2" xfId="5646" xr:uid="{0AE27610-15EA-44E9-8696-31E7B5C0D5C3}"/>
    <cellStyle name="40% - Accent5 6 2 2" xfId="5647" xr:uid="{1CFB9A42-9486-4315-AC9F-9A08B47B3601}"/>
    <cellStyle name="40% - Accent5 6 2 2 2" xfId="5648" xr:uid="{63723B6B-979C-49E7-9CE9-14AE0A93F9AB}"/>
    <cellStyle name="40% - Accent5 6 2 2_Jurisdictional Study" xfId="9555" xr:uid="{972D1EAE-0168-4798-84CD-31124D5D821B}"/>
    <cellStyle name="40% - Accent5 6 2 3" xfId="5649" xr:uid="{2648C679-B756-4BFC-9D21-63202836442B}"/>
    <cellStyle name="40% - Accent5 6 2_Jurisdictional Study" xfId="9554" xr:uid="{0DA95681-D27F-4D14-9FF0-E093377CDDDD}"/>
    <cellStyle name="40% - Accent5 6 3" xfId="5650" xr:uid="{647CA4BB-A344-4A76-8D99-18B8395CF4D3}"/>
    <cellStyle name="40% - Accent5 6 3 2" xfId="5651" xr:uid="{6ABCDE17-D297-4A6F-9140-0057548A8DD4}"/>
    <cellStyle name="40% - Accent5 6 3_Jurisdictional Study" xfId="9556" xr:uid="{D785B9B7-F8E3-46AC-AA24-CF6A5C3268F2}"/>
    <cellStyle name="40% - Accent5 6 4" xfId="5652" xr:uid="{8DD8F1F7-F3D4-4996-BFC8-420E719DE3FB}"/>
    <cellStyle name="40% - Accent5 6_Jurisdictional Study" xfId="9553" xr:uid="{D08AEA02-CE27-4ACB-A018-E795013D8731}"/>
    <cellStyle name="40% - Accent5 7" xfId="5653" xr:uid="{7F5C333B-18AC-418A-8BE4-4EC406BE0B4D}"/>
    <cellStyle name="40% - Accent5 7 2" xfId="5654" xr:uid="{9719EBF2-D5CF-4CCA-AB0C-894A6BA5A5AF}"/>
    <cellStyle name="40% - Accent5 7 2 2" xfId="5655" xr:uid="{5B30E511-7D2C-4D8E-A29C-B8559526D737}"/>
    <cellStyle name="40% - Accent5 7 2 2 2" xfId="5656" xr:uid="{CAB1B45C-F395-4602-A47C-B10A331BC10B}"/>
    <cellStyle name="40% - Accent5 7 2 2_Jurisdictional Study" xfId="9559" xr:uid="{C02FD93D-E8A4-474F-8AE4-C5A6EB666A1C}"/>
    <cellStyle name="40% - Accent5 7 2 3" xfId="5657" xr:uid="{55280031-58F5-477F-8B25-D945A8BADF72}"/>
    <cellStyle name="40% - Accent5 7 2_Jurisdictional Study" xfId="9558" xr:uid="{8625696C-3791-4762-B0C1-A76855AD5601}"/>
    <cellStyle name="40% - Accent5 7 3" xfId="5658" xr:uid="{5380E2B5-DF16-4832-9E66-AADD138B9A27}"/>
    <cellStyle name="40% - Accent5 7 3 2" xfId="5659" xr:uid="{6F7F875B-0206-4426-89B1-A93A7A02E40A}"/>
    <cellStyle name="40% - Accent5 7 3_Jurisdictional Study" xfId="9560" xr:uid="{A47B3DFA-41FA-4A62-A37E-D1B2004CB991}"/>
    <cellStyle name="40% - Accent5 7 4" xfId="5660" xr:uid="{B2EAF44C-DB79-4D67-8816-892B60AB7358}"/>
    <cellStyle name="40% - Accent5 7_Jurisdictional Study" xfId="9557" xr:uid="{DD4E069A-D78A-46F6-986E-F55E5CE9FDF2}"/>
    <cellStyle name="40% - Accent5 8" xfId="5661" xr:uid="{FAA4ECD3-F417-4B76-AD48-4898528D9EB1}"/>
    <cellStyle name="40% - Accent5 8 2" xfId="5662" xr:uid="{1EA5F843-A975-4AD8-A350-D89E7A1E7AE7}"/>
    <cellStyle name="40% - Accent5 8 2 2" xfId="5663" xr:uid="{19EAC880-BB0C-4036-B13B-41637AB55B51}"/>
    <cellStyle name="40% - Accent5 8 2 2 2" xfId="5664" xr:uid="{18F2305C-33B0-456D-97A6-C9E3BFB14A40}"/>
    <cellStyle name="40% - Accent5 8 2 2_Jurisdictional Study" xfId="9563" xr:uid="{2162FA56-BD02-430F-8C0D-B6BC63931664}"/>
    <cellStyle name="40% - Accent5 8 2 3" xfId="5665" xr:uid="{3C76B58C-78DC-41CC-9417-6829C8C573C1}"/>
    <cellStyle name="40% - Accent5 8 2_Jurisdictional Study" xfId="9562" xr:uid="{A3DA1B7C-EC87-498A-9058-600915E47C21}"/>
    <cellStyle name="40% - Accent5 8 3" xfId="5666" xr:uid="{0D86885D-56B7-4287-B249-3AD0F080F365}"/>
    <cellStyle name="40% - Accent5 8 3 2" xfId="5667" xr:uid="{C6633A42-D1F2-4C61-88E3-7FF23E04ACFB}"/>
    <cellStyle name="40% - Accent5 8 3_Jurisdictional Study" xfId="9564" xr:uid="{AEED734F-5BBD-48AC-BC97-996249242A83}"/>
    <cellStyle name="40% - Accent5 8 4" xfId="5668" xr:uid="{D5B8816B-2645-4227-AB57-EB9AB0ABC130}"/>
    <cellStyle name="40% - Accent5 8_Jurisdictional Study" xfId="9561" xr:uid="{599A3B41-2C9A-479D-B100-A6A9055A5550}"/>
    <cellStyle name="40% - Accent5 9" xfId="5669" xr:uid="{194D0597-2CE7-411E-8BA7-11FA1CE2CA6D}"/>
    <cellStyle name="40% - Accent5 9 2" xfId="5670" xr:uid="{F9596C3B-A04C-4081-ABA1-E147049A718D}"/>
    <cellStyle name="40% - Accent5 9 2 2" xfId="5671" xr:uid="{CDD4C269-41A0-4C4C-B770-51C33D401662}"/>
    <cellStyle name="40% - Accent5 9 2_Jurisdictional Study" xfId="9566" xr:uid="{15323ECD-B41F-46FE-9CAB-23502E3ECE3A}"/>
    <cellStyle name="40% - Accent5 9 3" xfId="5672" xr:uid="{51AC08C9-8BDF-4013-9B5D-1083CEB7206B}"/>
    <cellStyle name="40% - Accent5 9_Jurisdictional Study" xfId="9565" xr:uid="{666F1D2A-A27F-4B72-A765-E6FBBB481FA7}"/>
    <cellStyle name="40% - Accent6" xfId="12" builtinId="51" customBuiltin="1"/>
    <cellStyle name="40% - Accent6 10" xfId="5673" xr:uid="{F49B027B-9B6C-4FB1-9EAF-9E5525C8CB27}"/>
    <cellStyle name="40% - Accent6 10 2" xfId="5674" xr:uid="{F720F039-D410-4C04-AD16-67380A54B6CF}"/>
    <cellStyle name="40% - Accent6 10 2 2" xfId="5675" xr:uid="{944185BD-3797-4998-B335-E78F2A16263D}"/>
    <cellStyle name="40% - Accent6 10 2_Jurisdictional Study" xfId="9568" xr:uid="{1C589133-AE22-437E-9E8C-F353A74E0B1B}"/>
    <cellStyle name="40% - Accent6 10 3" xfId="5676" xr:uid="{F442CD43-E8BB-4B2A-B757-86BD52390B0E}"/>
    <cellStyle name="40% - Accent6 10_Jurisdictional Study" xfId="9567" xr:uid="{0575891C-025A-464C-B465-6082B88C53F0}"/>
    <cellStyle name="40% - Accent6 11" xfId="5677" xr:uid="{59CE67DF-B2EC-4E3A-AB3A-B9D289D83CFA}"/>
    <cellStyle name="40% - Accent6 11 2" xfId="5678" xr:uid="{BA124EC4-6E76-4D85-8A73-1C513A1B7D93}"/>
    <cellStyle name="40% - Accent6 11 2 2" xfId="5679" xr:uid="{88853E24-7FBB-417C-9DDB-A46540574F1D}"/>
    <cellStyle name="40% - Accent6 11 2_Jurisdictional Study" xfId="9570" xr:uid="{1990372E-6F56-4D49-AD4B-8B3DBEDD0D57}"/>
    <cellStyle name="40% - Accent6 11 3" xfId="5680" xr:uid="{2A14AC06-DC80-4751-A3F1-6C9347B4A47D}"/>
    <cellStyle name="40% - Accent6 11_Jurisdictional Study" xfId="9569" xr:uid="{DD6B6995-19E7-49BD-99BB-09FF6B13B0CE}"/>
    <cellStyle name="40% - Accent6 12" xfId="5681" xr:uid="{205F3DE1-6A9C-49A5-8E3A-3E2E4F5BC497}"/>
    <cellStyle name="40% - Accent6 12 2" xfId="5682" xr:uid="{4B1FAB64-FFEC-498F-A63C-EA88C6A5EC26}"/>
    <cellStyle name="40% - Accent6 12_Jurisdictional Study" xfId="9571" xr:uid="{7A58D6AB-0A63-4E4F-8531-9ABB37C88070}"/>
    <cellStyle name="40% - Accent6 13" xfId="5683" xr:uid="{41903AFD-0C13-434B-9DB9-402720E17675}"/>
    <cellStyle name="40% - Accent6 14" xfId="3191" xr:uid="{913AD1E0-87F1-4573-9969-D092A0487AC3}"/>
    <cellStyle name="40% - Accent6 2" xfId="258" xr:uid="{1501E578-6054-4564-9D08-4BF5ACD9D787}"/>
    <cellStyle name="40% - Accent6 2 2" xfId="5685" xr:uid="{E27EC272-460B-45EF-B1BF-9AC33ACFCCC9}"/>
    <cellStyle name="40% - Accent6 2 2 2" xfId="5686" xr:uid="{571D033A-BC24-4648-BE79-26F65E12AD7A}"/>
    <cellStyle name="40% - Accent6 2 2 2 2" xfId="5687" xr:uid="{E2E49B63-2278-484F-8A80-597E4893B0DF}"/>
    <cellStyle name="40% - Accent6 2 2 2 2 2" xfId="5688" xr:uid="{F512CEBF-FBB5-4F14-91A2-7F6DA6E73A18}"/>
    <cellStyle name="40% - Accent6 2 2 2 2 2 2" xfId="5689" xr:uid="{65F705C3-0AF1-4AE5-809C-09F42415B158}"/>
    <cellStyle name="40% - Accent6 2 2 2 2 2 2 2" xfId="5690" xr:uid="{AFE1F8D7-F94D-4EBF-A4FA-D85D919974E7}"/>
    <cellStyle name="40% - Accent6 2 2 2 2 2 2_Jurisdictional Study" xfId="9576" xr:uid="{6F38AAD1-381E-497A-8CE4-14208C65D1B5}"/>
    <cellStyle name="40% - Accent6 2 2 2 2 2 3" xfId="5691" xr:uid="{D0385A77-696D-4FD5-9B71-3FFE5561AD95}"/>
    <cellStyle name="40% - Accent6 2 2 2 2 2_Jurisdictional Study" xfId="9575" xr:uid="{7E0C60EA-9752-4DF8-850E-DF3D68D7711B}"/>
    <cellStyle name="40% - Accent6 2 2 2 2 3" xfId="5692" xr:uid="{A6B41C05-F4D6-47C8-89EE-6F4EA79B19EC}"/>
    <cellStyle name="40% - Accent6 2 2 2 2 3 2" xfId="5693" xr:uid="{236FEFFE-CC7D-4307-8E18-B7B06770B4D9}"/>
    <cellStyle name="40% - Accent6 2 2 2 2 3_Jurisdictional Study" xfId="9577" xr:uid="{420DB0CA-FA11-4EC4-BE25-F7646D592CB2}"/>
    <cellStyle name="40% - Accent6 2 2 2 2 4" xfId="5694" xr:uid="{412B2626-28CF-4FAF-9C82-5F5A401BD0C6}"/>
    <cellStyle name="40% - Accent6 2 2 2 2_Jurisdictional Study" xfId="9574" xr:uid="{113DDC38-DCA6-495F-88D0-A3E85A78AB47}"/>
    <cellStyle name="40% - Accent6 2 2 2 3" xfId="5695" xr:uid="{BEC2044F-15FA-4D72-93E1-BABCF45E7B47}"/>
    <cellStyle name="40% - Accent6 2 2 2 3 2" xfId="5696" xr:uid="{D1F1CDF9-D95F-4192-806F-0B3AC68EF73D}"/>
    <cellStyle name="40% - Accent6 2 2 2 3 2 2" xfId="5697" xr:uid="{374F4817-739C-43DF-A8CA-A54F952A9A59}"/>
    <cellStyle name="40% - Accent6 2 2 2 3 2_Jurisdictional Study" xfId="9579" xr:uid="{F224B9C4-0285-4F5B-A2E4-88C5244BDEFC}"/>
    <cellStyle name="40% - Accent6 2 2 2 3 3" xfId="5698" xr:uid="{3D4688CC-7DBF-4C7C-8E87-99CBF7B3D81D}"/>
    <cellStyle name="40% - Accent6 2 2 2 3_Jurisdictional Study" xfId="9578" xr:uid="{0036B5BA-D9D7-47FE-8152-EB6A290E0DF7}"/>
    <cellStyle name="40% - Accent6 2 2 2 4" xfId="5699" xr:uid="{65983065-CC78-4B10-90C2-E7E7986DFEEC}"/>
    <cellStyle name="40% - Accent6 2 2 2 4 2" xfId="5700" xr:uid="{97053221-5651-48C9-AC1A-EB94C4AB1163}"/>
    <cellStyle name="40% - Accent6 2 2 2 4_Jurisdictional Study" xfId="9580" xr:uid="{27FD051F-3384-4775-B769-C13323823B8E}"/>
    <cellStyle name="40% - Accent6 2 2 2 5" xfId="5701" xr:uid="{E54D8B62-FF64-456E-90D1-F7930BBFF006}"/>
    <cellStyle name="40% - Accent6 2 2 2_Jurisdictional Study" xfId="9573" xr:uid="{25FB0C50-A38B-4E1A-8509-EB899E30DDB6}"/>
    <cellStyle name="40% - Accent6 2 2 3" xfId="5702" xr:uid="{FF734DA2-C3C1-4F6C-8387-4F07C04EA864}"/>
    <cellStyle name="40% - Accent6 2 2 3 2" xfId="5703" xr:uid="{62CC5FE1-04D3-400B-AA30-6EECDB4CFED9}"/>
    <cellStyle name="40% - Accent6 2 2 3 2 2" xfId="5704" xr:uid="{3AD2EDE9-CF93-40DD-8358-9D2FB840732B}"/>
    <cellStyle name="40% - Accent6 2 2 3 2 2 2" xfId="5705" xr:uid="{28194FEA-9939-4588-846A-3F7C5ED3FBC6}"/>
    <cellStyle name="40% - Accent6 2 2 3 2 2_Jurisdictional Study" xfId="9583" xr:uid="{AB1A2A0B-2740-4D73-B541-E5024E328115}"/>
    <cellStyle name="40% - Accent6 2 2 3 2 3" xfId="5706" xr:uid="{81494F46-BDD0-4044-B9AD-3199B4BA1614}"/>
    <cellStyle name="40% - Accent6 2 2 3 2_Jurisdictional Study" xfId="9582" xr:uid="{FE0C17CE-E340-4999-8460-DCDE801576AE}"/>
    <cellStyle name="40% - Accent6 2 2 3 3" xfId="5707" xr:uid="{FE997E88-C0AA-486C-835C-D70C8700B254}"/>
    <cellStyle name="40% - Accent6 2 2 3 3 2" xfId="5708" xr:uid="{4D1063AD-6C3E-44ED-A936-637D347A5BBE}"/>
    <cellStyle name="40% - Accent6 2 2 3 3_Jurisdictional Study" xfId="9584" xr:uid="{78F6789F-9030-4DE1-A7A2-6FE25D4A11F7}"/>
    <cellStyle name="40% - Accent6 2 2 3 4" xfId="5709" xr:uid="{A11A6202-C23D-4799-9983-F5CAEFFCCE6A}"/>
    <cellStyle name="40% - Accent6 2 2 3_Jurisdictional Study" xfId="9581" xr:uid="{52F4BCE0-7847-4BE7-8F6C-F32D0CACA936}"/>
    <cellStyle name="40% - Accent6 2 2 4" xfId="5710" xr:uid="{99DA6D77-C668-4C8C-BECC-F1E6734FAC82}"/>
    <cellStyle name="40% - Accent6 2 2 4 2" xfId="5711" xr:uid="{4A702423-8AC1-4BC0-9BF6-941200E5063F}"/>
    <cellStyle name="40% - Accent6 2 2 4 2 2" xfId="5712" xr:uid="{8105585C-6F62-4632-ADED-01DB3F22B977}"/>
    <cellStyle name="40% - Accent6 2 2 4 2_Jurisdictional Study" xfId="9586" xr:uid="{C95C1FF9-8F18-43E9-B8E8-C3C09671B2B8}"/>
    <cellStyle name="40% - Accent6 2 2 4 3" xfId="5713" xr:uid="{A227779B-81E4-4314-8E34-30283837D16F}"/>
    <cellStyle name="40% - Accent6 2 2 4_Jurisdictional Study" xfId="9585" xr:uid="{F90300F2-8BAB-4B19-B5D2-C2DF6112F9D8}"/>
    <cellStyle name="40% - Accent6 2 2 5" xfId="5714" xr:uid="{345292F3-A637-43B5-B02C-7D836685F251}"/>
    <cellStyle name="40% - Accent6 2 2 5 2" xfId="5715" xr:uid="{B52356BE-64FA-4126-B493-36BA3E247697}"/>
    <cellStyle name="40% - Accent6 2 2 5_Jurisdictional Study" xfId="9587" xr:uid="{FB982DC3-057A-40E0-8657-8C73FBA14F58}"/>
    <cellStyle name="40% - Accent6 2 2 6" xfId="5716" xr:uid="{534CE6C4-0EE4-487E-A1BE-7F5435B2C64A}"/>
    <cellStyle name="40% - Accent6 2 2_Jurisdictional Study" xfId="9572" xr:uid="{726A1697-3E91-48AB-9DB7-2898CFDBD5D6}"/>
    <cellStyle name="40% - Accent6 2 3" xfId="5717" xr:uid="{23A18728-74E1-4AA7-8E6B-C9075DA69242}"/>
    <cellStyle name="40% - Accent6 2 3 2" xfId="5718" xr:uid="{E572F07E-2020-4D2B-AFC7-8627A0583B86}"/>
    <cellStyle name="40% - Accent6 2 3 2 2" xfId="5719" xr:uid="{B8A77F13-2D8B-483B-B172-847B8A02880A}"/>
    <cellStyle name="40% - Accent6 2 3 2 2 2" xfId="5720" xr:uid="{A8688FDD-079A-41ED-9262-BEA3D27FD3C6}"/>
    <cellStyle name="40% - Accent6 2 3 2 2 2 2" xfId="5721" xr:uid="{AA1FAFE3-A67F-455E-B855-8F1564673C10}"/>
    <cellStyle name="40% - Accent6 2 3 2 2 2_Jurisdictional Study" xfId="9591" xr:uid="{7E433A16-124C-40F0-87BA-FDBED1A587F0}"/>
    <cellStyle name="40% - Accent6 2 3 2 2 3" xfId="5722" xr:uid="{D0B1FED3-2729-471C-A812-3D9050A1B832}"/>
    <cellStyle name="40% - Accent6 2 3 2 2_Jurisdictional Study" xfId="9590" xr:uid="{FEC1D6D2-F7DB-4A5C-86B0-E11CB782F859}"/>
    <cellStyle name="40% - Accent6 2 3 2 3" xfId="5723" xr:uid="{16E441ED-3039-4F7C-90D5-A15B3EBE9066}"/>
    <cellStyle name="40% - Accent6 2 3 2 3 2" xfId="5724" xr:uid="{858222C6-291E-4785-A116-2B1303096249}"/>
    <cellStyle name="40% - Accent6 2 3 2 3_Jurisdictional Study" xfId="9592" xr:uid="{55994F0B-4934-4C3D-AE43-3E43F24DCB4A}"/>
    <cellStyle name="40% - Accent6 2 3 2 4" xfId="5725" xr:uid="{B2494714-D9A4-4909-9DCA-D44ACC588AE0}"/>
    <cellStyle name="40% - Accent6 2 3 2_Jurisdictional Study" xfId="9589" xr:uid="{FB29C29E-8B12-4365-A553-06B842C55796}"/>
    <cellStyle name="40% - Accent6 2 3 3" xfId="5726" xr:uid="{DA4A92E2-057D-4882-AB4A-351DCA0AB495}"/>
    <cellStyle name="40% - Accent6 2 3 3 2" xfId="5727" xr:uid="{0D494FBB-B539-4635-B194-EB8660FE4823}"/>
    <cellStyle name="40% - Accent6 2 3 3 2 2" xfId="5728" xr:uid="{11800CC3-A4D5-4DE1-B9F2-4903DE5A26FA}"/>
    <cellStyle name="40% - Accent6 2 3 3 2_Jurisdictional Study" xfId="9594" xr:uid="{E67753CC-585B-42F5-A848-18C04FE0226E}"/>
    <cellStyle name="40% - Accent6 2 3 3 3" xfId="5729" xr:uid="{7BFDBF75-B28B-45FF-ADC9-45AE64D1830B}"/>
    <cellStyle name="40% - Accent6 2 3 3_Jurisdictional Study" xfId="9593" xr:uid="{983F1A2D-5D0C-47CA-8BDA-E94067EE11FF}"/>
    <cellStyle name="40% - Accent6 2 3 4" xfId="5730" xr:uid="{4DA44F00-DFC0-446C-957D-DE98EEB3A0EF}"/>
    <cellStyle name="40% - Accent6 2 3 4 2" xfId="5731" xr:uid="{04817349-93B6-4AE8-B251-C5E48BE8D0D1}"/>
    <cellStyle name="40% - Accent6 2 3 4_Jurisdictional Study" xfId="9595" xr:uid="{D0491EF0-997B-4F1F-A4DE-9FB68FD860A4}"/>
    <cellStyle name="40% - Accent6 2 3 5" xfId="5732" xr:uid="{E772EFEF-3FF3-47EE-B300-CB3EB9CA05F7}"/>
    <cellStyle name="40% - Accent6 2 3_Jurisdictional Study" xfId="9588" xr:uid="{44F707E6-040C-42F9-B96C-79E57B480C62}"/>
    <cellStyle name="40% - Accent6 2 4" xfId="5733" xr:uid="{3BC910D5-DAC6-4094-8166-27388E0BF0AB}"/>
    <cellStyle name="40% - Accent6 2 4 2" xfId="5734" xr:uid="{C978EA43-A331-4AED-9D27-01449F1F800C}"/>
    <cellStyle name="40% - Accent6 2 4 2 2" xfId="5735" xr:uid="{51251BF6-7930-4DFC-BA65-7B125CE57A07}"/>
    <cellStyle name="40% - Accent6 2 4 2 2 2" xfId="5736" xr:uid="{7E2BEDE7-83C0-4C3D-919E-E5D71572324A}"/>
    <cellStyle name="40% - Accent6 2 4 2 2_Jurisdictional Study" xfId="9598" xr:uid="{4404C4F4-DE07-4E05-9A60-C808A054B97F}"/>
    <cellStyle name="40% - Accent6 2 4 2 3" xfId="5737" xr:uid="{C73F909C-CDDF-4062-8357-80952C9B96A1}"/>
    <cellStyle name="40% - Accent6 2 4 2_Jurisdictional Study" xfId="9597" xr:uid="{C57F758F-32A0-47C3-851A-21A6D4FF3B86}"/>
    <cellStyle name="40% - Accent6 2 4 3" xfId="5738" xr:uid="{2F9B30D1-538B-48C6-976C-469915C2129D}"/>
    <cellStyle name="40% - Accent6 2 4 3 2" xfId="5739" xr:uid="{9BEF5F14-069C-4FA0-A789-4B9E2E76AF4C}"/>
    <cellStyle name="40% - Accent6 2 4 3_Jurisdictional Study" xfId="9599" xr:uid="{A331E3D0-18D1-463F-8452-271796988910}"/>
    <cellStyle name="40% - Accent6 2 4 4" xfId="5740" xr:uid="{4DA56518-EAAC-40A0-81B5-BB451D6D30E2}"/>
    <cellStyle name="40% - Accent6 2 4_Jurisdictional Study" xfId="9596" xr:uid="{34C58F65-90BC-4189-B844-1A9C96248531}"/>
    <cellStyle name="40% - Accent6 2 5" xfId="5741" xr:uid="{A7C514D9-D17A-4B56-B8BA-D78E390B42ED}"/>
    <cellStyle name="40% - Accent6 2 5 2" xfId="5742" xr:uid="{859459C0-75B3-4F6C-BD5A-8CD6DDFDDDA6}"/>
    <cellStyle name="40% - Accent6 2 5 2 2" xfId="5743" xr:uid="{D8BF3A67-DCFE-4195-93EE-7CD701AA58F2}"/>
    <cellStyle name="40% - Accent6 2 5 2_Jurisdictional Study" xfId="9601" xr:uid="{E05F2D26-3D28-4AA9-BE12-E35BD6F6E0C3}"/>
    <cellStyle name="40% - Accent6 2 5 3" xfId="5744" xr:uid="{F87FCEB4-1A65-4ECE-BBC4-7AE4C0E6AF7B}"/>
    <cellStyle name="40% - Accent6 2 5_Jurisdictional Study" xfId="9600" xr:uid="{56C23B0D-C6DF-422D-A23C-19044DB9B0D9}"/>
    <cellStyle name="40% - Accent6 2 6" xfId="5745" xr:uid="{3452C8C0-F770-43CD-8B1F-51873A2E003A}"/>
    <cellStyle name="40% - Accent6 2 6 2" xfId="5746" xr:uid="{80D2A0DB-49CC-4D47-8C17-650D5E6C44A4}"/>
    <cellStyle name="40% - Accent6 2 6_Jurisdictional Study" xfId="9602" xr:uid="{109171F1-FB12-4EE6-AAFF-366DBED07F81}"/>
    <cellStyle name="40% - Accent6 2 7" xfId="5747" xr:uid="{854DFB55-089D-4F31-9D53-0BD291D7B76C}"/>
    <cellStyle name="40% - Accent6 2 8" xfId="5684" xr:uid="{E9E267BF-AC74-4B5E-BBAE-7CFF5E4A6D3F}"/>
    <cellStyle name="40% - Accent6 3" xfId="3215" xr:uid="{A293209C-CD7C-4BE9-A3C5-53680BC467E4}"/>
    <cellStyle name="40% - Accent6 3 2" xfId="5749" xr:uid="{19324E86-336B-46D8-9C5D-746CF3F65048}"/>
    <cellStyle name="40% - Accent6 3 2 2" xfId="5750" xr:uid="{7A4B66D9-6EA1-436B-AB6B-BA2BC3AFA54E}"/>
    <cellStyle name="40% - Accent6 3 2 2 2" xfId="5751" xr:uid="{70C41E87-899D-4546-9FA7-8F27E309D57B}"/>
    <cellStyle name="40% - Accent6 3 2 2 2 2" xfId="5752" xr:uid="{BD5B140C-E5EF-4617-9DC9-35272EB942C4}"/>
    <cellStyle name="40% - Accent6 3 2 2 2 2 2" xfId="5753" xr:uid="{A7CAA4F7-DEB2-464D-89B9-B05896C91406}"/>
    <cellStyle name="40% - Accent6 3 2 2 2 2 2 2" xfId="5754" xr:uid="{1A2A1003-3237-4E6B-8A91-DB68D4FB1AA8}"/>
    <cellStyle name="40% - Accent6 3 2 2 2 2 2_Jurisdictional Study" xfId="9608" xr:uid="{2F65AB16-978C-48FD-9946-E391674D8F6F}"/>
    <cellStyle name="40% - Accent6 3 2 2 2 2 3" xfId="5755" xr:uid="{ACC3A5CB-21B2-42EC-A709-A9A446713509}"/>
    <cellStyle name="40% - Accent6 3 2 2 2 2_Jurisdictional Study" xfId="9607" xr:uid="{60A8D8D6-EAFB-465D-B4E6-42E85683167F}"/>
    <cellStyle name="40% - Accent6 3 2 2 2 3" xfId="5756" xr:uid="{C4D677D7-2C9E-461F-945F-D1D12ADE6DE3}"/>
    <cellStyle name="40% - Accent6 3 2 2 2 3 2" xfId="5757" xr:uid="{55261C4F-5CF7-4A34-9D3F-F0733085CAF5}"/>
    <cellStyle name="40% - Accent6 3 2 2 2 3_Jurisdictional Study" xfId="9609" xr:uid="{AC8E97AC-E1E2-4E86-BB8A-F4A2453017D0}"/>
    <cellStyle name="40% - Accent6 3 2 2 2 4" xfId="5758" xr:uid="{1C4A0AC0-170D-44CC-8F81-28D09FBF3BCF}"/>
    <cellStyle name="40% - Accent6 3 2 2 2_Jurisdictional Study" xfId="9606" xr:uid="{980D99C0-38B3-43BA-89E6-D51BD23FB544}"/>
    <cellStyle name="40% - Accent6 3 2 2 3" xfId="5759" xr:uid="{1B8BF658-6DE9-49DF-A59B-F03055DF86A1}"/>
    <cellStyle name="40% - Accent6 3 2 2 3 2" xfId="5760" xr:uid="{83DE0E61-69B0-4841-9C27-5DAD0E9D5A88}"/>
    <cellStyle name="40% - Accent6 3 2 2 3 2 2" xfId="5761" xr:uid="{FD9053EF-A93D-4076-AFB6-02B02A300658}"/>
    <cellStyle name="40% - Accent6 3 2 2 3 2_Jurisdictional Study" xfId="9611" xr:uid="{173A8D85-8F2D-4839-8A1B-879E312F7F33}"/>
    <cellStyle name="40% - Accent6 3 2 2 3 3" xfId="5762" xr:uid="{A0BA0DF5-5428-41BA-8D4A-DD3E2752B1DF}"/>
    <cellStyle name="40% - Accent6 3 2 2 3_Jurisdictional Study" xfId="9610" xr:uid="{28FF994E-F501-4212-815F-8DA169F730B4}"/>
    <cellStyle name="40% - Accent6 3 2 2 4" xfId="5763" xr:uid="{2E42527F-55EB-48D4-8F2F-814E6D68795E}"/>
    <cellStyle name="40% - Accent6 3 2 2 4 2" xfId="5764" xr:uid="{641F1DE3-63FE-4B78-BADC-DCB0CD9383FE}"/>
    <cellStyle name="40% - Accent6 3 2 2 4_Jurisdictional Study" xfId="9612" xr:uid="{8EF30FF9-CCF6-406D-AE24-87AF6E6787F7}"/>
    <cellStyle name="40% - Accent6 3 2 2 5" xfId="5765" xr:uid="{405C9D88-4D86-4991-817E-C76E792F3080}"/>
    <cellStyle name="40% - Accent6 3 2 2_Jurisdictional Study" xfId="9605" xr:uid="{8DCD7151-17F6-4CBE-A907-74DE2E6963B1}"/>
    <cellStyle name="40% - Accent6 3 2 3" xfId="5766" xr:uid="{A8BB8404-04A0-4300-893E-E17F47A2C7B5}"/>
    <cellStyle name="40% - Accent6 3 2 3 2" xfId="5767" xr:uid="{728F378F-A868-4270-9E52-D46009D74E2E}"/>
    <cellStyle name="40% - Accent6 3 2 3 2 2" xfId="5768" xr:uid="{9FCABC6D-CB43-49F5-A498-2F03CBEABFAC}"/>
    <cellStyle name="40% - Accent6 3 2 3 2 2 2" xfId="5769" xr:uid="{931C59D7-E357-4E22-8D31-C4AC49FE1D7F}"/>
    <cellStyle name="40% - Accent6 3 2 3 2 2_Jurisdictional Study" xfId="9615" xr:uid="{3B1B1D35-4E07-408F-B2C4-3DB144A75113}"/>
    <cellStyle name="40% - Accent6 3 2 3 2 3" xfId="5770" xr:uid="{C83CEE69-C718-4C81-B0E0-575D6E456638}"/>
    <cellStyle name="40% - Accent6 3 2 3 2_Jurisdictional Study" xfId="9614" xr:uid="{8EEA7D3E-3190-44B2-A190-21EFAB9462CC}"/>
    <cellStyle name="40% - Accent6 3 2 3 3" xfId="5771" xr:uid="{7DD7D483-E5A9-426E-B8FE-23A83953B5AC}"/>
    <cellStyle name="40% - Accent6 3 2 3 3 2" xfId="5772" xr:uid="{418EAD3E-2316-4125-889E-C7EDB2152429}"/>
    <cellStyle name="40% - Accent6 3 2 3 3_Jurisdictional Study" xfId="9616" xr:uid="{FEB35FE5-7DEE-46A3-8116-3E164B83B3BA}"/>
    <cellStyle name="40% - Accent6 3 2 3 4" xfId="5773" xr:uid="{CC177DB6-A90F-4473-9367-038E95D467EB}"/>
    <cellStyle name="40% - Accent6 3 2 3_Jurisdictional Study" xfId="9613" xr:uid="{DD514FA0-2A2E-4F66-919C-8E073B5FB139}"/>
    <cellStyle name="40% - Accent6 3 2 4" xfId="5774" xr:uid="{8E3C0217-D1F5-4110-ADF9-93E5194BEA3E}"/>
    <cellStyle name="40% - Accent6 3 2 4 2" xfId="5775" xr:uid="{537866CA-7515-4C59-B705-A1A0138EDEA1}"/>
    <cellStyle name="40% - Accent6 3 2 4 2 2" xfId="5776" xr:uid="{FC4E8764-CC42-4801-90E1-5E24F17ADB6B}"/>
    <cellStyle name="40% - Accent6 3 2 4 2_Jurisdictional Study" xfId="9618" xr:uid="{65DA2B57-B699-48B7-A3BE-4DAF8B18FA3B}"/>
    <cellStyle name="40% - Accent6 3 2 4 3" xfId="5777" xr:uid="{4E0AEDFD-8CBD-4E76-B84D-60A1D714EAD2}"/>
    <cellStyle name="40% - Accent6 3 2 4_Jurisdictional Study" xfId="9617" xr:uid="{3F1D21C5-DC96-4FAD-A009-E6F5F48317B7}"/>
    <cellStyle name="40% - Accent6 3 2 5" xfId="5778" xr:uid="{04594F3A-A6FF-419B-9BEC-23E6D944D674}"/>
    <cellStyle name="40% - Accent6 3 2 5 2" xfId="5779" xr:uid="{116073E6-5594-4A0F-B933-C9DA8BEBBAF0}"/>
    <cellStyle name="40% - Accent6 3 2 5_Jurisdictional Study" xfId="9619" xr:uid="{B036743B-09B2-4FD9-8104-226E72D38014}"/>
    <cellStyle name="40% - Accent6 3 2 6" xfId="5780" xr:uid="{76E18FAC-EAF3-46F1-A9EE-3565228EB51D}"/>
    <cellStyle name="40% - Accent6 3 2_Jurisdictional Study" xfId="9604" xr:uid="{81A93378-5A85-4A98-B802-5C2F49B97923}"/>
    <cellStyle name="40% - Accent6 3 3" xfId="5781" xr:uid="{5C524813-B610-4570-96D2-1A4574FC4426}"/>
    <cellStyle name="40% - Accent6 3 3 2" xfId="5782" xr:uid="{F69AA302-7433-4870-8ED9-EE267F2D6F9B}"/>
    <cellStyle name="40% - Accent6 3 3 2 2" xfId="5783" xr:uid="{68FEE783-5095-4271-BCD0-B4CFE053C377}"/>
    <cellStyle name="40% - Accent6 3 3 2 2 2" xfId="5784" xr:uid="{964FDF1C-4178-46E2-9A91-152910065F5E}"/>
    <cellStyle name="40% - Accent6 3 3 2 2 2 2" xfId="5785" xr:uid="{DF7183A1-3EC9-4D57-AF9F-29D5C06EF867}"/>
    <cellStyle name="40% - Accent6 3 3 2 2 2_Jurisdictional Study" xfId="9623" xr:uid="{64F61AFF-2F28-47B8-99AC-EC487EF00923}"/>
    <cellStyle name="40% - Accent6 3 3 2 2 3" xfId="5786" xr:uid="{81836A5E-AC6D-4160-A02F-30C33063E1C8}"/>
    <cellStyle name="40% - Accent6 3 3 2 2_Jurisdictional Study" xfId="9622" xr:uid="{67B52207-EF05-4CD9-9DE9-ACA91F085F24}"/>
    <cellStyle name="40% - Accent6 3 3 2 3" xfId="5787" xr:uid="{78F26E6C-9C81-4EFB-B5C8-C324980CD213}"/>
    <cellStyle name="40% - Accent6 3 3 2 3 2" xfId="5788" xr:uid="{26CC97A3-D648-47DF-8008-F135275CEA98}"/>
    <cellStyle name="40% - Accent6 3 3 2 3_Jurisdictional Study" xfId="9624" xr:uid="{E38AACF1-5E86-4CCF-A374-05E9CA22573A}"/>
    <cellStyle name="40% - Accent6 3 3 2 4" xfId="5789" xr:uid="{E2A28B55-6C44-461E-A482-0CFB5586430D}"/>
    <cellStyle name="40% - Accent6 3 3 2_Jurisdictional Study" xfId="9621" xr:uid="{DD112029-9A6E-48FE-BD47-ACF239ACD514}"/>
    <cellStyle name="40% - Accent6 3 3 3" xfId="5790" xr:uid="{28C029EE-6710-4E07-8894-1722014C6C36}"/>
    <cellStyle name="40% - Accent6 3 3 3 2" xfId="5791" xr:uid="{6F02B4A1-76E8-498D-A860-A43FC3C1C6A5}"/>
    <cellStyle name="40% - Accent6 3 3 3 2 2" xfId="5792" xr:uid="{BDC906CF-F37C-49F0-96F4-8235E809A413}"/>
    <cellStyle name="40% - Accent6 3 3 3 2_Jurisdictional Study" xfId="9626" xr:uid="{F513D3CC-A7C9-41AA-8B3C-3F6C9627DAF9}"/>
    <cellStyle name="40% - Accent6 3 3 3 3" xfId="5793" xr:uid="{EAFF00BF-7C90-4F8B-B9F4-2A6FFC7A4A9D}"/>
    <cellStyle name="40% - Accent6 3 3 3_Jurisdictional Study" xfId="9625" xr:uid="{49BA8AB4-73A4-43A9-A89A-FCCDDBCA19CA}"/>
    <cellStyle name="40% - Accent6 3 3 4" xfId="5794" xr:uid="{52EFDD78-C5F0-4C2B-9B24-406FB92FDCD5}"/>
    <cellStyle name="40% - Accent6 3 3 4 2" xfId="5795" xr:uid="{C31C8705-3AD6-4B21-9C5B-896981A0D8CF}"/>
    <cellStyle name="40% - Accent6 3 3 4_Jurisdictional Study" xfId="9627" xr:uid="{7220A40B-D9B3-4403-B95B-CBDB66A4048B}"/>
    <cellStyle name="40% - Accent6 3 3 5" xfId="5796" xr:uid="{2BEC8D62-67BE-43F2-8370-69FE91367953}"/>
    <cellStyle name="40% - Accent6 3 3_Jurisdictional Study" xfId="9620" xr:uid="{A299347D-6C77-44EB-9739-858EE5262CAA}"/>
    <cellStyle name="40% - Accent6 3 4" xfId="5797" xr:uid="{091169AF-3A78-4C3C-A49E-24F961FDADE6}"/>
    <cellStyle name="40% - Accent6 3 4 2" xfId="5798" xr:uid="{558BB7AE-934F-48F3-ABE4-AFD5B3D6BCFE}"/>
    <cellStyle name="40% - Accent6 3 4 2 2" xfId="5799" xr:uid="{EA4637B4-6F54-4240-A0E3-34DD48DC25F1}"/>
    <cellStyle name="40% - Accent6 3 4 2 2 2" xfId="5800" xr:uid="{7640968B-B421-4EC1-8A91-E31B0975F7AA}"/>
    <cellStyle name="40% - Accent6 3 4 2 2_Jurisdictional Study" xfId="9630" xr:uid="{E185F73C-EF1A-4E33-8898-D130F1A688BD}"/>
    <cellStyle name="40% - Accent6 3 4 2 3" xfId="5801" xr:uid="{A9E7EE89-A1AF-4AC1-B58E-E907F99EFDCC}"/>
    <cellStyle name="40% - Accent6 3 4 2_Jurisdictional Study" xfId="9629" xr:uid="{F1DFA1CA-132B-45AB-8CDA-B69A3D5578BB}"/>
    <cellStyle name="40% - Accent6 3 4 3" xfId="5802" xr:uid="{30EC054B-C130-494F-9678-278A056F898D}"/>
    <cellStyle name="40% - Accent6 3 4 3 2" xfId="5803" xr:uid="{2162080F-5C03-4F3D-802B-EE35B0A29529}"/>
    <cellStyle name="40% - Accent6 3 4 3_Jurisdictional Study" xfId="9631" xr:uid="{B8FEB644-A07D-4C9A-B4B7-28CD1EF62640}"/>
    <cellStyle name="40% - Accent6 3 4 4" xfId="5804" xr:uid="{7DC1A27A-F1EB-478A-9474-5F150F3777A8}"/>
    <cellStyle name="40% - Accent6 3 4_Jurisdictional Study" xfId="9628" xr:uid="{F5B3622F-5602-466A-AB96-D17BADF0A7C9}"/>
    <cellStyle name="40% - Accent6 3 5" xfId="5805" xr:uid="{E28F90E8-449F-4D5B-9834-B78BD04C3DCA}"/>
    <cellStyle name="40% - Accent6 3 5 2" xfId="5806" xr:uid="{5D22D437-D475-4901-A562-D8710A238ADE}"/>
    <cellStyle name="40% - Accent6 3 5 2 2" xfId="5807" xr:uid="{E0E434F4-7336-4586-BAEC-E046AFCB8173}"/>
    <cellStyle name="40% - Accent6 3 5 2_Jurisdictional Study" xfId="9633" xr:uid="{84362185-D9C9-4905-96DF-A6C71923A447}"/>
    <cellStyle name="40% - Accent6 3 5 3" xfId="5808" xr:uid="{693C3F7F-461B-4BFD-9CAB-72ECBAD8AC0B}"/>
    <cellStyle name="40% - Accent6 3 5_Jurisdictional Study" xfId="9632" xr:uid="{98E61FAC-9DFA-4D79-BA97-E071DD7A387B}"/>
    <cellStyle name="40% - Accent6 3 6" xfId="5809" xr:uid="{D651DF1A-0F27-4F18-9634-4BB0BFB7D8AE}"/>
    <cellStyle name="40% - Accent6 3 6 2" xfId="5810" xr:uid="{1A3C9D57-A1EE-4002-83C5-5244BBA7A7DF}"/>
    <cellStyle name="40% - Accent6 3 6_Jurisdictional Study" xfId="9634" xr:uid="{7CD7CCD8-475A-4773-8553-23FC878EBC05}"/>
    <cellStyle name="40% - Accent6 3 7" xfId="5811" xr:uid="{9A43FA37-F946-446A-B2EB-6BF26C8CE69A}"/>
    <cellStyle name="40% - Accent6 3 8" xfId="5748" xr:uid="{8F23295D-E61D-4E93-AE34-CE9DAD970E49}"/>
    <cellStyle name="40% - Accent6 3_Jurisdictional Study" xfId="9603" xr:uid="{95A76B88-0277-4E3E-B6CA-AF56C0B86E5C}"/>
    <cellStyle name="40% - Accent6 4" xfId="5812" xr:uid="{07F8BC89-6EAE-48F7-BC43-CCE46D7ADB6A}"/>
    <cellStyle name="40% - Accent6 4 2" xfId="5813" xr:uid="{EC5B2C3B-E004-4D07-BD99-57FF4C059D5D}"/>
    <cellStyle name="40% - Accent6 4 2 2" xfId="5814" xr:uid="{E93498CE-C139-4549-88C8-9DCC2C093E61}"/>
    <cellStyle name="40% - Accent6 4 2 2 2" xfId="5815" xr:uid="{76A1F3C2-3867-4AC6-8B3E-7C4D2093B16D}"/>
    <cellStyle name="40% - Accent6 4 2 2 2 2" xfId="5816" xr:uid="{635379DC-BAB4-4F0E-B406-275FAFEE0D59}"/>
    <cellStyle name="40% - Accent6 4 2 2 2 2 2" xfId="5817" xr:uid="{12525A1E-80C7-42A2-AEA0-5D6AAE9BBDA7}"/>
    <cellStyle name="40% - Accent6 4 2 2 2 2_Jurisdictional Study" xfId="9639" xr:uid="{BB1F289D-4119-48A1-8D2A-9E9764F3C651}"/>
    <cellStyle name="40% - Accent6 4 2 2 2 3" xfId="5818" xr:uid="{FB6AA2B0-2CA8-49DE-A9FD-0370DD36DAAE}"/>
    <cellStyle name="40% - Accent6 4 2 2 2_Jurisdictional Study" xfId="9638" xr:uid="{ABD394E9-A21D-4B0D-A33E-7DFB0287A477}"/>
    <cellStyle name="40% - Accent6 4 2 2 3" xfId="5819" xr:uid="{7B8CC37F-D8FA-46FB-9259-6283B2FD4122}"/>
    <cellStyle name="40% - Accent6 4 2 2 3 2" xfId="5820" xr:uid="{3D2A7213-BFCA-4393-A43B-065BEC7667BB}"/>
    <cellStyle name="40% - Accent6 4 2 2 3_Jurisdictional Study" xfId="9640" xr:uid="{D1594AC2-B583-4A8E-B1B2-D2817F22D689}"/>
    <cellStyle name="40% - Accent6 4 2 2 4" xfId="5821" xr:uid="{0CFFB10A-D37D-49BE-A0CF-634452C79354}"/>
    <cellStyle name="40% - Accent6 4 2 2_Jurisdictional Study" xfId="9637" xr:uid="{5DD7D1F4-4564-4497-804D-4A098BC5C96B}"/>
    <cellStyle name="40% - Accent6 4 2 3" xfId="5822" xr:uid="{CB93B963-5ACF-429A-B6A8-3B8DACD83A67}"/>
    <cellStyle name="40% - Accent6 4 2 3 2" xfId="5823" xr:uid="{2A60F78A-6179-4C3C-8873-387CE72D8946}"/>
    <cellStyle name="40% - Accent6 4 2 3 2 2" xfId="5824" xr:uid="{5C95B7F4-B129-4D38-987B-F92A56B02637}"/>
    <cellStyle name="40% - Accent6 4 2 3 2_Jurisdictional Study" xfId="9642" xr:uid="{E5EF4826-B049-4E92-8BC9-C9C05EDD751F}"/>
    <cellStyle name="40% - Accent6 4 2 3 3" xfId="5825" xr:uid="{E998AB4D-0D26-4BC1-A8F8-02F10B861653}"/>
    <cellStyle name="40% - Accent6 4 2 3_Jurisdictional Study" xfId="9641" xr:uid="{3C9BF726-3396-4515-AB48-FF3B87FAE4EF}"/>
    <cellStyle name="40% - Accent6 4 2 4" xfId="5826" xr:uid="{F3BA54C0-550E-46F0-AB01-6C9E284D1A81}"/>
    <cellStyle name="40% - Accent6 4 2 4 2" xfId="5827" xr:uid="{6E32F307-BA78-4C1D-BC26-0EB5C113BCA8}"/>
    <cellStyle name="40% - Accent6 4 2 4_Jurisdictional Study" xfId="9643" xr:uid="{DEC80249-10C6-476E-AEAC-38DD40E11C2B}"/>
    <cellStyle name="40% - Accent6 4 2 5" xfId="5828" xr:uid="{B08CBEA2-0243-478D-A129-B5576FDA91CB}"/>
    <cellStyle name="40% - Accent6 4 2_Jurisdictional Study" xfId="9636" xr:uid="{5C31026E-15C1-4A65-82B6-1F0151C8135E}"/>
    <cellStyle name="40% - Accent6 4 3" xfId="5829" xr:uid="{9DDE2885-18F3-4B44-A689-62F2AE65DA38}"/>
    <cellStyle name="40% - Accent6 4 3 2" xfId="5830" xr:uid="{D6080375-353E-4542-8D52-DA1B047E5E53}"/>
    <cellStyle name="40% - Accent6 4 3 2 2" xfId="5831" xr:uid="{3EFB3C59-66F2-4C27-85F4-BD420272BBEF}"/>
    <cellStyle name="40% - Accent6 4 3 2 2 2" xfId="5832" xr:uid="{D52FBE42-9DC7-4513-AF93-D6B9CA3E9F23}"/>
    <cellStyle name="40% - Accent6 4 3 2 2_Jurisdictional Study" xfId="9646" xr:uid="{4485182E-A31A-43FC-BC5E-A250AEBC94F1}"/>
    <cellStyle name="40% - Accent6 4 3 2 3" xfId="5833" xr:uid="{267D7698-0737-4761-B5AB-91B812439F56}"/>
    <cellStyle name="40% - Accent6 4 3 2_Jurisdictional Study" xfId="9645" xr:uid="{12C6BC6A-EDB5-479A-8DFF-6613BC20CB61}"/>
    <cellStyle name="40% - Accent6 4 3 3" xfId="5834" xr:uid="{B0B5DBD5-659E-4398-831B-3541D14C26DC}"/>
    <cellStyle name="40% - Accent6 4 3 3 2" xfId="5835" xr:uid="{D2612B79-4D70-4D5C-B0DA-3228160E748F}"/>
    <cellStyle name="40% - Accent6 4 3 3_Jurisdictional Study" xfId="9647" xr:uid="{B4B78654-5282-407D-B1D3-DDB28A425730}"/>
    <cellStyle name="40% - Accent6 4 3 4" xfId="5836" xr:uid="{A4708BD7-B7AE-4463-8173-605DB83AEABD}"/>
    <cellStyle name="40% - Accent6 4 3_Jurisdictional Study" xfId="9644" xr:uid="{89B15564-0FA4-4F35-A05F-7544EB8820F6}"/>
    <cellStyle name="40% - Accent6 4 4" xfId="5837" xr:uid="{35415FD3-F4DF-4B24-96C2-81DFFC294769}"/>
    <cellStyle name="40% - Accent6 4 4 2" xfId="5838" xr:uid="{50E57343-BC72-4F3A-B0C6-1217BA1FCC1F}"/>
    <cellStyle name="40% - Accent6 4 4 2 2" xfId="5839" xr:uid="{B03E0B17-FCAB-44EE-B69B-D68E71B74847}"/>
    <cellStyle name="40% - Accent6 4 4 2_Jurisdictional Study" xfId="9649" xr:uid="{0C986A93-860D-46C9-9CF4-3879014A98F3}"/>
    <cellStyle name="40% - Accent6 4 4 3" xfId="5840" xr:uid="{55092078-05AA-4FEC-8D82-38A7963BF4C1}"/>
    <cellStyle name="40% - Accent6 4 4_Jurisdictional Study" xfId="9648" xr:uid="{521A11E6-18C8-4E22-840E-C6CE2807149F}"/>
    <cellStyle name="40% - Accent6 4 5" xfId="5841" xr:uid="{C35A422F-961F-4069-8D98-C5AED24C5BC4}"/>
    <cellStyle name="40% - Accent6 4 5 2" xfId="5842" xr:uid="{7324D6A6-4E41-4359-81A9-71BE96E45F8B}"/>
    <cellStyle name="40% - Accent6 4 5_Jurisdictional Study" xfId="9650" xr:uid="{50311D9E-132D-406D-B909-00B9B7578203}"/>
    <cellStyle name="40% - Accent6 4 6" xfId="5843" xr:uid="{75DF95F5-8240-4795-82BF-D27083E9F315}"/>
    <cellStyle name="40% - Accent6 4_Jurisdictional Study" xfId="9635" xr:uid="{A768F9AC-963B-4A93-B875-B215E5B335B6}"/>
    <cellStyle name="40% - Accent6 5" xfId="5844" xr:uid="{6A2571A7-A0E7-429D-8AC1-FC5B8A89D3F1}"/>
    <cellStyle name="40% - Accent6 5 2" xfId="5845" xr:uid="{443CDFB5-7A6C-4679-8C69-37FB51D60692}"/>
    <cellStyle name="40% - Accent6 5 2 2" xfId="5846" xr:uid="{B704B9C6-32DD-4EE2-B0EA-CE25E1AFEC6D}"/>
    <cellStyle name="40% - Accent6 5 2 2 2" xfId="5847" xr:uid="{DA97AFCA-80D2-49A3-BD27-1044D2A738EB}"/>
    <cellStyle name="40% - Accent6 5 2 2 2 2" xfId="5848" xr:uid="{EE951698-3867-4159-98C3-70FADC9465B9}"/>
    <cellStyle name="40% - Accent6 5 2 2 2_Jurisdictional Study" xfId="9654" xr:uid="{0CB57046-7090-48FD-8BB2-799056BFA819}"/>
    <cellStyle name="40% - Accent6 5 2 2 3" xfId="5849" xr:uid="{F5C9F084-3EA9-4531-9058-D04172D46B44}"/>
    <cellStyle name="40% - Accent6 5 2 2_Jurisdictional Study" xfId="9653" xr:uid="{FBA928CB-8864-41D8-8B96-18BADCF959BC}"/>
    <cellStyle name="40% - Accent6 5 2 3" xfId="5850" xr:uid="{6BD9EDB7-DE29-4A7D-BFFD-6D91E90F48B4}"/>
    <cellStyle name="40% - Accent6 5 2 3 2" xfId="5851" xr:uid="{EF01DE05-48E4-46AE-8731-260BB03B9A23}"/>
    <cellStyle name="40% - Accent6 5 2 3_Jurisdictional Study" xfId="9655" xr:uid="{39243E73-89E2-4E73-909E-FC4A8D462F69}"/>
    <cellStyle name="40% - Accent6 5 2 4" xfId="5852" xr:uid="{696EBDCD-D562-415A-82A6-32F9BF6D7A18}"/>
    <cellStyle name="40% - Accent6 5 2_Jurisdictional Study" xfId="9652" xr:uid="{6F112E58-4856-4083-8442-A82AD824F7C9}"/>
    <cellStyle name="40% - Accent6 5 3" xfId="5853" xr:uid="{C31AC9AD-BD41-4788-AC76-C9323F7D8539}"/>
    <cellStyle name="40% - Accent6 5 3 2" xfId="5854" xr:uid="{A46CDB0D-9371-4482-AEB6-BCC6E49483D7}"/>
    <cellStyle name="40% - Accent6 5 3 2 2" xfId="5855" xr:uid="{4CED55EA-0191-4834-8788-7BE959A9EFBD}"/>
    <cellStyle name="40% - Accent6 5 3 2_Jurisdictional Study" xfId="9657" xr:uid="{BD1E430B-0D95-4F63-B9B0-8E8FCA715E0D}"/>
    <cellStyle name="40% - Accent6 5 3 3" xfId="5856" xr:uid="{A9B08F8E-74D6-45D9-B869-9B6F3DE0DEC7}"/>
    <cellStyle name="40% - Accent6 5 3_Jurisdictional Study" xfId="9656" xr:uid="{9C2BDA06-87A7-47EA-BBA9-72B01490A5E6}"/>
    <cellStyle name="40% - Accent6 5 4" xfId="5857" xr:uid="{068012D7-D59D-4713-B50E-1F7241E08910}"/>
    <cellStyle name="40% - Accent6 5 4 2" xfId="5858" xr:uid="{9A3DA8A3-D035-4898-A465-5A3E42E6526B}"/>
    <cellStyle name="40% - Accent6 5 4_Jurisdictional Study" xfId="9658" xr:uid="{1A9F21DF-4FE0-4B94-8CCD-6AE798345A5F}"/>
    <cellStyle name="40% - Accent6 5 5" xfId="5859" xr:uid="{3578F71C-7D19-481D-81B8-E6C0222E6F6A}"/>
    <cellStyle name="40% - Accent6 5_Jurisdictional Study" xfId="9651" xr:uid="{F5BE764E-648E-42B4-808A-74098FF56B6E}"/>
    <cellStyle name="40% - Accent6 6" xfId="5860" xr:uid="{B1C051A1-5D24-4B97-82CE-4C1C6830FCCB}"/>
    <cellStyle name="40% - Accent6 6 2" xfId="5861" xr:uid="{AAFA75BC-B51D-4B09-A418-76E27C880241}"/>
    <cellStyle name="40% - Accent6 6 2 2" xfId="5862" xr:uid="{B2FB468A-45A3-4092-AB8D-0D4D52194D49}"/>
    <cellStyle name="40% - Accent6 6 2 2 2" xfId="5863" xr:uid="{BDCB74DA-6654-47C5-A0DA-C21AE163DA2A}"/>
    <cellStyle name="40% - Accent6 6 2 2_Jurisdictional Study" xfId="9661" xr:uid="{E08DB5E4-4155-428D-904A-004EB33F021C}"/>
    <cellStyle name="40% - Accent6 6 2 3" xfId="5864" xr:uid="{46220EFA-A25A-49C3-B466-7251F1AA8739}"/>
    <cellStyle name="40% - Accent6 6 2_Jurisdictional Study" xfId="9660" xr:uid="{3B2AA9BA-B55E-40D9-A7C1-F559CEEC4469}"/>
    <cellStyle name="40% - Accent6 6 3" xfId="5865" xr:uid="{8A976CD7-5B08-4672-B701-A71755C7B04C}"/>
    <cellStyle name="40% - Accent6 6 3 2" xfId="5866" xr:uid="{3E4FEA18-C3D8-43EE-8925-3055C68AA2E3}"/>
    <cellStyle name="40% - Accent6 6 3_Jurisdictional Study" xfId="9662" xr:uid="{44A8A55C-B034-4826-9602-7BFE7E5CFE34}"/>
    <cellStyle name="40% - Accent6 6 4" xfId="5867" xr:uid="{32A93C00-8BFD-46DA-AB18-DDE0663F838D}"/>
    <cellStyle name="40% - Accent6 6_Jurisdictional Study" xfId="9659" xr:uid="{2798B713-EC18-4CA4-A907-DD407D4DD93D}"/>
    <cellStyle name="40% - Accent6 7" xfId="5868" xr:uid="{C77FF57C-63C6-453F-9B40-BA1533129D8E}"/>
    <cellStyle name="40% - Accent6 7 2" xfId="5869" xr:uid="{E6D797F4-3FA9-4FA9-8870-A85CDD486E41}"/>
    <cellStyle name="40% - Accent6 7 2 2" xfId="5870" xr:uid="{D4BBEA96-FF4C-4DF8-85EF-3AA52E73573D}"/>
    <cellStyle name="40% - Accent6 7 2 2 2" xfId="5871" xr:uid="{8A11CAEE-CD8C-4A7A-B336-708297584B1A}"/>
    <cellStyle name="40% - Accent6 7 2 2_Jurisdictional Study" xfId="9665" xr:uid="{83EA541B-682E-49BD-AC87-A48DCA852EB2}"/>
    <cellStyle name="40% - Accent6 7 2 3" xfId="5872" xr:uid="{69CF83AC-C4B3-4A5C-A4FC-F672968714C9}"/>
    <cellStyle name="40% - Accent6 7 2_Jurisdictional Study" xfId="9664" xr:uid="{F7D6CB7F-35A2-44BC-8538-A00317DB1A3E}"/>
    <cellStyle name="40% - Accent6 7 3" xfId="5873" xr:uid="{CF7AAF9A-5D32-40DD-B1FC-FB380120C208}"/>
    <cellStyle name="40% - Accent6 7 3 2" xfId="5874" xr:uid="{CE2090E4-21B5-41D8-B93E-FAD7ABC07B00}"/>
    <cellStyle name="40% - Accent6 7 3_Jurisdictional Study" xfId="9666" xr:uid="{4CCBFB30-B575-4A7C-B028-D98BFDCDB8F2}"/>
    <cellStyle name="40% - Accent6 7 4" xfId="5875" xr:uid="{F7F81A80-13ED-45A0-9ECC-F25CCCF5414C}"/>
    <cellStyle name="40% - Accent6 7_Jurisdictional Study" xfId="9663" xr:uid="{143DA610-7FBF-4427-A634-FEA7E0FAAA1F}"/>
    <cellStyle name="40% - Accent6 8" xfId="5876" xr:uid="{939B5A6B-6777-4A87-858C-6A9218831920}"/>
    <cellStyle name="40% - Accent6 8 2" xfId="5877" xr:uid="{C611AFCE-A86A-49A8-A72A-8BD485AB7053}"/>
    <cellStyle name="40% - Accent6 8 2 2" xfId="5878" xr:uid="{7686E787-BAEE-498D-B4B6-416C99DD7DD9}"/>
    <cellStyle name="40% - Accent6 8 2 2 2" xfId="5879" xr:uid="{C72F63E3-3338-4051-A864-67E6D87658FA}"/>
    <cellStyle name="40% - Accent6 8 2 2_Jurisdictional Study" xfId="9669" xr:uid="{6283DB8D-99B0-4B8C-AB17-1B9AFE7B5044}"/>
    <cellStyle name="40% - Accent6 8 2 3" xfId="5880" xr:uid="{34C584A4-0F1D-4A89-89A2-16CA77B23B79}"/>
    <cellStyle name="40% - Accent6 8 2_Jurisdictional Study" xfId="9668" xr:uid="{FDAC9EA3-094F-4A3A-A871-58ECC04C5D18}"/>
    <cellStyle name="40% - Accent6 8 3" xfId="5881" xr:uid="{6A573030-647F-4F43-B6F6-6055DFEFFB99}"/>
    <cellStyle name="40% - Accent6 8 3 2" xfId="5882" xr:uid="{09050B6C-B7C1-4092-A45E-FDA19CAE1FDF}"/>
    <cellStyle name="40% - Accent6 8 3_Jurisdictional Study" xfId="9670" xr:uid="{0E001E80-4BF0-4E5F-9F45-4F7DB209D430}"/>
    <cellStyle name="40% - Accent6 8 4" xfId="5883" xr:uid="{9C9DC1FC-654E-4220-BE46-B87F38BFACEA}"/>
    <cellStyle name="40% - Accent6 8_Jurisdictional Study" xfId="9667" xr:uid="{9E16E8D9-BEAD-4636-8822-EC22FA8853E1}"/>
    <cellStyle name="40% - Accent6 9" xfId="5884" xr:uid="{1CC12550-C73E-4977-B7E9-DFEFCE7F5E0B}"/>
    <cellStyle name="40% - Accent6 9 2" xfId="5885" xr:uid="{5A2A31E7-E1B1-4E07-913B-26CDCAD588B8}"/>
    <cellStyle name="40% - Accent6 9 2 2" xfId="5886" xr:uid="{FEAFF4A3-3DEF-4232-B8CC-4EB557D3D2D2}"/>
    <cellStyle name="40% - Accent6 9 2_Jurisdictional Study" xfId="9672" xr:uid="{ED540E77-43C4-4454-8778-2B4E30980B71}"/>
    <cellStyle name="40% - Accent6 9 3" xfId="5887" xr:uid="{1DECED41-C8E7-4984-8F5F-B25D08AE985E}"/>
    <cellStyle name="40% - Accent6 9_Jurisdictional Study" xfId="9671" xr:uid="{960DB2F9-6E8E-40DE-B497-6051B39BB3E3}"/>
    <cellStyle name="60% - Accent1" xfId="13" builtinId="32" customBuiltin="1"/>
    <cellStyle name="60% - Accent1 2" xfId="259" xr:uid="{0957B167-895A-4008-A373-EFB6170B8AE0}"/>
    <cellStyle name="60% - Accent1 2 2" xfId="5888" xr:uid="{B9CA7FF4-F4D5-4DFA-8968-B26C282F3317}"/>
    <cellStyle name="60% - Accent1 3" xfId="5889" xr:uid="{1FBA927A-9F31-4D33-AFE4-A73D32CB4441}"/>
    <cellStyle name="60% - Accent1 4" xfId="5890" xr:uid="{A662DAB1-683B-4B79-9089-579853813FEA}"/>
    <cellStyle name="60% - Accent1 5" xfId="3172" xr:uid="{FA38C0ED-3902-456A-B84E-2EBE5CA52DE6}"/>
    <cellStyle name="60% - Accent2" xfId="14" builtinId="36" customBuiltin="1"/>
    <cellStyle name="60% - Accent2 2" xfId="260" xr:uid="{56435EBF-DBC1-4184-9CD9-1ADA95A34D66}"/>
    <cellStyle name="60% - Accent2 2 2" xfId="5891" xr:uid="{ACB4618D-5D64-4D4A-B60F-8C2044FE90B6}"/>
    <cellStyle name="60% - Accent2 3" xfId="5892" xr:uid="{9C6BECB4-38BF-4665-ACBF-C2319E244D2B}"/>
    <cellStyle name="60% - Accent2 4" xfId="5893" xr:uid="{B504F148-9663-45FE-9EA8-F7B98D332FA7}"/>
    <cellStyle name="60% - Accent2 5" xfId="3176" xr:uid="{FD07E445-E40E-40E6-9D14-6CCE7EC8B141}"/>
    <cellStyle name="60% - Accent3" xfId="15" builtinId="40" customBuiltin="1"/>
    <cellStyle name="60% - Accent3 2" xfId="261" xr:uid="{99BE174F-5FD0-4D39-814C-716E46CD6F31}"/>
    <cellStyle name="60% - Accent3 2 2" xfId="5894" xr:uid="{E7AB5CDB-170D-4160-B7A9-E194CCEF6532}"/>
    <cellStyle name="60% - Accent3 3" xfId="5895" xr:uid="{DE3C0151-15C0-4262-B16D-68FA92864F81}"/>
    <cellStyle name="60% - Accent3 4" xfId="5896" xr:uid="{4923090F-869F-44F0-9EF4-134DC1AE12F7}"/>
    <cellStyle name="60% - Accent3 5" xfId="3180" xr:uid="{8D27710D-C919-4621-8EB7-DDC8CF1E2020}"/>
    <cellStyle name="60% - Accent4" xfId="16" builtinId="44" customBuiltin="1"/>
    <cellStyle name="60% - Accent4 2" xfId="262" xr:uid="{3CD52D55-FF8D-4AAB-9213-CD01C2CAE274}"/>
    <cellStyle name="60% - Accent4 2 2" xfId="5897" xr:uid="{4F07DFA8-81BE-4386-86B8-C40DA6E3E439}"/>
    <cellStyle name="60% - Accent4 3" xfId="5898" xr:uid="{05330233-167E-4E46-B7A2-21FF9758D0A9}"/>
    <cellStyle name="60% - Accent4 4" xfId="5899" xr:uid="{3618D8F0-7789-4F86-AE13-1FA281269A85}"/>
    <cellStyle name="60% - Accent4 5" xfId="3184" xr:uid="{85096029-6662-424B-A825-B756293617C2}"/>
    <cellStyle name="60% - Accent5" xfId="17" builtinId="48" customBuiltin="1"/>
    <cellStyle name="60% - Accent5 2" xfId="263" xr:uid="{2B3E7BC0-643A-4EC1-8BB6-17122D9CEC91}"/>
    <cellStyle name="60% - Accent5 2 2" xfId="5900" xr:uid="{4F9F8109-1660-4CBF-BFDD-4A6D9938A916}"/>
    <cellStyle name="60% - Accent5 3" xfId="5901" xr:uid="{0067D343-B214-4B26-AF69-0E9EFB53E9BA}"/>
    <cellStyle name="60% - Accent5 4" xfId="5902" xr:uid="{6BFDAF0B-5AF3-4F73-974A-5BDE8B6B11A2}"/>
    <cellStyle name="60% - Accent5 5" xfId="3188" xr:uid="{ECA6882F-75AA-484D-B709-D7D0C119C66C}"/>
    <cellStyle name="60% - Accent6" xfId="18" builtinId="52" customBuiltin="1"/>
    <cellStyle name="60% - Accent6 2" xfId="264" xr:uid="{C833109B-1C59-493F-B8AF-E56D43C0BBB8}"/>
    <cellStyle name="60% - Accent6 2 2" xfId="5903" xr:uid="{2AC1A562-195F-40A2-BE40-D58415AE5AA5}"/>
    <cellStyle name="60% - Accent6 3" xfId="5904" xr:uid="{76FC991A-2593-4D40-AC2D-F0A65845FC8F}"/>
    <cellStyle name="60% - Accent6 4" xfId="5905" xr:uid="{31E0B9A3-3694-480B-8929-B9EE84D58782}"/>
    <cellStyle name="60% - Accent6 5" xfId="3192" xr:uid="{E69D385A-BE34-4CF8-A9DA-CDC3A1EA2B19}"/>
    <cellStyle name="Accent1" xfId="19" builtinId="29" customBuiltin="1"/>
    <cellStyle name="Accent1 2" xfId="265" xr:uid="{826648F1-B4D2-41DE-ABD1-E151F6C84C63}"/>
    <cellStyle name="Accent1 2 2" xfId="5906" xr:uid="{37DECED0-9B99-4EEE-ADD8-5F3847A1E354}"/>
    <cellStyle name="Accent1 3" xfId="5907" xr:uid="{162E8573-4B00-4DE9-9704-33F01DD74B46}"/>
    <cellStyle name="Accent1 4" xfId="5908" xr:uid="{C08CA519-60E4-485A-9B46-892199F1806E}"/>
    <cellStyle name="Accent1 5" xfId="3169" xr:uid="{799F9C75-44BB-4FE3-B5ED-20372556C738}"/>
    <cellStyle name="Accent2" xfId="20" builtinId="33" customBuiltin="1"/>
    <cellStyle name="Accent2 2" xfId="266" xr:uid="{3D071902-17BC-496F-859E-9A29B1AA6FDB}"/>
    <cellStyle name="Accent2 2 2" xfId="5909" xr:uid="{BD27FC5F-8E02-49FA-A335-99E6891D1E05}"/>
    <cellStyle name="Accent2 3" xfId="5910" xr:uid="{4A513686-A9BF-4E2A-AB56-F9D6BCF00CEB}"/>
    <cellStyle name="Accent2 4" xfId="5911" xr:uid="{669ED82F-3DCF-428D-9A63-25258921B387}"/>
    <cellStyle name="Accent2 5" xfId="3173" xr:uid="{37002A52-9335-41B2-8522-AE023CD26F25}"/>
    <cellStyle name="Accent3" xfId="21" builtinId="37" customBuiltin="1"/>
    <cellStyle name="Accent3 2" xfId="267" xr:uid="{8D4FA618-AD8B-4B87-87BF-1496AC5D15C1}"/>
    <cellStyle name="Accent3 2 2" xfId="5912" xr:uid="{71FF10CD-B86C-4FAF-ABE5-A421B94518AE}"/>
    <cellStyle name="Accent3 3" xfId="5913" xr:uid="{C7B275DC-CE4B-4F68-92C1-D929C3D95309}"/>
    <cellStyle name="Accent3 4" xfId="5914" xr:uid="{D8C6A0FE-4A58-43BA-83E3-4BF926B0ED72}"/>
    <cellStyle name="Accent3 5" xfId="3177" xr:uid="{FD2F18D9-D68C-49E1-A4FB-CF23DF780656}"/>
    <cellStyle name="Accent4" xfId="22" builtinId="41" customBuiltin="1"/>
    <cellStyle name="Accent4 2" xfId="268" xr:uid="{96E46E72-20B9-4C2C-B9F5-6B403607384C}"/>
    <cellStyle name="Accent4 2 2" xfId="5915" xr:uid="{8CF32EAC-0C38-4F59-ABD8-0CFE9612CAB2}"/>
    <cellStyle name="Accent4 3" xfId="5916" xr:uid="{BF37DBB3-670D-44C7-AC5D-45D12F059064}"/>
    <cellStyle name="Accent4 4" xfId="5917" xr:uid="{F5158D04-C5CA-4992-96F8-A0A5072154C3}"/>
    <cellStyle name="Accent4 5" xfId="3181" xr:uid="{996A2735-5B6E-4A4E-A885-AC7C3EC9F221}"/>
    <cellStyle name="Accent5" xfId="23" builtinId="45" customBuiltin="1"/>
    <cellStyle name="Accent5 2" xfId="269" xr:uid="{B9DE726B-741B-46D0-A89D-58467CF78763}"/>
    <cellStyle name="Accent5 2 2" xfId="5918" xr:uid="{061657E4-CB8D-46AC-99FF-4642079D2D44}"/>
    <cellStyle name="Accent5 3" xfId="5919" xr:uid="{25178706-74C1-4E84-83C5-65FCDC9D0ADF}"/>
    <cellStyle name="Accent5 4" xfId="5920" xr:uid="{AB20EC15-3BFF-4639-B971-7CC7A2BEEF08}"/>
    <cellStyle name="Accent5 5" xfId="3185" xr:uid="{BA634E0E-E9F4-4404-B2B6-4664615968C1}"/>
    <cellStyle name="Accent6" xfId="24" builtinId="49" customBuiltin="1"/>
    <cellStyle name="Accent6 2" xfId="270" xr:uid="{3BF18865-2C77-49CB-9743-60C725805EB1}"/>
    <cellStyle name="Accent6 2 2" xfId="5921" xr:uid="{31A54E50-5E97-4371-82F7-450A77490766}"/>
    <cellStyle name="Accent6 3" xfId="5922" xr:uid="{46511CFE-CA77-41BD-BA5D-2EB6CB452CE1}"/>
    <cellStyle name="Accent6 4" xfId="5923" xr:uid="{8205A22A-418D-4F33-91A1-2AB520694179}"/>
    <cellStyle name="Accent6 5" xfId="3189" xr:uid="{FDF4A40D-C2D0-4DA3-BA67-675766185C3D}"/>
    <cellStyle name="Bad" xfId="25" builtinId="27" customBuiltin="1"/>
    <cellStyle name="Bad 2" xfId="271" xr:uid="{8F38CBE9-504E-45FE-B6BC-A226DB440541}"/>
    <cellStyle name="Bad 2 2" xfId="5924" xr:uid="{8C6AE91D-0238-4553-9BB3-39F84C984CE6}"/>
    <cellStyle name="Bad 3" xfId="5925" xr:uid="{C6C93D0A-DBAD-4C39-8E54-D205010DD381}"/>
    <cellStyle name="Bad 4" xfId="3160" xr:uid="{19BB3E82-B329-43D5-8567-40F1D21907BE}"/>
    <cellStyle name="Calculation" xfId="26" builtinId="22" customBuiltin="1"/>
    <cellStyle name="Calculation 10" xfId="395" xr:uid="{5775403E-E289-4FF0-98D5-427E296E6375}"/>
    <cellStyle name="Calculation 10 10" xfId="2942" xr:uid="{A59BD843-0DA7-41FB-ADCD-AD8B04EE87D4}"/>
    <cellStyle name="Calculation 10 2" xfId="951" xr:uid="{552FED6C-00BF-4E68-BE30-8308A48F0F45}"/>
    <cellStyle name="Calculation 10 2 2" xfId="669" xr:uid="{B4ED10F0-AAF8-43D4-88A4-73119A2474A5}"/>
    <cellStyle name="Calculation 10 2 3" xfId="1334" xr:uid="{B856B136-1698-4F20-97DA-B39EF11FF4DD}"/>
    <cellStyle name="Calculation 10 2 4" xfId="1303" xr:uid="{D009128D-C26C-47F7-AE5A-63A822BF4A8A}"/>
    <cellStyle name="Calculation 10 2 5" xfId="1653" xr:uid="{21CE9BB5-A7B0-461A-A56D-EAF8DA16E0E9}"/>
    <cellStyle name="Calculation 10 2 6" xfId="2441" xr:uid="{4AFA079A-131D-40A2-9960-23B0F690BBB5}"/>
    <cellStyle name="Calculation 10 2 7" xfId="2764" xr:uid="{B0592BAC-E44B-42AD-A0AB-BFA75C7CD331}"/>
    <cellStyle name="Calculation 10 2 8" xfId="2168" xr:uid="{84D0DA26-6982-4F45-B7CD-81A7C5247770}"/>
    <cellStyle name="Calculation 10 2 9" xfId="3076" xr:uid="{95A0C7DE-D684-4912-892D-DA98A5DB55E2}"/>
    <cellStyle name="Calculation 10 3" xfId="762" xr:uid="{04658C96-35BF-49C8-87D3-15B398A922E9}"/>
    <cellStyle name="Calculation 10 4" xfId="1210" xr:uid="{5E66AFC2-7CCF-4230-8C5D-3AB892F984FB}"/>
    <cellStyle name="Calculation 10 5" xfId="505" xr:uid="{6BA1C82F-74BB-4D11-91E6-48D04E31ECA4}"/>
    <cellStyle name="Calculation 10 6" xfId="1519" xr:uid="{ECF67F37-8B96-43AC-993E-807D98AB4CB7}"/>
    <cellStyle name="Calculation 10 7" xfId="1808" xr:uid="{9A6641C1-24E8-449A-A7FC-A382D85A8840}"/>
    <cellStyle name="Calculation 10 8" xfId="2298" xr:uid="{1CCC9D2C-C79C-4D75-A0AE-0E6E7BF2A544}"/>
    <cellStyle name="Calculation 10 9" xfId="2955" xr:uid="{E78FEE78-FA22-4766-AE73-B4F60A3BD3A2}"/>
    <cellStyle name="Calculation 11" xfId="417" xr:uid="{CDD6D4A5-3116-48B0-AEBF-87A747F9933A}"/>
    <cellStyle name="Calculation 11 10" xfId="3005" xr:uid="{63CCDBA2-4C72-4867-A5E6-BC6436B032C2}"/>
    <cellStyle name="Calculation 11 2" xfId="973" xr:uid="{CCDEF516-4603-4DA1-9640-6C7DB969AA36}"/>
    <cellStyle name="Calculation 11 2 2" xfId="1151" xr:uid="{EDB7DCC9-2B03-4481-9FFC-FF6420DD964C}"/>
    <cellStyle name="Calculation 11 2 3" xfId="1356" xr:uid="{D0A83609-629C-4EC0-81B2-FDE94A10CBD8}"/>
    <cellStyle name="Calculation 11 2 4" xfId="1098" xr:uid="{CBA15A8F-F7D4-4ECD-9618-30016ED27314}"/>
    <cellStyle name="Calculation 11 2 5" xfId="1675" xr:uid="{51FB445A-246D-43CD-ABAC-B57C1C097468}"/>
    <cellStyle name="Calculation 11 2 6" xfId="2463" xr:uid="{787096D2-2887-4E89-9567-1B2FD99A2BB5}"/>
    <cellStyle name="Calculation 11 2 7" xfId="2786" xr:uid="{191A3522-AB1B-4A85-B0F0-62053FCC9EFE}"/>
    <cellStyle name="Calculation 11 2 8" xfId="2208" xr:uid="{B52D370D-BEA9-4DF4-AA06-3DF8ED3A4221}"/>
    <cellStyle name="Calculation 11 2 9" xfId="3097" xr:uid="{D1F6954B-5C2D-4DF1-8085-07907D40FD68}"/>
    <cellStyle name="Calculation 11 3" xfId="885" xr:uid="{C3FAA875-4862-4F2A-8C34-6C1148D7A260}"/>
    <cellStyle name="Calculation 11 4" xfId="1232" xr:uid="{8E47B9DA-D084-4968-B493-258CFD3E3C26}"/>
    <cellStyle name="Calculation 11 5" xfId="1140" xr:uid="{E2614466-45D8-4099-95E5-D586C24C38C2}"/>
    <cellStyle name="Calculation 11 6" xfId="613" xr:uid="{AABD26C9-7E38-472F-B229-FD1873A6E574}"/>
    <cellStyle name="Calculation 11 7" xfId="2248" xr:uid="{2C30DA2E-A17B-4114-9442-628BC892E29A}"/>
    <cellStyle name="Calculation 11 8" xfId="2559" xr:uid="{D0D8C49D-1DDA-4FE4-87C7-E416761B28F0}"/>
    <cellStyle name="Calculation 11 9" xfId="2944" xr:uid="{0B4521F4-C5BA-49AE-905B-33D4B417AED4}"/>
    <cellStyle name="Calculation 12" xfId="399" xr:uid="{E63CC3E6-6816-4B57-BD4E-929587755D46}"/>
    <cellStyle name="Calculation 12 10" xfId="2074" xr:uid="{90FB9EB0-6245-4ED7-B7F9-4BDFE31095D7}"/>
    <cellStyle name="Calculation 12 2" xfId="955" xr:uid="{F4D0C47F-3CA4-42C2-B096-DA838A98BC99}"/>
    <cellStyle name="Calculation 12 2 2" xfId="770" xr:uid="{FAD8D5F4-DDB9-4869-8E84-04F025B94CFB}"/>
    <cellStyle name="Calculation 12 2 3" xfId="1338" xr:uid="{E6495E29-10AF-42E0-BA1D-04742CAF25A4}"/>
    <cellStyle name="Calculation 12 2 4" xfId="1449" xr:uid="{9C404970-1E59-4AC3-9380-54328BE43BB0}"/>
    <cellStyle name="Calculation 12 2 5" xfId="1657" xr:uid="{B2C2D6EC-1765-441E-AC6C-61644FE96892}"/>
    <cellStyle name="Calculation 12 2 6" xfId="2445" xr:uid="{A64EF740-2C75-4A0E-A0CA-9C5439A06DAA}"/>
    <cellStyle name="Calculation 12 2 7" xfId="2768" xr:uid="{F1138802-3F18-4BD3-91E0-45E591D8036E}"/>
    <cellStyle name="Calculation 12 2 8" xfId="2640" xr:uid="{89EFA4DF-9DF9-43C4-8ADA-D63D5F6027A9}"/>
    <cellStyle name="Calculation 12 2 9" xfId="3049" xr:uid="{AA1F330B-29BD-424F-ADC7-FF39AA8D3A27}"/>
    <cellStyle name="Calculation 12 3" xfId="621" xr:uid="{0066766F-2936-4A8A-9F6B-076F949121BF}"/>
    <cellStyle name="Calculation 12 4" xfId="1214" xr:uid="{9036D60C-B9DE-4110-AB0C-8BFA363E1F03}"/>
    <cellStyle name="Calculation 12 5" xfId="506" xr:uid="{58F66AA4-8B9B-4898-94AC-2233F05337AD}"/>
    <cellStyle name="Calculation 12 6" xfId="1520" xr:uid="{B19BA06E-A456-444C-8C82-2A5B285CC7E4}"/>
    <cellStyle name="Calculation 12 7" xfId="2363" xr:uid="{9E657E1F-89D9-42DD-9132-E2E3248DD207}"/>
    <cellStyle name="Calculation 12 8" xfId="2518" xr:uid="{2EB82D19-7164-48A8-AFC1-4E9CC97A3E5C}"/>
    <cellStyle name="Calculation 12 9" xfId="2883" xr:uid="{06CC39D7-289A-46DA-99D7-EDFEF8768D6D}"/>
    <cellStyle name="Calculation 13" xfId="413" xr:uid="{EC0DBB92-62A4-4B79-AC7D-CBAC12759026}"/>
    <cellStyle name="Calculation 13 10" xfId="3019" xr:uid="{F0588A8A-BA8A-4431-B639-66EAA81E9A21}"/>
    <cellStyle name="Calculation 13 2" xfId="969" xr:uid="{715C1510-A0A7-4284-ACA4-8790EAB587C6}"/>
    <cellStyle name="Calculation 13 2 2" xfId="812" xr:uid="{672CC19A-4EF6-4BF3-A694-793395B95345}"/>
    <cellStyle name="Calculation 13 2 3" xfId="1352" xr:uid="{C070C674-0534-4233-A288-F7C2DBC2D45E}"/>
    <cellStyle name="Calculation 13 2 4" xfId="836" xr:uid="{01C15885-F374-4AD9-8FA5-A091B91195AA}"/>
    <cellStyle name="Calculation 13 2 5" xfId="1671" xr:uid="{78AAADD6-4B7A-467F-BDB3-FC51E9C2E6F7}"/>
    <cellStyle name="Calculation 13 2 6" xfId="2459" xr:uid="{DF4D54C6-8C45-4F87-BB69-314FCC389E6F}"/>
    <cellStyle name="Calculation 13 2 7" xfId="2782" xr:uid="{C5ADD4E6-F11B-42B8-A839-30240194B5A0}"/>
    <cellStyle name="Calculation 13 2 8" xfId="2556" xr:uid="{E9AFD658-5B24-48C0-9996-784FB07C803F}"/>
    <cellStyle name="Calculation 13 2 9" xfId="2999" xr:uid="{0505C791-0B78-42A7-B699-64298CCA26DC}"/>
    <cellStyle name="Calculation 13 3" xfId="617" xr:uid="{146AFE21-4DFD-4B80-9F71-DE6552B0D9D1}"/>
    <cellStyle name="Calculation 13 4" xfId="1228" xr:uid="{DC261C15-1287-44A5-AEDA-AC3F8B52BF71}"/>
    <cellStyle name="Calculation 13 5" xfId="655" xr:uid="{4969B983-656B-41CF-B4F0-91BF66F96ECA}"/>
    <cellStyle name="Calculation 13 6" xfId="1485" xr:uid="{78C06FC0-6C3D-4958-852B-76ADC73BFA14}"/>
    <cellStyle name="Calculation 13 7" xfId="2252" xr:uid="{02124112-B335-43FB-87EC-E56C6C7C6E8D}"/>
    <cellStyle name="Calculation 13 8" xfId="2576" xr:uid="{EF7ACB39-3708-42CE-9F2C-76177DCFB097}"/>
    <cellStyle name="Calculation 13 9" xfId="2893" xr:uid="{DE9EBE47-0D6F-4F98-A102-7234575B1163}"/>
    <cellStyle name="Calculation 14" xfId="400" xr:uid="{419FDC91-9CD7-4B55-85F1-7D5817C74476}"/>
    <cellStyle name="Calculation 14 10" xfId="2403" xr:uid="{EC7FF7DC-905C-4544-8D11-10BB0FE401AB}"/>
    <cellStyle name="Calculation 14 2" xfId="956" xr:uid="{EF185ED4-6023-4131-8309-9C2194AE535E}"/>
    <cellStyle name="Calculation 14 2 2" xfId="1139" xr:uid="{F426660A-ABF6-4FD9-AF0E-AA56078B786C}"/>
    <cellStyle name="Calculation 14 2 3" xfId="1339" xr:uid="{7462585E-40A3-4396-9760-F488642DCAA4}"/>
    <cellStyle name="Calculation 14 2 4" xfId="1460" xr:uid="{4B2ED764-5FD6-43BF-AC42-0B6B299731EA}"/>
    <cellStyle name="Calculation 14 2 5" xfId="1658" xr:uid="{BDB7B34E-556A-4A23-AD6A-D8F53CD9EC8C}"/>
    <cellStyle name="Calculation 14 2 6" xfId="2446" xr:uid="{AF83D76A-C6BA-4FBC-B5E0-240853881A97}"/>
    <cellStyle name="Calculation 14 2 7" xfId="2769" xr:uid="{5A1BECA2-9559-4802-9F24-79E852C12EA0}"/>
    <cellStyle name="Calculation 14 2 8" xfId="2867" xr:uid="{AB0BF901-9451-4D8D-BD57-0D41E7B38E12}"/>
    <cellStyle name="Calculation 14 2 9" xfId="2393" xr:uid="{9B899127-ECC0-4FDD-B5F7-0F34299D44CA}"/>
    <cellStyle name="Calculation 14 3" xfId="734" xr:uid="{4C8FAAD1-327F-4494-9894-B0C002A83486}"/>
    <cellStyle name="Calculation 14 4" xfId="1215" xr:uid="{529D48D9-49D0-4D66-8D63-A19805784C7E}"/>
    <cellStyle name="Calculation 14 5" xfId="1496" xr:uid="{1891C69C-3169-45D3-86DF-D001847F4B72}"/>
    <cellStyle name="Calculation 14 6" xfId="1054" xr:uid="{BBE353B5-AA6C-400C-B65A-A2CC0984BD95}"/>
    <cellStyle name="Calculation 14 7" xfId="2236" xr:uid="{D9175A16-99CF-4089-A876-E4096F45FA2E}"/>
    <cellStyle name="Calculation 14 8" xfId="2412" xr:uid="{58CE0A3F-89A3-4D2A-B548-94815C6C84D9}"/>
    <cellStyle name="Calculation 14 9" xfId="2365" xr:uid="{E2C23B34-5DA1-43F0-9A7E-B6A949741772}"/>
    <cellStyle name="Calculation 15" xfId="411" xr:uid="{60F4595E-4EBC-448F-B695-2A29ECFF9674}"/>
    <cellStyle name="Calculation 15 10" xfId="3034" xr:uid="{0691C7D2-FAC2-485C-ACA7-0EF75E1E38B1}"/>
    <cellStyle name="Calculation 15 2" xfId="967" xr:uid="{90E0541B-EE25-48AE-BFD1-96112BDB9DD9}"/>
    <cellStyle name="Calculation 15 2 2" xfId="670" xr:uid="{4D380D1B-F0F0-4C1B-8A1E-8E6551EB354F}"/>
    <cellStyle name="Calculation 15 2 3" xfId="1350" xr:uid="{27BA38D6-0EF1-4A0C-8064-F1C9C0DD3E2B}"/>
    <cellStyle name="Calculation 15 2 4" xfId="570" xr:uid="{C5C7A3DD-E3DC-45E0-8259-29F612A26D5A}"/>
    <cellStyle name="Calculation 15 2 5" xfId="1669" xr:uid="{4C11EC27-C616-4258-A47D-EE916B4960CD}"/>
    <cellStyle name="Calculation 15 2 6" xfId="2457" xr:uid="{24E723AA-09A8-4935-84CB-26DA59033E07}"/>
    <cellStyle name="Calculation 15 2 7" xfId="2780" xr:uid="{64C3D2EB-7565-46BF-8F13-8F6CD873A52B}"/>
    <cellStyle name="Calculation 15 2 8" xfId="2068" xr:uid="{D834E461-868C-409A-B5E6-7D55364538E0}"/>
    <cellStyle name="Calculation 15 2 9" xfId="1801" xr:uid="{D0DF9009-2F0F-4A04-A86D-07A1FC1B1E34}"/>
    <cellStyle name="Calculation 15 3" xfId="743" xr:uid="{8BA151BD-C5D3-461B-BB8E-48EFA0B9101B}"/>
    <cellStyle name="Calculation 15 4" xfId="1226" xr:uid="{C793BA5B-9345-4B30-BC11-A494A57F23E1}"/>
    <cellStyle name="Calculation 15 5" xfId="637" xr:uid="{FDBEA3DE-0FC7-4741-92D3-8A1983AA4366}"/>
    <cellStyle name="Calculation 15 6" xfId="881" xr:uid="{62EB56CD-487C-4723-BF5F-4883D15D76A8}"/>
    <cellStyle name="Calculation 15 7" xfId="2350" xr:uid="{90A26339-185D-45D5-B7CF-A6E407CD3AB7}"/>
    <cellStyle name="Calculation 15 8" xfId="2665" xr:uid="{68C65562-25B1-4D48-B249-4B488D62912A}"/>
    <cellStyle name="Calculation 15 9" xfId="2895" xr:uid="{AA5BE79A-BC7C-4274-A8DE-431CE0E80966}"/>
    <cellStyle name="Calculation 16" xfId="437" xr:uid="{22E9E803-F5D6-4FE4-9230-718EDD33C956}"/>
    <cellStyle name="Calculation 16 10" xfId="3107" xr:uid="{6DA479E6-A4C0-4008-BCAE-5FBBE7F9D566}"/>
    <cellStyle name="Calculation 16 2" xfId="991" xr:uid="{C0A360FC-C4B1-4C5F-BBBD-9CD0FEAD53F7}"/>
    <cellStyle name="Calculation 16 2 2" xfId="557" xr:uid="{2A349E63-1FDD-401E-89DE-D841534EEEE6}"/>
    <cellStyle name="Calculation 16 2 3" xfId="1373" xr:uid="{362FCCDA-4351-48FD-B095-886F35FB510A}"/>
    <cellStyle name="Calculation 16 2 4" xfId="1544" xr:uid="{45FC5784-8475-4340-A28E-9386FE8C9AE7}"/>
    <cellStyle name="Calculation 16 2 5" xfId="1691" xr:uid="{C707F07F-D91C-4787-B16F-5E0F2E765299}"/>
    <cellStyle name="Calculation 16 2 6" xfId="2480" xr:uid="{AF81408C-0E5D-49D3-9252-8178F00476E7}"/>
    <cellStyle name="Calculation 16 2 7" xfId="2802" xr:uid="{741F73A2-C17C-467A-A5EC-70871F7E5D10}"/>
    <cellStyle name="Calculation 16 2 8" xfId="2367" xr:uid="{2F715E46-A31A-44C2-8D14-FD56864D2173}"/>
    <cellStyle name="Calculation 16 2 9" xfId="3123" xr:uid="{1DE9014B-0921-4D4B-B157-6144644CFF52}"/>
    <cellStyle name="Calculation 16 3" xfId="672" xr:uid="{F1491B48-F274-4A33-8515-0E0753F48DE8}"/>
    <cellStyle name="Calculation 16 4" xfId="1252" xr:uid="{0C343305-D2C5-498B-8627-4DA966BB128F}"/>
    <cellStyle name="Calculation 16 5" xfId="516" xr:uid="{4BB1CD2C-A4F5-48EF-B827-05379BDB46FA}"/>
    <cellStyle name="Calculation 16 6" xfId="1591" xr:uid="{A8B8F123-4F12-4105-89EB-8587644ADB36}"/>
    <cellStyle name="Calculation 16 7" xfId="2214" xr:uid="{5582C2BD-1654-4BED-A2CF-E147A52FCE53}"/>
    <cellStyle name="Calculation 16 8" xfId="2399" xr:uid="{F3C32B5E-E2E6-4796-9861-D67E6454B990}"/>
    <cellStyle name="Calculation 16 9" xfId="2873" xr:uid="{FE747E92-11ED-4598-AA5F-21A2532B3AEF}"/>
    <cellStyle name="Calculation 17" xfId="450" xr:uid="{B6E87ACD-B087-4AEA-A357-957309CC9385}"/>
    <cellStyle name="Calculation 17 10" xfId="2602" xr:uid="{D8940A28-EF27-4B4F-A78E-6F7A60597DA0}"/>
    <cellStyle name="Calculation 17 2" xfId="1002" xr:uid="{AF0457B2-FDFF-4971-B252-95C4C52CDA89}"/>
    <cellStyle name="Calculation 17 2 2" xfId="674" xr:uid="{C69D0C5F-A541-4360-A4D0-63F9A70013D3}"/>
    <cellStyle name="Calculation 17 2 3" xfId="1384" xr:uid="{E6CFA5C5-0422-4E60-A021-037BAD5103E9}"/>
    <cellStyle name="Calculation 17 2 4" xfId="1554" xr:uid="{D46C7B44-E40E-4086-BD6A-350109D98E12}"/>
    <cellStyle name="Calculation 17 2 5" xfId="1701" xr:uid="{7325F0E9-4FD9-4BEA-ACBF-F2AF37506B3D}"/>
    <cellStyle name="Calculation 17 2 6" xfId="2492" xr:uid="{C12F777E-04DE-417D-A7AE-35A37F7FDFD3}"/>
    <cellStyle name="Calculation 17 2 7" xfId="2813" xr:uid="{0B528122-204C-4580-8050-0505A8AD3D31}"/>
    <cellStyle name="Calculation 17 2 8" xfId="2836" xr:uid="{69A86AD2-B99B-48E3-8D9A-56CCD512FDF0}"/>
    <cellStyle name="Calculation 17 2 9" xfId="3133" xr:uid="{C51937B7-5FAB-44AC-8A8A-857292E34F2C}"/>
    <cellStyle name="Calculation 17 3" xfId="787" xr:uid="{60B624B2-EC3D-4113-BE5E-0F07DA094607}"/>
    <cellStyle name="Calculation 17 4" xfId="1264" xr:uid="{1E09E31C-358B-489B-B2A0-9C99BE92EE4C}"/>
    <cellStyle name="Calculation 17 5" xfId="1467" xr:uid="{1030EF7F-5AA4-437C-865A-E183E63F22D0}"/>
    <cellStyle name="Calculation 17 6" xfId="1601" xr:uid="{39D9F954-4AA8-4985-9B71-DAE246B35437}"/>
    <cellStyle name="Calculation 17 7" xfId="1923" xr:uid="{FA9F5178-F74D-4612-BB2B-71B2B3FBEA75}"/>
    <cellStyle name="Calculation 17 8" xfId="1800" xr:uid="{2C8BE390-0890-42D7-83BC-2466912B71EA}"/>
    <cellStyle name="Calculation 17 9" xfId="2590" xr:uid="{F46BA7C5-F8B8-40D5-9ABC-0B6823FDC91F}"/>
    <cellStyle name="Calculation 18" xfId="452" xr:uid="{D42DB906-6B25-4438-87D2-E3D2D964AB15}"/>
    <cellStyle name="Calculation 18 10" xfId="2198" xr:uid="{859CF13D-E72A-47D4-B78E-D45F1CE9EFD8}"/>
    <cellStyle name="Calculation 18 2" xfId="1004" xr:uid="{81479A5C-1387-41C5-BED3-43EAA2724563}"/>
    <cellStyle name="Calculation 18 2 2" xfId="1055" xr:uid="{CC96EA27-90B2-4E61-8E38-C060E93B04C1}"/>
    <cellStyle name="Calculation 18 2 3" xfId="1386" xr:uid="{9B694768-9C7D-4AFF-B7AF-0FB0598796C8}"/>
    <cellStyle name="Calculation 18 2 4" xfId="1556" xr:uid="{F38A4A09-EC45-4E98-9DF9-0E6CDDD93ECA}"/>
    <cellStyle name="Calculation 18 2 5" xfId="1703" xr:uid="{0A3E30E9-9E36-4528-ADDD-1BEE32D3339F}"/>
    <cellStyle name="Calculation 18 2 6" xfId="2494" xr:uid="{D4B0F2C9-31EC-44FE-B965-F4FD563ED72F}"/>
    <cellStyle name="Calculation 18 2 7" xfId="2815" xr:uid="{8A5E7D78-C3B7-4F72-B582-F7A3C427C4B1}"/>
    <cellStyle name="Calculation 18 2 8" xfId="2729" xr:uid="{A53C64D9-405D-42AF-969C-8F47C5941A3E}"/>
    <cellStyle name="Calculation 18 2 9" xfId="3135" xr:uid="{EEA16C28-A159-467D-9FAA-A1DB956459BA}"/>
    <cellStyle name="Calculation 18 3" xfId="566" xr:uid="{B33636B8-BA99-4643-B70C-293040546E36}"/>
    <cellStyle name="Calculation 18 4" xfId="1266" xr:uid="{EB5E6E44-337C-4DAF-A252-41F22907D57B}"/>
    <cellStyle name="Calculation 18 5" xfId="1464" xr:uid="{8A8C48DB-96FD-4ED7-B984-9134277C910E}"/>
    <cellStyle name="Calculation 18 6" xfId="1603" xr:uid="{D9783917-1582-42CE-B6B8-65071823174E}"/>
    <cellStyle name="Calculation 18 7" xfId="1926" xr:uid="{4C15C890-664B-413C-ABCA-6A4FAA8E043C}"/>
    <cellStyle name="Calculation 18 8" xfId="1799" xr:uid="{2EA589E7-73D2-4090-87A8-1736154BC207}"/>
    <cellStyle name="Calculation 18 9" xfId="2846" xr:uid="{A62437AB-2EED-468E-B4B0-75A17199C4CD}"/>
    <cellStyle name="Calculation 19" xfId="454" xr:uid="{3ED2AC0A-6755-4746-8EB4-026E97B35083}"/>
    <cellStyle name="Calculation 19 10" xfId="1922" xr:uid="{CA1FDDD6-0E10-4F53-A4A2-C0402C6F339A}"/>
    <cellStyle name="Calculation 19 2" xfId="1006" xr:uid="{BE52B159-D216-4941-9632-1D1C29AD7B2F}"/>
    <cellStyle name="Calculation 19 2 2" xfId="806" xr:uid="{47B9D4B1-45D7-40DB-BB3D-78B71B45459F}"/>
    <cellStyle name="Calculation 19 2 3" xfId="1388" xr:uid="{2D4DB150-020C-4D5B-BE24-93181FA7B7D0}"/>
    <cellStyle name="Calculation 19 2 4" xfId="1558" xr:uid="{0462AEA5-EA26-45CF-8594-EB07402C7B5D}"/>
    <cellStyle name="Calculation 19 2 5" xfId="1705" xr:uid="{554BBD9F-FA47-4846-8ECA-E381D5C512C9}"/>
    <cellStyle name="Calculation 19 2 6" xfId="2496" xr:uid="{F95FD46F-2906-4CDF-ABA4-5317A7C585CF}"/>
    <cellStyle name="Calculation 19 2 7" xfId="2817" xr:uid="{DF902BD9-4CDF-45CD-9DD1-4EA10539189F}"/>
    <cellStyle name="Calculation 19 2 8" xfId="2726" xr:uid="{52303A1E-66B1-4FFF-B001-4B168BC0F6F7}"/>
    <cellStyle name="Calculation 19 2 9" xfId="3137" xr:uid="{8F73229A-A285-4117-A4FF-F8EDCDCCDA47}"/>
    <cellStyle name="Calculation 19 3" xfId="1108" xr:uid="{E5BD0E18-6E59-46C5-95F7-ADCE17C344BB}"/>
    <cellStyle name="Calculation 19 4" xfId="1268" xr:uid="{6D161B24-5AB3-4609-877B-9D9F1159A5F4}"/>
    <cellStyle name="Calculation 19 5" xfId="1077" xr:uid="{1C85316A-A372-4190-B1A7-56FA33650644}"/>
    <cellStyle name="Calculation 19 6" xfId="1605" xr:uid="{C719BC93-295C-49E1-B936-F7A0137BD95F}"/>
    <cellStyle name="Calculation 19 7" xfId="2018" xr:uid="{472A2FF9-165A-41DC-9DC2-3F4F72E16F27}"/>
    <cellStyle name="Calculation 19 8" xfId="1797" xr:uid="{A41BC5F1-C706-4054-AE2F-1CFA947B94E6}"/>
    <cellStyle name="Calculation 19 9" xfId="2628" xr:uid="{2984BCDA-E947-4364-A86B-2BD0926863FA}"/>
    <cellStyle name="Calculation 2" xfId="272" xr:uid="{C2FE50CA-38BA-4B69-A047-7DBFD1BD9C09}"/>
    <cellStyle name="Calculation 2 2" xfId="908" xr:uid="{68A12F2B-5954-4C83-AF0F-85923890E121}"/>
    <cellStyle name="Calculation 2 2 10" xfId="5927" xr:uid="{4D13BCBF-F8B9-4161-B939-7394EB2F0D60}"/>
    <cellStyle name="Calculation 2 2 2" xfId="1150" xr:uid="{39382496-65CC-4497-932C-BFBE878475A0}"/>
    <cellStyle name="Calculation 2 2 3" xfId="1290" xr:uid="{D0D07B38-4EE8-4D28-B656-61B33228A352}"/>
    <cellStyle name="Calculation 2 2 4" xfId="1475" xr:uid="{A7CD4423-07AE-47CF-9EA1-64BD604436D4}"/>
    <cellStyle name="Calculation 2 2 5" xfId="1626" xr:uid="{6506F779-C8DC-4785-9D50-247A0692F3DA}"/>
    <cellStyle name="Calculation 2 2 6" xfId="1809" xr:uid="{9ECBC47C-B43D-4E0A-949E-EC963981B54E}"/>
    <cellStyle name="Calculation 2 2 7" xfId="1989" xr:uid="{843F401E-18CA-449C-A59C-637D7B74CEBE}"/>
    <cellStyle name="Calculation 2 2 8" xfId="2866" xr:uid="{B7C2A6EA-487A-4743-9751-6DF4DFF71609}"/>
    <cellStyle name="Calculation 2 2 9" xfId="3004" xr:uid="{702752D1-AAED-4131-AAEA-5D05680F290C}"/>
    <cellStyle name="Calculation 2 3" xfId="492" xr:uid="{75A87ED2-07CD-4F49-9E68-05E6B0EFF39E}"/>
    <cellStyle name="Calculation 2 4" xfId="755" xr:uid="{A9394745-0500-41A6-B62C-0869054E6671}"/>
    <cellStyle name="Calculation 2 5" xfId="864" xr:uid="{A56FD2A0-075E-49C1-96F7-30AB5F155BCB}"/>
    <cellStyle name="Calculation 2 6" xfId="2299" xr:uid="{9B6A4E39-3194-440B-B1B3-EEEE299EEB77}"/>
    <cellStyle name="Calculation 2 7" xfId="2623" xr:uid="{EDFE8B0D-21AE-428C-A396-CC85236A784B}"/>
    <cellStyle name="Calculation 2 8" xfId="2489" xr:uid="{8BC1C4BC-FDAF-4102-B883-3750812951FB}"/>
    <cellStyle name="Calculation 2 9" xfId="5926" xr:uid="{5C892999-8D54-4AA5-ACB6-525EA6D862C4}"/>
    <cellStyle name="Calculation 20" xfId="456" xr:uid="{7C37B6C7-F50C-41B1-B96E-FD8FEE487C22}"/>
    <cellStyle name="Calculation 20 10" xfId="3014" xr:uid="{90216D3C-727F-41CD-89B4-F7D87A0EE302}"/>
    <cellStyle name="Calculation 20 2" xfId="1008" xr:uid="{EB2BFBB4-49CE-45C9-B1C8-447A882EEE4C}"/>
    <cellStyle name="Calculation 20 2 2" xfId="810" xr:uid="{1C9F33FD-37C4-4186-81AD-1E557A8EDC22}"/>
    <cellStyle name="Calculation 20 2 3" xfId="1390" xr:uid="{3981DDBA-3479-422C-BED9-C4916301A3B1}"/>
    <cellStyle name="Calculation 20 2 4" xfId="1560" xr:uid="{1E884018-6A0F-4494-8D77-60465AE9FDFA}"/>
    <cellStyle name="Calculation 20 2 5" xfId="1707" xr:uid="{D324B8E7-1B07-45D9-A117-4BD1521DCC7B}"/>
    <cellStyle name="Calculation 20 2 6" xfId="2498" xr:uid="{2C73ECA0-06AC-4897-BA52-3447B58823A8}"/>
    <cellStyle name="Calculation 20 2 7" xfId="2819" xr:uid="{F7DE12CD-F2F0-4F83-9CFF-B4D45133BC87}"/>
    <cellStyle name="Calculation 20 2 8" xfId="2687" xr:uid="{36456BCC-0E0A-4BD6-BDCB-0DFC39541885}"/>
    <cellStyle name="Calculation 20 2 9" xfId="3139" xr:uid="{45C09D5F-1DBE-48AB-9F70-85517EC00F35}"/>
    <cellStyle name="Calculation 20 3" xfId="513" xr:uid="{E47AD3D2-4058-45C5-9ADB-F98E591F5375}"/>
    <cellStyle name="Calculation 20 4" xfId="1270" xr:uid="{315A555E-4DCA-4A9A-A4C6-30F1D5DE6C49}"/>
    <cellStyle name="Calculation 20 5" xfId="1447" xr:uid="{F19C2588-B1AD-4A01-A56A-BC9D299E4325}"/>
    <cellStyle name="Calculation 20 6" xfId="1607" xr:uid="{2E01AB66-A9D0-4659-A734-0C97B87CECDF}"/>
    <cellStyle name="Calculation 20 7" xfId="1734" xr:uid="{BF511731-C53C-4639-8085-64D533F86104}"/>
    <cellStyle name="Calculation 20 8" xfId="1796" xr:uid="{99B9CDF1-B908-4EE8-A14C-6B081F4E69D9}"/>
    <cellStyle name="Calculation 20 9" xfId="2715" xr:uid="{FF8E0E57-08A4-4644-B416-CC7BACC76208}"/>
    <cellStyle name="Calculation 21" xfId="458" xr:uid="{616C18C9-AE21-499D-A3CF-A32EBBF9EE15}"/>
    <cellStyle name="Calculation 21 10" xfId="3016" xr:uid="{6E5EB000-30BB-4DBA-A9C0-F658B3466FA5}"/>
    <cellStyle name="Calculation 21 2" xfId="1010" xr:uid="{B7A8A4BB-777D-44C3-AA4D-5204787A5A3B}"/>
    <cellStyle name="Calculation 21 2 2" xfId="791" xr:uid="{810440BC-9F7B-4AF0-ACCE-292F84ABE6A1}"/>
    <cellStyle name="Calculation 21 2 3" xfId="1392" xr:uid="{0225BF78-AF5D-41D4-BADC-90756E8DD888}"/>
    <cellStyle name="Calculation 21 2 4" xfId="1562" xr:uid="{4238E4A2-4C9F-4C1E-B8B0-4D31913D64FA}"/>
    <cellStyle name="Calculation 21 2 5" xfId="1709" xr:uid="{C8F001C5-6858-4C31-916A-59628F789F58}"/>
    <cellStyle name="Calculation 21 2 6" xfId="2500" xr:uid="{A8E6F416-02AB-4243-A621-A7C2DA1E2178}"/>
    <cellStyle name="Calculation 21 2 7" xfId="2821" xr:uid="{3C253279-3E77-4D39-926A-8433D1C2F243}"/>
    <cellStyle name="Calculation 21 2 8" xfId="2174" xr:uid="{D3ABC8D1-2CBA-4C09-A0E0-B4F6B7797EA6}"/>
    <cellStyle name="Calculation 21 2 9" xfId="3141" xr:uid="{3FA2B7EF-D9F4-49D1-8137-72B831857597}"/>
    <cellStyle name="Calculation 21 3" xfId="833" xr:uid="{54D21B7D-7BD0-4B9B-BF38-F314199AC19E}"/>
    <cellStyle name="Calculation 21 4" xfId="1272" xr:uid="{8C54CD88-D06D-46A0-9A33-FB608964F02F}"/>
    <cellStyle name="Calculation 21 5" xfId="1463" xr:uid="{069BC807-44CB-4614-8918-863CA6B7C2F6}"/>
    <cellStyle name="Calculation 21 6" xfId="1609" xr:uid="{DDD88347-3759-474C-9E90-DD66620D7A68}"/>
    <cellStyle name="Calculation 21 7" xfId="1883" xr:uid="{2C2860D0-57E2-4533-B80C-4649C3D451A3}"/>
    <cellStyle name="Calculation 21 8" xfId="1795" xr:uid="{30602F44-D25B-4F36-8143-722598B110E6}"/>
    <cellStyle name="Calculation 21 9" xfId="2699" xr:uid="{D391E60E-4586-483D-8A0B-8B073DD3DAD7}"/>
    <cellStyle name="Calculation 22" xfId="460" xr:uid="{8DF5FC6B-191D-41F2-85EE-4208A7F3D42C}"/>
    <cellStyle name="Calculation 22 2" xfId="1158" xr:uid="{67FFA6BD-AEDD-4E88-A33A-49403EB92CEC}"/>
    <cellStyle name="Calculation 22 3" xfId="1274" xr:uid="{79ED869E-001C-4F48-AE78-CE949EDBCD61}"/>
    <cellStyle name="Calculation 22 4" xfId="1462" xr:uid="{5A1095B0-92B4-4BF5-B97E-645526A5FB5B}"/>
    <cellStyle name="Calculation 22 5" xfId="1611" xr:uid="{B415B4D9-D57E-4EA7-B1B4-055524F059C8}"/>
    <cellStyle name="Calculation 22 6" xfId="1735" xr:uid="{6AEC1E45-99A1-4946-9EB5-7A945CD71CAD}"/>
    <cellStyle name="Calculation 22 7" xfId="1794" xr:uid="{711FBC49-89B1-4BE7-8B8B-49A1CACD11DE}"/>
    <cellStyle name="Calculation 22 8" xfId="2670" xr:uid="{68ED6A0D-EB08-419F-895D-C4974B4C8B57}"/>
    <cellStyle name="Calculation 22 9" xfId="3069" xr:uid="{DF5CB51A-848D-4A48-898D-EFA04D1B74A9}"/>
    <cellStyle name="Calculation 23" xfId="3164" xr:uid="{11E21EC3-9238-42E5-B7DA-ED5EB6987168}"/>
    <cellStyle name="Calculation 3" xfId="425" xr:uid="{4C680139-1A4E-4AAC-8FD5-A4AE94413D19}"/>
    <cellStyle name="Calculation 3 10" xfId="5928" xr:uid="{497789A4-82EE-4497-9217-209D6C625B74}"/>
    <cellStyle name="Calculation 3 2" xfId="980" xr:uid="{A29952FB-7A75-486B-8E47-90AE66F7B5F9}"/>
    <cellStyle name="Calculation 3 2 10" xfId="5929" xr:uid="{7876BE2A-7C70-4AC4-B423-7E389868EF83}"/>
    <cellStyle name="Calculation 3 2 2" xfId="673" xr:uid="{B71DB306-4716-4A7E-933C-41C648A1B3BF}"/>
    <cellStyle name="Calculation 3 2 3" xfId="1363" xr:uid="{26F1E4EE-E553-480C-8446-049B77EE1442}"/>
    <cellStyle name="Calculation 3 2 4" xfId="579" xr:uid="{7454DF21-FB8E-4788-AE22-6F4918E7C246}"/>
    <cellStyle name="Calculation 3 2 5" xfId="1682" xr:uid="{C5AD2517-AD95-49C8-8E5D-95BE20DD25B0}"/>
    <cellStyle name="Calculation 3 2 6" xfId="2470" xr:uid="{061C710F-31A5-4F99-AF34-12F8E4ED325A}"/>
    <cellStyle name="Calculation 3 2 7" xfId="2793" xr:uid="{14047471-E964-4B18-9535-77783AD45445}"/>
    <cellStyle name="Calculation 3 2 8" xfId="2850" xr:uid="{18576ABE-94DD-431C-8726-F526FD60FA1B}"/>
    <cellStyle name="Calculation 3 2 9" xfId="1757" xr:uid="{E198214B-7B3B-4381-9272-9E89516B2063}"/>
    <cellStyle name="Calculation 3 3" xfId="1096" xr:uid="{AE1E56F6-674A-443E-8D53-58BBEA042068}"/>
    <cellStyle name="Calculation 3 4" xfId="1240" xr:uid="{42E21C8A-0868-4C70-AEAF-CDD3EEC786AA}"/>
    <cellStyle name="Calculation 3 5" xfId="834" xr:uid="{2A140865-FF2D-4D1E-9E9D-21AA37A58E40}"/>
    <cellStyle name="Calculation 3 6" xfId="1581" xr:uid="{4DA1B593-5230-4A60-8E97-6F8770833441}"/>
    <cellStyle name="Calculation 3 7" xfId="2242" xr:uid="{3973336A-F10E-409B-9DDB-B47858507E91}"/>
    <cellStyle name="Calculation 3 8" xfId="2537" xr:uid="{CC9FE8F7-8B96-4A85-B7B6-611A7CC78CA6}"/>
    <cellStyle name="Calculation 3 9" xfId="2212" xr:uid="{A29DCE8E-7700-4B1E-8703-5EB6597DA418}"/>
    <cellStyle name="Calculation 4" xfId="392" xr:uid="{108081B5-34CF-4638-BBA5-D0C73F390BAD}"/>
    <cellStyle name="Calculation 4 10" xfId="3022" xr:uid="{5000F42B-5A55-46C4-B4DF-43A8C82B91A7}"/>
    <cellStyle name="Calculation 4 2" xfId="949" xr:uid="{9D73238C-CE99-4607-8504-F96C84BB5357}"/>
    <cellStyle name="Calculation 4 2 2" xfId="1038" xr:uid="{BB28859A-9A94-45DE-8D5C-B38387C8B9EB}"/>
    <cellStyle name="Calculation 4 2 3" xfId="1332" xr:uid="{3AAD4A13-9833-4814-8530-B216678C9466}"/>
    <cellStyle name="Calculation 4 2 4" xfId="1147" xr:uid="{54635F1C-F90A-4CF2-BFEC-64F50D286CFF}"/>
    <cellStyle name="Calculation 4 2 5" xfId="1651" xr:uid="{02A7C777-D62A-4626-8BE2-555566611073}"/>
    <cellStyle name="Calculation 4 2 6" xfId="2439" xr:uid="{E6333DD4-25C0-4ADB-8566-552F0C2EE191}"/>
    <cellStyle name="Calculation 4 2 7" xfId="2762" xr:uid="{81A025F3-D2E9-4CA1-A5EF-AE9914979CD8}"/>
    <cellStyle name="Calculation 4 2 8" xfId="2733" xr:uid="{F7F6C0BD-02AF-4922-8479-C346ED43F389}"/>
    <cellStyle name="Calculation 4 2 9" xfId="3007" xr:uid="{035353FA-0892-4CBA-A0E3-1ED456139502}"/>
    <cellStyle name="Calculation 4 3" xfId="1138" xr:uid="{98F06382-0EA9-4E53-BDEA-4DDC3C2A5744}"/>
    <cellStyle name="Calculation 4 4" xfId="1207" xr:uid="{926D06C7-488C-4810-BCED-8F2AD46AE667}"/>
    <cellStyle name="Calculation 4 5" xfId="1500" xr:uid="{1F8EA267-196A-4932-988E-6F435A7326AD}"/>
    <cellStyle name="Calculation 4 6" xfId="1425" xr:uid="{2014B42A-DAC0-44A8-A681-A007468FD596}"/>
    <cellStyle name="Calculation 4 7" xfId="2080" xr:uid="{E4FC1C77-8674-458E-95F7-DB6B49674CA4}"/>
    <cellStyle name="Calculation 4 8" xfId="2666" xr:uid="{ED568394-F8E9-4D6E-AA07-FF93E0D5012E}"/>
    <cellStyle name="Calculation 4 9" xfId="2849" xr:uid="{13BC00D6-FEFB-4964-B128-30C9FA9BFC3F}"/>
    <cellStyle name="Calculation 5" xfId="418" xr:uid="{7EF466E0-B16A-466C-B1FD-F0EF452A258B}"/>
    <cellStyle name="Calculation 5 10" xfId="3090" xr:uid="{DAB1C03B-CAB5-4163-A728-9E3904A3AE32}"/>
    <cellStyle name="Calculation 5 2" xfId="974" xr:uid="{C47FFFA3-E336-4F3A-8123-80E9BBB0E759}"/>
    <cellStyle name="Calculation 5 2 2" xfId="901" xr:uid="{07FB2D39-6ECC-4462-B303-989B1999F084}"/>
    <cellStyle name="Calculation 5 2 3" xfId="1357" xr:uid="{05617F4E-FED2-4022-A4AF-2D077FA602F9}"/>
    <cellStyle name="Calculation 5 2 4" xfId="1453" xr:uid="{00390EB2-BA4A-48D8-BF85-34D45009E6C9}"/>
    <cellStyle name="Calculation 5 2 5" xfId="1676" xr:uid="{6BEE9E1E-6AA6-46B9-8A8D-BDD639420792}"/>
    <cellStyle name="Calculation 5 2 6" xfId="2464" xr:uid="{DEEC5519-B81C-424F-AAC4-472C04D718EA}"/>
    <cellStyle name="Calculation 5 2 7" xfId="2787" xr:uid="{AE0D9EA7-C015-4975-B573-82DA92C57FB2}"/>
    <cellStyle name="Calculation 5 2 8" xfId="2186" xr:uid="{7A47AFCA-39CD-409B-ADF8-818F3D286089}"/>
    <cellStyle name="Calculation 5 2 9" xfId="1955" xr:uid="{5CB02A7E-6C58-446F-B0FB-82EFBE43EA9F}"/>
    <cellStyle name="Calculation 5 3" xfId="1144" xr:uid="{538B84DE-7662-4365-8ECE-68F0FAC7F781}"/>
    <cellStyle name="Calculation 5 4" xfId="1233" xr:uid="{E471D509-3F2E-4670-AAB1-5A709E58630A}"/>
    <cellStyle name="Calculation 5 5" xfId="701" xr:uid="{C33A5287-228A-459B-B09C-7DD4D62C8192}"/>
    <cellStyle name="Calculation 5 6" xfId="537" xr:uid="{7AF32672-884D-49C6-931F-748574C8A401}"/>
    <cellStyle name="Calculation 5 7" xfId="2276" xr:uid="{5E28E6E9-3183-4655-9AD7-F3CA44CBE479}"/>
    <cellStyle name="Calculation 5 8" xfId="2606" xr:uid="{D54D08E9-E2CE-4487-9C33-91AFC1060DC2}"/>
    <cellStyle name="Calculation 5 9" xfId="2201" xr:uid="{E52D27C9-E4F4-4FB1-9E8F-EBE24438121B}"/>
    <cellStyle name="Calculation 6" xfId="375" xr:uid="{17390DC1-6F33-45E8-B553-7D0DBB9350E6}"/>
    <cellStyle name="Calculation 6 10" xfId="3100" xr:uid="{42E2EC31-6B3A-437E-8DA4-DECC8A07E891}"/>
    <cellStyle name="Calculation 6 2" xfId="932" xr:uid="{6E53E4BA-0B2E-49B1-BAAB-BE3B352D0214}"/>
    <cellStyle name="Calculation 6 2 2" xfId="501" xr:uid="{02E00F09-25F0-4118-BC11-AED205CEBBCE}"/>
    <cellStyle name="Calculation 6 2 3" xfId="1315" xr:uid="{29FF5274-D5E4-4246-BBB3-3B8B27E4AA7B}"/>
    <cellStyle name="Calculation 6 2 4" xfId="1298" xr:uid="{55A90A59-EEE0-4C65-8C1D-8136998BF097}"/>
    <cellStyle name="Calculation 6 2 5" xfId="1634" xr:uid="{061B436C-EB03-4E3F-B89A-9DBF55BFDCC9}"/>
    <cellStyle name="Calculation 6 2 6" xfId="2422" xr:uid="{1DEB85EF-F613-4F56-8251-88B6FBC7F86C}"/>
    <cellStyle name="Calculation 6 2 7" xfId="2745" xr:uid="{C7A41B9C-8798-4EB1-8F62-529CE9DE79ED}"/>
    <cellStyle name="Calculation 6 2 8" xfId="2637" xr:uid="{186A6003-8E82-4C22-BDB3-6554F965FBF4}"/>
    <cellStyle name="Calculation 6 2 9" xfId="2841" xr:uid="{7012A47C-D947-4840-89B0-F8A821A25D96}"/>
    <cellStyle name="Calculation 6 3" xfId="544" xr:uid="{9D09D123-83CE-4DC2-ACC1-BD385E09758B}"/>
    <cellStyle name="Calculation 6 4" xfId="1190" xr:uid="{9C34C7BF-4B72-4E6C-9CE3-9DB58B87150B}"/>
    <cellStyle name="Calculation 6 5" xfId="1503" xr:uid="{3632E5A7-7BC0-43F2-9E2C-B8A65DA492C8}"/>
    <cellStyle name="Calculation 6 6" xfId="667" xr:uid="{53B92C95-A69E-461E-8257-11BF900E57BD}"/>
    <cellStyle name="Calculation 6 7" xfId="1835" xr:uid="{5976EC29-0458-4419-B7B0-74A8D64CF5C8}"/>
    <cellStyle name="Calculation 6 8" xfId="1969" xr:uid="{C84286D4-5F26-4A9D-9BB2-973E1ADD7066}"/>
    <cellStyle name="Calculation 6 9" xfId="2852" xr:uid="{8D9E4E92-98CB-43E4-9A75-B584B8F8CC31}"/>
    <cellStyle name="Calculation 7" xfId="445" xr:uid="{3515B149-F66B-4DE0-86E9-C32CFA25702C}"/>
    <cellStyle name="Calculation 7 10" xfId="3067" xr:uid="{CA90C079-3585-412F-97C5-D853F48537AC}"/>
    <cellStyle name="Calculation 7 2" xfId="998" xr:uid="{C9974466-DFB6-47F6-AD5B-6E94463C23BF}"/>
    <cellStyle name="Calculation 7 2 2" xfId="1037" xr:uid="{53DF1D10-3643-43A2-86DA-FCAE60098236}"/>
    <cellStyle name="Calculation 7 2 3" xfId="1380" xr:uid="{1E534EBF-E5C6-444D-B2A4-9FAF7E1310EC}"/>
    <cellStyle name="Calculation 7 2 4" xfId="1551" xr:uid="{6079D487-9107-43D5-82B9-9A4047F74694}"/>
    <cellStyle name="Calculation 7 2 5" xfId="1698" xr:uid="{A4A2E3F0-9CB5-4049-994C-9901C460AB1F}"/>
    <cellStyle name="Calculation 7 2 6" xfId="2487" xr:uid="{27416ABC-CAA2-490E-B520-53FCAFFAC1FB}"/>
    <cellStyle name="Calculation 7 2 7" xfId="2809" xr:uid="{B369146E-48B4-4083-84D4-620B5AF33147}"/>
    <cellStyle name="Calculation 7 2 8" xfId="1944" xr:uid="{A4046D4A-E16E-4525-8F35-3E7FF1C3F864}"/>
    <cellStyle name="Calculation 7 2 9" xfId="3130" xr:uid="{0913D808-14C5-4C0E-92F5-340D9F38804B}"/>
    <cellStyle name="Calculation 7 3" xfId="826" xr:uid="{CEF3190C-A2B6-4BAD-9D61-A85D848BA72A}"/>
    <cellStyle name="Calculation 7 4" xfId="1259" xr:uid="{FE25C297-F9A6-4292-AE4B-F8370BF742B8}"/>
    <cellStyle name="Calculation 7 5" xfId="1531" xr:uid="{04D8BEFD-78B7-4459-81C5-8E6B71962D04}"/>
    <cellStyle name="Calculation 7 6" xfId="1598" xr:uid="{4327FF70-6E50-43BC-AC76-D5A5CCF38A6C}"/>
    <cellStyle name="Calculation 7 7" xfId="1731" xr:uid="{80E9B6CF-B67F-48AE-B61A-9A197E4B05A2}"/>
    <cellStyle name="Calculation 7 8" xfId="1917" xr:uid="{5601B302-B4E2-4450-BF3E-3CF4CAF05EC0}"/>
    <cellStyle name="Calculation 7 9" xfId="2994" xr:uid="{071F15F3-52C0-48D9-B5E6-F6304652D2A2}"/>
    <cellStyle name="Calculation 8" xfId="386" xr:uid="{35FD5CE2-04C6-4DAA-9B23-7870F9F9C489}"/>
    <cellStyle name="Calculation 8 10" xfId="3060" xr:uid="{C83C5115-4377-4106-A286-D043AB2B3C33}"/>
    <cellStyle name="Calculation 8 2" xfId="943" xr:uid="{613FE80A-9EBB-48F6-BD09-837F4CC0F450}"/>
    <cellStyle name="Calculation 8 2 2" xfId="784" xr:uid="{77355CC1-6F30-4E3A-BAB7-7714DA4F5D88}"/>
    <cellStyle name="Calculation 8 2 3" xfId="1326" xr:uid="{526294D5-9CBA-4345-B033-92AFCB615B05}"/>
    <cellStyle name="Calculation 8 2 4" xfId="1110" xr:uid="{A61EE820-D8D1-4236-A3A6-80023B77FAEB}"/>
    <cellStyle name="Calculation 8 2 5" xfId="1645" xr:uid="{60025071-09CA-485E-A569-2D81653CE3AB}"/>
    <cellStyle name="Calculation 8 2 6" xfId="2433" xr:uid="{E51CCD67-0519-4772-AA05-0F045F383F75}"/>
    <cellStyle name="Calculation 8 2 7" xfId="2756" xr:uid="{16A66860-6773-4A0B-8CD6-0AE20E48375D}"/>
    <cellStyle name="Calculation 8 2 8" xfId="2084" xr:uid="{38F05EFB-0F51-4A34-94DE-74A97185C033}"/>
    <cellStyle name="Calculation 8 2 9" xfId="1886" xr:uid="{2A57B0FF-B4DE-46D0-9D10-AB8E06D76705}"/>
    <cellStyle name="Calculation 8 3" xfId="568" xr:uid="{93C9C97C-C399-4827-A262-F86878B6B389}"/>
    <cellStyle name="Calculation 8 4" xfId="1201" xr:uid="{C985ED5E-A896-4024-BC95-7A6FF9CBC7CC}"/>
    <cellStyle name="Calculation 8 5" xfId="1451" xr:uid="{D536EB3D-6A4F-4737-B546-7C38078FD9D6}"/>
    <cellStyle name="Calculation 8 6" xfId="1134" xr:uid="{86DA37C3-2C0E-42B2-B16E-AC74F7F5EC70}"/>
    <cellStyle name="Calculation 8 7" xfId="2231" xr:uid="{71656391-91C9-4F96-9C3A-27900C5C2F49}"/>
    <cellStyle name="Calculation 8 8" xfId="2543" xr:uid="{EA47C342-0DC6-48D5-9B6A-ED2A64D73F51}"/>
    <cellStyle name="Calculation 8 9" xfId="2858" xr:uid="{7FCBA0B1-D35F-4571-9504-DF07DC87E9F7}"/>
    <cellStyle name="Calculation 9" xfId="442" xr:uid="{71E05706-8A27-4A79-A77E-7E346C0EB10C}"/>
    <cellStyle name="Calculation 9 10" xfId="2581" xr:uid="{E12C20E1-7F38-4D19-B8ED-8088D91E0655}"/>
    <cellStyle name="Calculation 9 2" xfId="995" xr:uid="{34D24207-11E7-464C-8B15-32EB8582D095}"/>
    <cellStyle name="Calculation 9 2 2" xfId="1042" xr:uid="{F0E7AAA2-797C-465A-9B14-DC58812C6AB3}"/>
    <cellStyle name="Calculation 9 2 3" xfId="1377" xr:uid="{F3A07189-E263-4F4B-9C94-23A291531074}"/>
    <cellStyle name="Calculation 9 2 4" xfId="1548" xr:uid="{5D9ABA26-9164-4600-A0B6-CF5EB1E2BA7E}"/>
    <cellStyle name="Calculation 9 2 5" xfId="1695" xr:uid="{9F0DCAF2-058C-4252-B8D4-4A7C82E25222}"/>
    <cellStyle name="Calculation 9 2 6" xfId="2484" xr:uid="{ABC7603A-FB3C-42FE-A4BB-B930D28F2E06}"/>
    <cellStyle name="Calculation 9 2 7" xfId="2806" xr:uid="{1505E0B8-2312-4848-9E00-66CF69C3A403}"/>
    <cellStyle name="Calculation 9 2 8" xfId="2395" xr:uid="{AB4B1B1F-08E7-4990-9320-324E7BDF0238}"/>
    <cellStyle name="Calculation 9 2 9" xfId="3127" xr:uid="{CC6ECCF3-9DA1-4616-A0E2-74A4995B7E5D}"/>
    <cellStyle name="Calculation 9 3" xfId="588" xr:uid="{EFD8EF0D-7C57-47E1-AC88-98C2C0CEAF9C}"/>
    <cellStyle name="Calculation 9 4" xfId="1256" xr:uid="{8E025067-A220-41A8-8B2B-C6C589976749}"/>
    <cellStyle name="Calculation 9 5" xfId="1535" xr:uid="{13707AAE-0989-4A83-9BD0-68DAF52DEFFF}"/>
    <cellStyle name="Calculation 9 6" xfId="1595" xr:uid="{10647EB8-DAAE-4C79-AF25-15D5432913F0}"/>
    <cellStyle name="Calculation 9 7" xfId="1728" xr:uid="{026FF716-875D-4797-9FB2-BF06C9741C32}"/>
    <cellStyle name="Calculation 9 8" xfId="1804" xr:uid="{A0A0B7AC-A6EA-46E0-9EE6-1A160D0640B4}"/>
    <cellStyle name="Calculation 9 9" xfId="2990" xr:uid="{7423E784-58F7-4AEC-873F-15E28F0079E5}"/>
    <cellStyle name="Check Cell" xfId="27" builtinId="23" customBuiltin="1"/>
    <cellStyle name="Check Cell 2" xfId="273" xr:uid="{F8BEBFD0-0107-40BB-B560-1E0AF9D7563C}"/>
    <cellStyle name="Check Cell 2 2" xfId="5930" xr:uid="{4EA6688B-FAA4-4F29-8D34-72C50D6D9E70}"/>
    <cellStyle name="Check Cell 3" xfId="5931" xr:uid="{BFDA66E1-8380-4096-9C99-BD05E526BEFE}"/>
    <cellStyle name="Check Cell 4" xfId="3166" xr:uid="{AFBBD823-06C8-4B0E-9752-1C672C65B1DF}"/>
    <cellStyle name="CodeEingabe" xfId="145" xr:uid="{0168A579-45E4-4CC0-BD7A-84048147D3F5}"/>
    <cellStyle name="ColumnAttributeAbovePrompt" xfId="28" xr:uid="{00000000-0005-0000-0000-00001B000000}"/>
    <cellStyle name="ColumnAttributeAbovePrompt 2" xfId="146" xr:uid="{302DE962-3E40-4E96-A889-1183B8991A32}"/>
    <cellStyle name="ColumnAttributeAbovePrompt 3" xfId="5932" xr:uid="{1A45AE20-BD5D-4A5A-B9AB-A74F3C127C59}"/>
    <cellStyle name="ColumnAttributeAbovePrompt 4" xfId="96" xr:uid="{A386B57A-0941-4B1A-8F0B-07E0B570853D}"/>
    <cellStyle name="ColumnAttributeAbovePrompt_Jurisdictional Study" xfId="9673" xr:uid="{45D8A121-E188-4D43-B90E-51089054371D}"/>
    <cellStyle name="ColumnAttributePrompt" xfId="29" xr:uid="{00000000-0005-0000-0000-00001C000000}"/>
    <cellStyle name="ColumnAttributePrompt 2" xfId="147" xr:uid="{290EB64B-49DE-437E-A678-AFAFA7FCD99B}"/>
    <cellStyle name="ColumnAttributePrompt 3" xfId="5933" xr:uid="{D70B7EC4-4D56-4D05-913B-3A294680CA0D}"/>
    <cellStyle name="ColumnAttributePrompt 4" xfId="97" xr:uid="{9BCC50FF-2A0F-467C-9FA4-1F368A293FF0}"/>
    <cellStyle name="ColumnAttributePrompt_Jurisdictional Study" xfId="9674" xr:uid="{6E032717-2B20-4992-AACC-65F71C87A0C0}"/>
    <cellStyle name="ColumnAttributeValue" xfId="30" xr:uid="{00000000-0005-0000-0000-00001D000000}"/>
    <cellStyle name="ColumnAttributeValue 2" xfId="148" xr:uid="{3D892D14-5426-4577-B5CA-45353FE86D3D}"/>
    <cellStyle name="ColumnAttributeValue 3" xfId="5934" xr:uid="{906E9C3F-0C5E-4CB6-AA81-FB1BA1E34B2F}"/>
    <cellStyle name="ColumnAttributeValue 4" xfId="98" xr:uid="{43907788-9E87-4066-B9B8-AE57969B1B85}"/>
    <cellStyle name="ColumnAttributeValue_Jurisdictional Study" xfId="9675" xr:uid="{68A47CB1-F86C-4442-9CEF-FA47CC55E00C}"/>
    <cellStyle name="ColumnHeadingPrompt" xfId="31" xr:uid="{00000000-0005-0000-0000-00001E000000}"/>
    <cellStyle name="ColumnHeadingPrompt 2" xfId="149" xr:uid="{E66C7479-39C1-4E3E-BB62-11A96F4B16B6}"/>
    <cellStyle name="ColumnHeadingPrompt 3" xfId="5935" xr:uid="{7FFACB2F-5E6E-4DE5-9629-F520A17FE97A}"/>
    <cellStyle name="ColumnHeadingPrompt 4" xfId="99" xr:uid="{8527E6FC-C296-472D-9D4B-BCDE63DC3A4E}"/>
    <cellStyle name="ColumnHeadingPrompt_Jurisdictional Study" xfId="9676" xr:uid="{8BFBC8CF-45BB-487F-9A38-43D13CB31097}"/>
    <cellStyle name="ColumnHeadingValue" xfId="32" xr:uid="{00000000-0005-0000-0000-00001F000000}"/>
    <cellStyle name="ColumnHeadingValue 2" xfId="150" xr:uid="{E28C9130-4F6B-485F-B71E-3919AE88D287}"/>
    <cellStyle name="ColumnHeadingValue 3" xfId="5936" xr:uid="{E19771BE-1992-42F5-AF2F-754C9413F359}"/>
    <cellStyle name="ColumnHeadingValue 4" xfId="100" xr:uid="{894C6448-6E94-4357-AB2F-50463BC77A2D}"/>
    <cellStyle name="ColumnHeadingValue_Jurisdictional Study" xfId="9677" xr:uid="{565F7B9B-A58C-40EC-98DD-139B6A6F4915}"/>
    <cellStyle name="Comma" xfId="33" builtinId="3"/>
    <cellStyle name="Comma [0] 2" xfId="5937" xr:uid="{B2441575-7A03-480C-8888-0A1D4201D0BA}"/>
    <cellStyle name="Comma [0] 2 2" xfId="5938" xr:uid="{D9CF5141-BD2F-4645-A002-F8BFD216323D}"/>
    <cellStyle name="Comma [0] 3" xfId="5939" xr:uid="{AE59BC98-BC12-4DF0-B45A-3E0F9D852E09}"/>
    <cellStyle name="Comma [0] 3 2" xfId="5940" xr:uid="{AE0058EA-BFB8-4C63-806D-2E9A5EB96ED8}"/>
    <cellStyle name="Comma [0] 4" xfId="5941" xr:uid="{EEF094F2-50F7-4AA4-8D5F-B509006A46B9}"/>
    <cellStyle name="Comma [0] 4 2" xfId="5942" xr:uid="{5ABB3972-578D-4F0A-8DF7-B11E741281BD}"/>
    <cellStyle name="Comma [0] 5" xfId="5943" xr:uid="{D5888025-171F-4F53-A765-66654231D0D9}"/>
    <cellStyle name="Comma [0] 5 2" xfId="5944" xr:uid="{D3842834-512E-47FF-AFB2-87C1298103F8}"/>
    <cellStyle name="Comma 10" xfId="3199" xr:uid="{DC54A271-EEB4-417B-A893-3F71E4C52741}"/>
    <cellStyle name="Comma 10 2" xfId="5946" xr:uid="{D66D5278-9320-4BD7-A5B8-F3F6D38A0880}"/>
    <cellStyle name="Comma 10 2 2" xfId="5947" xr:uid="{59D20AA8-A1E7-43A0-A1D6-A640C43D5EDE}"/>
    <cellStyle name="Comma 10 2 2 2" xfId="5948" xr:uid="{0C0D1287-E9C3-45E5-AC52-25EB7816921E}"/>
    <cellStyle name="Comma 10 2 2 2 2" xfId="5949" xr:uid="{D2C701BC-5848-4AEF-8427-AC4CD476151A}"/>
    <cellStyle name="Comma 10 2 2 2 2 2" xfId="5950" xr:uid="{9985AC03-EA5E-4361-9822-22E199E85031}"/>
    <cellStyle name="Comma 10 2 2 2 2 2 2" xfId="5951" xr:uid="{23D3DCE1-9166-474F-8BFC-CA1ABAE6B08F}"/>
    <cellStyle name="Comma 10 2 2 2 2 3" xfId="5952" xr:uid="{F4456BBA-890C-4FC3-9820-A8BD48F7C0C8}"/>
    <cellStyle name="Comma 10 2 2 2 3" xfId="5953" xr:uid="{4AD5C0C8-8FBD-4BC8-8208-C4417CE4FDC0}"/>
    <cellStyle name="Comma 10 2 2 2 3 2" xfId="5954" xr:uid="{A7E91E61-D38D-4651-97AA-FEBC4D86E8E9}"/>
    <cellStyle name="Comma 10 2 2 2 4" xfId="5955" xr:uid="{682CAF75-7ABF-4923-815B-9B1B5AB3A15D}"/>
    <cellStyle name="Comma 10 2 2 3" xfId="5956" xr:uid="{41EFA1C5-95B3-49B9-AF09-EC796957AC69}"/>
    <cellStyle name="Comma 10 2 2 3 2" xfId="5957" xr:uid="{0A665283-EE77-4030-A2C3-8A7BB5B2B8F8}"/>
    <cellStyle name="Comma 10 2 2 3 2 2" xfId="5958" xr:uid="{0F203953-9F08-4A05-9599-447C62655B0C}"/>
    <cellStyle name="Comma 10 2 2 3 3" xfId="5959" xr:uid="{6749F456-CE22-468A-81D5-F6B00EE41D84}"/>
    <cellStyle name="Comma 10 2 2 4" xfId="5960" xr:uid="{7E0221BE-5666-423E-8AF6-11207C2CACDC}"/>
    <cellStyle name="Comma 10 2 2 4 2" xfId="5961" xr:uid="{818F750F-F4A9-4333-881B-D8029E4711AE}"/>
    <cellStyle name="Comma 10 2 2 5" xfId="5962" xr:uid="{943E4889-5B9A-42C0-8CE5-7D86DDC54870}"/>
    <cellStyle name="Comma 10 2 3" xfId="5963" xr:uid="{EA4955E6-4DB1-4E8D-8716-B051CEDA71EC}"/>
    <cellStyle name="Comma 10 2 3 2" xfId="5964" xr:uid="{72D497BB-547E-4F96-A63E-AE6F8902C0AF}"/>
    <cellStyle name="Comma 10 2 3 2 2" xfId="5965" xr:uid="{A9D93C4E-4517-4AB0-8394-D04A18DD6441}"/>
    <cellStyle name="Comma 10 2 3 2 2 2" xfId="5966" xr:uid="{6082C543-1A70-423A-9987-C7A873A3DEF5}"/>
    <cellStyle name="Comma 10 2 3 2 3" xfId="5967" xr:uid="{09BFC410-3524-43BC-81B2-7B007B842889}"/>
    <cellStyle name="Comma 10 2 3 3" xfId="5968" xr:uid="{FEB91510-823E-4B55-B50E-64C2B5BC5A17}"/>
    <cellStyle name="Comma 10 2 3 3 2" xfId="5969" xr:uid="{132EE936-6B4E-4A5C-B8A1-F69B6B7EE592}"/>
    <cellStyle name="Comma 10 2 3 4" xfId="5970" xr:uid="{A987B19C-EA42-47C1-9EA2-0F8336B38D80}"/>
    <cellStyle name="Comma 10 2 4" xfId="5971" xr:uid="{FF095C90-1BD6-4597-BE0E-0BB8162F8191}"/>
    <cellStyle name="Comma 10 2 4 2" xfId="5972" xr:uid="{D5330833-1FC5-4243-B9F6-A4C445D92F52}"/>
    <cellStyle name="Comma 10 2 4 2 2" xfId="5973" xr:uid="{2423845B-24B1-493D-8D96-767579B912C3}"/>
    <cellStyle name="Comma 10 2 4 3" xfId="5974" xr:uid="{697A9693-143B-4643-909A-AF80C86C1E5D}"/>
    <cellStyle name="Comma 10 2 5" xfId="5975" xr:uid="{80F05177-0638-4A98-9510-1C2A14EC93B2}"/>
    <cellStyle name="Comma 10 2 5 2" xfId="5976" xr:uid="{A148C991-E717-4598-871F-9B4F9B870C19}"/>
    <cellStyle name="Comma 10 2 6" xfId="5977" xr:uid="{6CC144F5-32DC-4696-B049-F4A245B76AD7}"/>
    <cellStyle name="Comma 10 3" xfId="5978" xr:uid="{3943A23F-FD48-4F5E-9D99-6B659F840B76}"/>
    <cellStyle name="Comma 10 3 2" xfId="5979" xr:uid="{29B43E0C-AE59-414F-9D75-5D03BEDFF13C}"/>
    <cellStyle name="Comma 10 3 2 2" xfId="5980" xr:uid="{D81EAD1E-F705-41B7-B894-FE70550DD2CA}"/>
    <cellStyle name="Comma 10 3 2 2 2" xfId="5981" xr:uid="{7A7161BE-4BDD-4EC2-BBC7-42325209DCED}"/>
    <cellStyle name="Comma 10 3 2 2 2 2" xfId="5982" xr:uid="{F3B84791-6A8C-4733-8DC4-0BD1728BCB2D}"/>
    <cellStyle name="Comma 10 3 2 2 3" xfId="5983" xr:uid="{865656EC-953F-48C2-BBEC-E15093E0AF39}"/>
    <cellStyle name="Comma 10 3 2 3" xfId="5984" xr:uid="{63DC235F-8CD3-4D77-A5C2-19273A7EF513}"/>
    <cellStyle name="Comma 10 3 2 3 2" xfId="5985" xr:uid="{1E4AA2FB-08CB-4E9E-A6B3-2ADC9BF5F1F6}"/>
    <cellStyle name="Comma 10 3 2 4" xfId="5986" xr:uid="{E61A1E8F-D4C4-4220-9B3C-260796CCFE53}"/>
    <cellStyle name="Comma 10 3 3" xfId="5987" xr:uid="{6D96B356-B553-496D-92A1-563364F6787C}"/>
    <cellStyle name="Comma 10 3 3 2" xfId="5988" xr:uid="{A764200F-99EA-4E2E-A295-765D29F5AC82}"/>
    <cellStyle name="Comma 10 3 3 2 2" xfId="5989" xr:uid="{B16A8A6A-4BC0-4BE1-8C09-AE7268701C41}"/>
    <cellStyle name="Comma 10 3 3 3" xfId="5990" xr:uid="{8D863F4C-C2B4-4A3D-A855-ADE55440925D}"/>
    <cellStyle name="Comma 10 3 4" xfId="5991" xr:uid="{4E281490-27CC-4339-BE05-FB3E2B2E3872}"/>
    <cellStyle name="Comma 10 3 4 2" xfId="5992" xr:uid="{F463F7EA-89BA-4D2D-A71C-6FEC37C5A305}"/>
    <cellStyle name="Comma 10 3 5" xfId="5993" xr:uid="{9E5B2B28-AA84-4D9E-98E7-55FA6CCE8640}"/>
    <cellStyle name="Comma 10 4" xfId="5994" xr:uid="{C432C488-8F17-4CF0-AF73-36B017854F55}"/>
    <cellStyle name="Comma 10 4 2" xfId="5995" xr:uid="{F21E2ED9-B650-4B44-B362-6331C3FAF559}"/>
    <cellStyle name="Comma 10 4 2 2" xfId="5996" xr:uid="{95C47348-F46A-4455-B526-E9FD259163E1}"/>
    <cellStyle name="Comma 10 4 2 2 2" xfId="5997" xr:uid="{430E52AF-4648-4C6A-A70A-E5EC1AA9D8D2}"/>
    <cellStyle name="Comma 10 4 2 3" xfId="5998" xr:uid="{A122C69F-71EF-47A1-A518-D3DC0443A24C}"/>
    <cellStyle name="Comma 10 4 3" xfId="5999" xr:uid="{4CE2F3EA-3787-488F-9127-5B9A80C3CE84}"/>
    <cellStyle name="Comma 10 4 3 2" xfId="6000" xr:uid="{11CF1D29-B430-4DCB-92F1-8255C3339C58}"/>
    <cellStyle name="Comma 10 4 4" xfId="6001" xr:uid="{9544FFA6-6CE1-461A-AB8B-7F771E0F4F87}"/>
    <cellStyle name="Comma 10 5" xfId="6002" xr:uid="{3F4AA264-A29E-49F0-B399-333F5D6DA119}"/>
    <cellStyle name="Comma 10 5 2" xfId="6003" xr:uid="{B3723CF3-CC34-4A0E-B1E7-86BEEAB7B24D}"/>
    <cellStyle name="Comma 10 5 2 2" xfId="6004" xr:uid="{D9FE2F5F-14C0-482A-9648-989F3B9FFDCB}"/>
    <cellStyle name="Comma 10 5 3" xfId="6005" xr:uid="{EE975A1D-F18A-4D31-B54F-ADB12BB35790}"/>
    <cellStyle name="Comma 10 6" xfId="6006" xr:uid="{75FBF32F-2765-45D4-B05B-82E307B2C276}"/>
    <cellStyle name="Comma 10 6 2" xfId="6007" xr:uid="{1BBE0400-C0D7-476E-A6EB-2533460E8A22}"/>
    <cellStyle name="Comma 10 7" xfId="6008" xr:uid="{A56B55A3-D1D5-4D76-8FBB-80E49640DD49}"/>
    <cellStyle name="Comma 10 8" xfId="5945" xr:uid="{BE8973B7-C39D-4E7D-A3D6-85329CC41403}"/>
    <cellStyle name="Comma 10 9" xfId="8335" xr:uid="{23DCE531-8F0D-4B16-B220-3581292E1AF9}"/>
    <cellStyle name="Comma 11" xfId="6009" xr:uid="{0ECA270F-3976-44A1-B2D1-C2ED920FEBE9}"/>
    <cellStyle name="Comma 118" xfId="8372" xr:uid="{FF47BC31-C346-4F1D-B646-9B99C7038619}"/>
    <cellStyle name="Comma 12" xfId="6010" xr:uid="{31DFD02A-C55D-4AE7-ABDB-9A7F2364A22F}"/>
    <cellStyle name="Comma 12 2" xfId="8336" xr:uid="{E226480D-ABFD-43CF-BD9B-CBD9CB63FE5A}"/>
    <cellStyle name="Comma 13" xfId="6011" xr:uid="{BB7EB566-6977-4DB7-9CF3-0974FE55705D}"/>
    <cellStyle name="Comma 14" xfId="6012" xr:uid="{A02AA1A2-C831-4155-918E-0E5E3688CB2C}"/>
    <cellStyle name="Comma 14 2" xfId="8369" xr:uid="{FE11BDC5-C35C-459F-A589-93C001A46DC6}"/>
    <cellStyle name="Comma 15" xfId="6013" xr:uid="{02FC852B-9241-4C19-ADE2-568C3FA212B2}"/>
    <cellStyle name="Comma 16" xfId="6014" xr:uid="{B9B0E719-7208-45DD-A86F-99552B5C5B87}"/>
    <cellStyle name="Comma 16 2" xfId="6015" xr:uid="{ACE5A21F-839B-45B3-8C4B-636A43685666}"/>
    <cellStyle name="Comma 17" xfId="6016" xr:uid="{0930D2F0-4B14-4F85-98FA-544E533BCB8F}"/>
    <cellStyle name="Comma 17 2" xfId="6017" xr:uid="{5AE5E966-9E51-42ED-9B85-D31F76DE1F4E}"/>
    <cellStyle name="Comma 18" xfId="6018" xr:uid="{6D955B09-A9EF-4BFA-B3C8-0E0E78E2BEFB}"/>
    <cellStyle name="Comma 18 2" xfId="6019" xr:uid="{3366245C-B68E-44C1-8D83-20802D93B9D3}"/>
    <cellStyle name="Comma 19" xfId="6020" xr:uid="{1EB1C237-13A9-4562-8EBD-5D502402C742}"/>
    <cellStyle name="Comma 19 2" xfId="6021" xr:uid="{488C582A-6993-43C1-99B0-554D045D4B95}"/>
    <cellStyle name="Comma 2" xfId="102" xr:uid="{4A62D75F-7EDC-4331-A256-1C2E8EB52B7D}"/>
    <cellStyle name="Comma 2 10" xfId="6023" xr:uid="{6B8FA777-E0D5-4B75-8503-939E73C08183}"/>
    <cellStyle name="Comma 2 10 2" xfId="6024" xr:uid="{BC44B433-9688-4DE4-92C9-6A3C47163342}"/>
    <cellStyle name="Comma 2 10 2 2" xfId="6025" xr:uid="{E5A35BA8-E699-4ADF-9B8E-AD5424E9CB2C}"/>
    <cellStyle name="Comma 2 10 3" xfId="6026" xr:uid="{9E84EE8F-AE20-4E13-BDE3-F4707BF3395A}"/>
    <cellStyle name="Comma 2 11" xfId="6027" xr:uid="{F9EE8F7E-731E-4312-A1C9-7370B4973BCE}"/>
    <cellStyle name="Comma 2 11 2" xfId="6028" xr:uid="{AE32B3AD-9AF3-4817-A135-D78D24830554}"/>
    <cellStyle name="Comma 2 12" xfId="6029" xr:uid="{57946059-F8A5-49FD-A1C0-D1D79EAE3471}"/>
    <cellStyle name="Comma 2 12 2" xfId="6030" xr:uid="{E38EF7DD-4857-4385-A857-B2BCC2698AC3}"/>
    <cellStyle name="Comma 2 13" xfId="6031" xr:uid="{0D96F5E2-6ECB-4F89-9F51-78BF6A310540}"/>
    <cellStyle name="Comma 2 14" xfId="6022" xr:uid="{4FED8239-388D-46CA-A08B-C391FB6421F4}"/>
    <cellStyle name="Comma 2 15" xfId="8337" xr:uid="{4F81927C-66D6-4166-A86D-5FBC63F2ECFC}"/>
    <cellStyle name="Comma 2 2" xfId="312" xr:uid="{F27E840E-1048-4113-BD85-4E4306DB19A2}"/>
    <cellStyle name="Comma 2 2 2" xfId="448" xr:uid="{ACB83CD1-143F-4594-AE64-A83B06EBF666}"/>
    <cellStyle name="Comma 2 2 2 2" xfId="704" xr:uid="{CDA280DB-259C-4DE2-9146-F28A832F6EBA}"/>
    <cellStyle name="Comma 2 2 2 2 2" xfId="2105" xr:uid="{A939DDE6-5557-43E2-9073-852BFC6D99F5}"/>
    <cellStyle name="Comma 2 2 2 3" xfId="1987" xr:uid="{52D30DEC-6AB9-4520-982A-9169213D1D86}"/>
    <cellStyle name="Comma 2 2 2 4" xfId="6032" xr:uid="{E2CEF92F-4C55-4646-A424-BB555B81FE0A}"/>
    <cellStyle name="Comma 2 2 3" xfId="6033" xr:uid="{F70F0A5B-9828-426D-BEA7-4AA1C880E016}"/>
    <cellStyle name="Comma 2 3" xfId="152" xr:uid="{5EE70640-A16B-4E61-BCAE-42B05A8CAE9E}"/>
    <cellStyle name="Comma 2 3 2" xfId="436" xr:uid="{D3ECECD5-0639-4FAF-BE72-C7AAE2A5E764}"/>
    <cellStyle name="Comma 2 3 2 2" xfId="990" xr:uid="{A288FA99-8C71-457D-AB33-B5B30D81C79F}"/>
    <cellStyle name="Comma 2 3 2 2 2" xfId="6037" xr:uid="{1F31A472-ACFF-4D8A-A3F5-29DEACCFFC9C}"/>
    <cellStyle name="Comma 2 3 2 2 2 2" xfId="6038" xr:uid="{3806EA54-E56D-41FC-A935-914DE742FDEB}"/>
    <cellStyle name="Comma 2 3 2 2 2 2 2" xfId="6039" xr:uid="{4622BDF5-373A-4E20-83A4-3CDEFCEBFBA8}"/>
    <cellStyle name="Comma 2 3 2 2 2 3" xfId="6040" xr:uid="{FD872136-5189-4A93-81B9-AC4AC29F0795}"/>
    <cellStyle name="Comma 2 3 2 2 3" xfId="6041" xr:uid="{015AF560-520C-443F-9B53-C00225002447}"/>
    <cellStyle name="Comma 2 3 2 2 3 2" xfId="6042" xr:uid="{68279793-C14A-4122-B85F-142A3640E697}"/>
    <cellStyle name="Comma 2 3 2 2 4" xfId="6043" xr:uid="{0D43419B-528C-4E9B-A761-54807B9911F4}"/>
    <cellStyle name="Comma 2 3 2 2 5" xfId="6036" xr:uid="{F5DEF838-8638-46AF-828C-3059DA6BFA10}"/>
    <cellStyle name="Comma 2 3 2 3" xfId="2097" xr:uid="{FC5718FC-88FA-48B1-9CDA-FACE139038E1}"/>
    <cellStyle name="Comma 2 3 2 3 2" xfId="6045" xr:uid="{41DC70A5-394E-42C0-AA08-660C49DEFB20}"/>
    <cellStyle name="Comma 2 3 2 3 2 2" xfId="6046" xr:uid="{CD6BEC5B-C5C2-4315-8D2F-C8764FC4ED74}"/>
    <cellStyle name="Comma 2 3 2 3 3" xfId="6047" xr:uid="{97AA9969-44B2-4FA0-83C2-16F114DED9CD}"/>
    <cellStyle name="Comma 2 3 2 3 4" xfId="6044" xr:uid="{E370F27D-4E12-4787-B2F0-6DAC515F8F4F}"/>
    <cellStyle name="Comma 2 3 2 4" xfId="6048" xr:uid="{0936D0C8-2CE5-414C-A8FB-3D3E688FF5D1}"/>
    <cellStyle name="Comma 2 3 2 4 2" xfId="6049" xr:uid="{DDADCFF8-D56E-476E-84AE-687EC59610EB}"/>
    <cellStyle name="Comma 2 3 2 5" xfId="6050" xr:uid="{BCDE8C36-176A-40E1-A874-C531001A92A0}"/>
    <cellStyle name="Comma 2 3 2 6" xfId="6035" xr:uid="{BCF31523-04F6-415E-ABEB-FB4479CEC9D2}"/>
    <cellStyle name="Comma 2 3 3" xfId="696" xr:uid="{EC0375C4-BC4C-4F99-9D8C-B142B0ED280E}"/>
    <cellStyle name="Comma 2 3 3 2" xfId="6052" xr:uid="{2F084F0E-BE63-4FC7-AFF8-7C83696F103F}"/>
    <cellStyle name="Comma 2 3 3 2 2" xfId="6053" xr:uid="{70D3048A-062B-470C-B93F-206267129685}"/>
    <cellStyle name="Comma 2 3 3 2 2 2" xfId="6054" xr:uid="{61C8F2F5-4231-4A1E-8D18-DCED42018871}"/>
    <cellStyle name="Comma 2 3 3 2 3" xfId="6055" xr:uid="{D29DC201-97DB-499A-8E5A-94BA609905DE}"/>
    <cellStyle name="Comma 2 3 3 3" xfId="6056" xr:uid="{99C69F8F-8F2A-43C6-A37B-52F3464E946D}"/>
    <cellStyle name="Comma 2 3 3 3 2" xfId="6057" xr:uid="{12D96A57-C466-43C4-9DA6-4A79484B32CB}"/>
    <cellStyle name="Comma 2 3 3 4" xfId="6058" xr:uid="{EBE1A2C3-7AE5-4112-A043-0A0C191407DF}"/>
    <cellStyle name="Comma 2 3 3 5" xfId="6051" xr:uid="{37BB8559-69B1-4C62-A4BC-AD12A1D81DC0}"/>
    <cellStyle name="Comma 2 3 4" xfId="1977" xr:uid="{B75988CC-14B7-422D-9369-D7FB271A05F0}"/>
    <cellStyle name="Comma 2 3 4 2" xfId="6060" xr:uid="{EC93E306-7C9B-4F89-B550-DF9E422E4FF6}"/>
    <cellStyle name="Comma 2 3 4 2 2" xfId="6061" xr:uid="{9FF1E2E9-8570-4EAD-9AE6-0ED2C7A2C45C}"/>
    <cellStyle name="Comma 2 3 4 3" xfId="6062" xr:uid="{E1A168A0-90FF-44F9-8081-08123EA1664E}"/>
    <cellStyle name="Comma 2 3 4 4" xfId="6059" xr:uid="{E1D0CF0D-21B8-45EB-90FA-4B9952D1A1CE}"/>
    <cellStyle name="Comma 2 3 5" xfId="6063" xr:uid="{120304EB-FCCB-4211-923F-DECA92FC3D78}"/>
    <cellStyle name="Comma 2 3 5 2" xfId="6064" xr:uid="{258D05F5-CD68-4646-9C5E-4B3E9505207A}"/>
    <cellStyle name="Comma 2 3 6" xfId="6065" xr:uid="{5D06FD54-63EA-4023-81C1-86609B245260}"/>
    <cellStyle name="Comma 2 3 7" xfId="6034" xr:uid="{71CEBD64-27EC-43EA-B67F-B53EB06AA680}"/>
    <cellStyle name="Comma 2 4" xfId="6066" xr:uid="{F3AFF7BA-083E-478A-A234-0FA38C6C17EC}"/>
    <cellStyle name="Comma 2 4 2" xfId="6067" xr:uid="{3C288F8B-D3EB-437D-B993-B651AB254943}"/>
    <cellStyle name="Comma 2 4 2 2" xfId="6068" xr:uid="{DF421FDC-2612-4E4E-9427-AC5C7F7D27B3}"/>
    <cellStyle name="Comma 2 4 2 2 2" xfId="6069" xr:uid="{995BD0EA-1BA4-4AD6-B4D5-86C70CEFB08F}"/>
    <cellStyle name="Comma 2 4 2 2 2 2" xfId="6070" xr:uid="{F6F768FA-413F-46F8-AEA6-2E9196368892}"/>
    <cellStyle name="Comma 2 4 2 2 2 2 2" xfId="6071" xr:uid="{C20B91E9-F296-4C61-850A-06F246C116A1}"/>
    <cellStyle name="Comma 2 4 2 2 2 3" xfId="6072" xr:uid="{4EC098DE-A897-4CCD-815D-32CBA6682A69}"/>
    <cellStyle name="Comma 2 4 2 2 3" xfId="6073" xr:uid="{5E040FF5-7FE7-4F76-A055-D37027B57FDF}"/>
    <cellStyle name="Comma 2 4 2 2 3 2" xfId="6074" xr:uid="{E461148B-53F3-4869-B4C2-2CC84171A415}"/>
    <cellStyle name="Comma 2 4 2 2 4" xfId="6075" xr:uid="{49A2AF7E-A68C-491B-819B-31D321D59354}"/>
    <cellStyle name="Comma 2 4 2 3" xfId="6076" xr:uid="{9193BA82-FF63-407C-A88B-027C9967A27C}"/>
    <cellStyle name="Comma 2 4 2 3 2" xfId="6077" xr:uid="{1D1C4F9B-9603-4390-B06D-4442813ED9CC}"/>
    <cellStyle name="Comma 2 4 2 3 2 2" xfId="6078" xr:uid="{0B60234F-C757-4FDC-91A7-5D90F686C498}"/>
    <cellStyle name="Comma 2 4 2 3 3" xfId="6079" xr:uid="{A75A705B-D3FC-4273-858E-82040B6773F8}"/>
    <cellStyle name="Comma 2 4 2 4" xfId="6080" xr:uid="{6B42D77D-CCE2-4F32-9B82-F4397B3237E8}"/>
    <cellStyle name="Comma 2 4 2 4 2" xfId="6081" xr:uid="{59F8DE56-6F36-4A88-A7D2-0CDF8EBF95BD}"/>
    <cellStyle name="Comma 2 4 2 5" xfId="6082" xr:uid="{B8C896A3-02BA-47A2-832F-3955D12A0C8B}"/>
    <cellStyle name="Comma 2 4 3" xfId="6083" xr:uid="{EB7742A4-38E9-42C4-9383-D7C45FC82DFF}"/>
    <cellStyle name="Comma 2 4 3 2" xfId="6084" xr:uid="{723DBAE0-B7B8-4793-9017-EECF84D9CD76}"/>
    <cellStyle name="Comma 2 4 3 2 2" xfId="6085" xr:uid="{EDB060C9-7AD3-4C79-AB3A-AF1D7AD864B2}"/>
    <cellStyle name="Comma 2 4 3 2 2 2" xfId="6086" xr:uid="{0A25C7AD-F4DB-47F9-9692-56AEAB601376}"/>
    <cellStyle name="Comma 2 4 3 2 3" xfId="6087" xr:uid="{D515AE98-D398-4593-812F-6ECC7C205427}"/>
    <cellStyle name="Comma 2 4 3 3" xfId="6088" xr:uid="{F86A6FF4-8B07-4FAA-B747-6FE049E6DDE8}"/>
    <cellStyle name="Comma 2 4 3 3 2" xfId="6089" xr:uid="{9FE2232F-DECA-479E-A1E5-50A8D9396E68}"/>
    <cellStyle name="Comma 2 4 3 4" xfId="6090" xr:uid="{27F50911-B209-4B97-A1DC-9A6DEE506C48}"/>
    <cellStyle name="Comma 2 4 4" xfId="6091" xr:uid="{A0EC4DB9-60BE-492D-9708-01A814630E97}"/>
    <cellStyle name="Comma 2 4 4 2" xfId="6092" xr:uid="{B703CD1C-8FCA-4B2F-B14E-67EEBD6A6C3B}"/>
    <cellStyle name="Comma 2 4 4 2 2" xfId="6093" xr:uid="{0DD143F5-771C-4363-B8F1-45E418E8FF3B}"/>
    <cellStyle name="Comma 2 4 4 3" xfId="6094" xr:uid="{EB3A2E79-DC4D-41CA-88EB-71C02D30C193}"/>
    <cellStyle name="Comma 2 4 5" xfId="6095" xr:uid="{D9970379-1279-4FDC-9A37-6FC2D2A824F5}"/>
    <cellStyle name="Comma 2 4 5 2" xfId="6096" xr:uid="{8A029EBA-FF31-4E20-B36D-CCF0AA57441E}"/>
    <cellStyle name="Comma 2 4 6" xfId="6097" xr:uid="{17404947-5FEC-47A9-856A-DD62CF0B8569}"/>
    <cellStyle name="Comma 2 5" xfId="6098" xr:uid="{FD955984-F0D5-4669-A10F-70B8274DE0B2}"/>
    <cellStyle name="Comma 2 5 2" xfId="6099" xr:uid="{1B66477B-061C-49B5-B3E1-DAE19B055DE7}"/>
    <cellStyle name="Comma 2 5 2 2" xfId="6100" xr:uid="{AEFA82A9-08DB-4C33-88EE-B3F902908550}"/>
    <cellStyle name="Comma 2 5 2 2 2" xfId="6101" xr:uid="{5617BA29-8DE3-42B8-91C1-41BB32AF391C}"/>
    <cellStyle name="Comma 2 5 2 2 2 2" xfId="6102" xr:uid="{81FD84BF-5625-47B9-A36B-31D3F2E78F2F}"/>
    <cellStyle name="Comma 2 5 2 2 3" xfId="6103" xr:uid="{92773961-3771-4F00-934F-43595397B181}"/>
    <cellStyle name="Comma 2 5 2 3" xfId="6104" xr:uid="{EA1F59CD-17DB-4D94-9FF8-63FF8DEC6F17}"/>
    <cellStyle name="Comma 2 5 2 3 2" xfId="6105" xr:uid="{AFC1B35F-5423-45AC-9E9F-8A17062AA204}"/>
    <cellStyle name="Comma 2 5 2 4" xfId="6106" xr:uid="{4FCC20C6-46ED-48AF-BB5F-85A4BC25FDBD}"/>
    <cellStyle name="Comma 2 5 3" xfId="6107" xr:uid="{C0B0FBEC-9830-4C70-833A-36B92A7298A9}"/>
    <cellStyle name="Comma 2 5 3 2" xfId="6108" xr:uid="{2EEEB336-14FA-4D87-B356-2B3113BFA62D}"/>
    <cellStyle name="Comma 2 5 3 2 2" xfId="6109" xr:uid="{B1C54764-3C8E-4C8A-B919-F647A82939BB}"/>
    <cellStyle name="Comma 2 5 3 3" xfId="6110" xr:uid="{5020DB8A-89B4-4991-B4A8-EF0954AA613E}"/>
    <cellStyle name="Comma 2 5 4" xfId="6111" xr:uid="{AE7A7E25-9B3E-489F-8108-4848233B7D78}"/>
    <cellStyle name="Comma 2 5 4 2" xfId="6112" xr:uid="{B7CDA896-3401-4BD9-A19B-C543C6D2E923}"/>
    <cellStyle name="Comma 2 5 5" xfId="6113" xr:uid="{308E8A09-E020-463F-9401-1F28C3C9BADB}"/>
    <cellStyle name="Comma 2 6" xfId="6114" xr:uid="{4F1BCDA1-9D4E-4C32-AE9D-51CD076976E8}"/>
    <cellStyle name="Comma 2 6 2" xfId="6115" xr:uid="{E10107FB-271F-4FD0-AD32-9A4A508BC446}"/>
    <cellStyle name="Comma 2 6 2 2" xfId="6116" xr:uid="{D732083D-FD24-43E7-BD43-87A8E5C29AE8}"/>
    <cellStyle name="Comma 2 6 2 2 2" xfId="6117" xr:uid="{E36967A9-DDC4-492E-AC0D-C6FD70D5AB02}"/>
    <cellStyle name="Comma 2 6 2 3" xfId="6118" xr:uid="{F53A8C7E-D38D-4FD2-AC71-A819B3F6E07A}"/>
    <cellStyle name="Comma 2 6 3" xfId="6119" xr:uid="{63A10687-9ED3-480A-95C0-A40511E52D34}"/>
    <cellStyle name="Comma 2 6 3 2" xfId="6120" xr:uid="{4BAF305D-3CA1-45E7-8EA3-E56555CFE7A0}"/>
    <cellStyle name="Comma 2 6 4" xfId="6121" xr:uid="{1F8D2EB7-789E-4EFF-9748-B223070C727E}"/>
    <cellStyle name="Comma 2 7" xfId="6122" xr:uid="{C18D84BE-E380-4AC8-A2F7-F56E69B6715C}"/>
    <cellStyle name="Comma 2 7 2" xfId="6123" xr:uid="{EFE9A78D-A8E7-45B1-BEBC-6C4DD9A1094C}"/>
    <cellStyle name="Comma 2 7 2 2" xfId="6124" xr:uid="{49F35A07-3AED-4A36-8F0F-BDBE02EBFF35}"/>
    <cellStyle name="Comma 2 7 2 2 2" xfId="6125" xr:uid="{601EDF9F-D7FE-4E60-863E-0892B53C5644}"/>
    <cellStyle name="Comma 2 7 2 3" xfId="6126" xr:uid="{638C997D-180B-48FE-A7B5-229BB63A7FA8}"/>
    <cellStyle name="Comma 2 7 3" xfId="6127" xr:uid="{AE8E56AE-6882-42E5-8BCE-80B85CECE07F}"/>
    <cellStyle name="Comma 2 7 3 2" xfId="6128" xr:uid="{64365902-83FB-45DC-BA0A-F4F6199B1E8E}"/>
    <cellStyle name="Comma 2 7 4" xfId="6129" xr:uid="{471C9474-49A3-4BBF-B81F-3AB690BB1156}"/>
    <cellStyle name="Comma 2 8" xfId="6130" xr:uid="{FAD86567-2D47-45D9-87E4-FA50DD610125}"/>
    <cellStyle name="Comma 2 8 2" xfId="6131" xr:uid="{25C8B294-C434-444E-BC90-1F23BA47BBAD}"/>
    <cellStyle name="Comma 2 8 2 2" xfId="6132" xr:uid="{37A263BD-1E2D-4AD6-BFF5-ADBEF1BBC282}"/>
    <cellStyle name="Comma 2 8 2 2 2" xfId="6133" xr:uid="{E5A1BABB-2E9A-4EC8-9F62-8FC432C51DFD}"/>
    <cellStyle name="Comma 2 8 2 3" xfId="6134" xr:uid="{66DEEA03-5715-4633-9626-2F9EBBBDBBB9}"/>
    <cellStyle name="Comma 2 8 3" xfId="6135" xr:uid="{F2AD0581-FE21-42F2-8D7D-123D1F3F975C}"/>
    <cellStyle name="Comma 2 8 3 2" xfId="6136" xr:uid="{CE70C23E-9CA6-4EEC-85A1-BEEC4164E3ED}"/>
    <cellStyle name="Comma 2 8 4" xfId="6137" xr:uid="{61BA78D4-D0CA-48B7-94A6-393134A3531C}"/>
    <cellStyle name="Comma 2 9" xfId="6138" xr:uid="{4465059C-5868-4509-BFD3-9FFE52D571D4}"/>
    <cellStyle name="Comma 2 9 2" xfId="6139" xr:uid="{B647264C-5690-4F93-AF8C-1E8C6380D093}"/>
    <cellStyle name="Comma 2 9 2 2" xfId="6140" xr:uid="{557C3166-A772-43C3-A066-629148721BDF}"/>
    <cellStyle name="Comma 2 9 3" xfId="6141" xr:uid="{62E5F4BE-3D9D-4F06-8DE9-801EDC986FD9}"/>
    <cellStyle name="Comma 20" xfId="6142" xr:uid="{2784FA29-F184-4AE1-9AA2-F6A3FB0134CB}"/>
    <cellStyle name="Comma 21" xfId="6143" xr:uid="{4CE916A3-94B0-4388-878C-9FADF30579B2}"/>
    <cellStyle name="Comma 22" xfId="6144" xr:uid="{CC923D90-AF86-4C07-B443-3885645798DA}"/>
    <cellStyle name="Comma 23" xfId="6145" xr:uid="{ADFBD19C-8138-43DB-A011-1B844EFEC70B}"/>
    <cellStyle name="Comma 24" xfId="6146" xr:uid="{67750278-FB47-4C48-A10A-4FB5245F8586}"/>
    <cellStyle name="Comma 25" xfId="6147" xr:uid="{CE93B129-4B5F-41F2-950E-820AD04AEB36}"/>
    <cellStyle name="Comma 26" xfId="6148" xr:uid="{C0636D0D-6E41-4AC5-8EF6-A472D44DBD0B}"/>
    <cellStyle name="Comma 27" xfId="6149" xr:uid="{171B3865-1759-481D-82AB-027C73CB775B}"/>
    <cellStyle name="Comma 28" xfId="6150" xr:uid="{295C17D3-F18E-4751-AA92-9A613669F48D}"/>
    <cellStyle name="Comma 29" xfId="6151" xr:uid="{F7E97AD3-9BFE-4D52-9846-D79F4B24C31F}"/>
    <cellStyle name="Comma 3" xfId="139" xr:uid="{05499625-FCBF-4A16-AEC0-304DD270FCE2}"/>
    <cellStyle name="Comma 3 10" xfId="6153" xr:uid="{DDCA9056-EF7A-435F-908A-53F4967EBA64}"/>
    <cellStyle name="Comma 3 11" xfId="6152" xr:uid="{906ACF3A-ED9D-4326-994A-9D11B3F45BB1}"/>
    <cellStyle name="Comma 3 2" xfId="313" xr:uid="{027AEF16-0B7D-492E-A77C-40742C592D87}"/>
    <cellStyle name="Comma 3 2 2" xfId="608" xr:uid="{CC565099-0239-49D4-9A3E-653196C64650}"/>
    <cellStyle name="Comma 3 2 2 2" xfId="2034" xr:uid="{21FBF288-E142-4DA5-88E2-2458991B13F7}"/>
    <cellStyle name="Comma 3 2 2 2 2" xfId="6157" xr:uid="{4ED3B92F-CB61-4AF3-BB59-53756377D959}"/>
    <cellStyle name="Comma 3 2 2 2 2 2" xfId="6158" xr:uid="{572BB29D-DCE8-4A68-AF33-37B4EBE675DF}"/>
    <cellStyle name="Comma 3 2 2 2 2 2 2" xfId="6159" xr:uid="{473CABB8-B9EF-4545-B814-DD901E496260}"/>
    <cellStyle name="Comma 3 2 2 2 2 2 2 2" xfId="6160" xr:uid="{F75F8115-F903-448B-9CBA-5337DA105D41}"/>
    <cellStyle name="Comma 3 2 2 2 2 2 3" xfId="6161" xr:uid="{86B7310A-3C6C-4BB8-83DD-BB0DB7F46343}"/>
    <cellStyle name="Comma 3 2 2 2 2 3" xfId="6162" xr:uid="{FECEBA67-2725-48AC-B04A-CB5974FC0CF5}"/>
    <cellStyle name="Comma 3 2 2 2 2 3 2" xfId="6163" xr:uid="{8752CD54-92C5-4A79-BE84-8F0A60AB10E3}"/>
    <cellStyle name="Comma 3 2 2 2 2 4" xfId="6164" xr:uid="{FDEC366A-3514-4781-A6C9-9509479FBFC4}"/>
    <cellStyle name="Comma 3 2 2 2 3" xfId="6165" xr:uid="{D53B96B5-7F35-485B-B880-2A31E84BC8C2}"/>
    <cellStyle name="Comma 3 2 2 2 3 2" xfId="6166" xr:uid="{7E1AA09D-7C59-42B1-B871-7C636EEFE48E}"/>
    <cellStyle name="Comma 3 2 2 2 3 2 2" xfId="6167" xr:uid="{4CFF3AB2-D861-437B-AEEE-8055637681EA}"/>
    <cellStyle name="Comma 3 2 2 2 3 3" xfId="6168" xr:uid="{FB0F7232-7AEC-459F-9761-6F0FFEB95EB0}"/>
    <cellStyle name="Comma 3 2 2 2 4" xfId="6169" xr:uid="{E237F871-EB6D-46C1-9A02-CF90E8989EC8}"/>
    <cellStyle name="Comma 3 2 2 2 4 2" xfId="6170" xr:uid="{D5F0881C-0378-4FD1-A5EB-99D559B330D5}"/>
    <cellStyle name="Comma 3 2 2 2 5" xfId="6171" xr:uid="{7AF4933C-B836-413B-9E61-3FE2C31D4FAB}"/>
    <cellStyle name="Comma 3 2 2 2 6" xfId="6156" xr:uid="{77398581-04AC-41AD-9FE0-443FE8651AC9}"/>
    <cellStyle name="Comma 3 2 2 3" xfId="6172" xr:uid="{E1148275-3B66-4DA7-A603-EE53B59E71BC}"/>
    <cellStyle name="Comma 3 2 2 3 2" xfId="6173" xr:uid="{5C5D373A-2217-427D-88ED-63806D05610A}"/>
    <cellStyle name="Comma 3 2 2 3 2 2" xfId="6174" xr:uid="{46FC5A02-021D-403C-BDD6-0F0273936A39}"/>
    <cellStyle name="Comma 3 2 2 3 2 2 2" xfId="6175" xr:uid="{49CFFF4B-6765-4B2E-BDB7-9C010DEEF3C0}"/>
    <cellStyle name="Comma 3 2 2 3 2 3" xfId="6176" xr:uid="{7CFED352-3FF7-4DBD-AD7F-AC9D9A8B30C7}"/>
    <cellStyle name="Comma 3 2 2 3 3" xfId="6177" xr:uid="{D796147D-B68A-4F27-BFC2-9E884E124803}"/>
    <cellStyle name="Comma 3 2 2 3 3 2" xfId="6178" xr:uid="{8C492F9B-9639-40C9-B675-CAA176119A33}"/>
    <cellStyle name="Comma 3 2 2 3 4" xfId="6179" xr:uid="{B99627E8-2490-4750-AA6B-7308AC886D44}"/>
    <cellStyle name="Comma 3 2 2 4" xfId="6180" xr:uid="{FFC7909C-5047-4CDA-920B-990474885B45}"/>
    <cellStyle name="Comma 3 2 2 4 2" xfId="6181" xr:uid="{44474FE4-B5FD-4A28-BC13-88F5C3BD7D46}"/>
    <cellStyle name="Comma 3 2 2 4 2 2" xfId="6182" xr:uid="{D5108896-473C-4BE1-8C05-42E297346A56}"/>
    <cellStyle name="Comma 3 2 2 4 3" xfId="6183" xr:uid="{2A38330E-DD30-4B51-AF03-ADCB265972DD}"/>
    <cellStyle name="Comma 3 2 2 5" xfId="6184" xr:uid="{13D67D61-D4D3-4039-9D64-B266E47C951C}"/>
    <cellStyle name="Comma 3 2 2 5 2" xfId="6185" xr:uid="{D7F63BFB-B903-4B90-A310-2AC89C307688}"/>
    <cellStyle name="Comma 3 2 2 6" xfId="6186" xr:uid="{0F3BE87A-8B39-46B4-BE8E-53A211A77ABC}"/>
    <cellStyle name="Comma 3 2 2 7" xfId="6155" xr:uid="{B7324085-6584-43E9-B403-BB60C210B06C}"/>
    <cellStyle name="Comma 3 2 3" xfId="1878" xr:uid="{C11530EF-695E-4DB7-9811-4DF0C7B055AD}"/>
    <cellStyle name="Comma 3 2 3 2" xfId="6188" xr:uid="{98C7AB2A-D16B-4011-972C-B8D16E80DAB0}"/>
    <cellStyle name="Comma 3 2 3 2 2" xfId="6189" xr:uid="{15E4E9C5-86F7-475A-A59A-72568522B8F5}"/>
    <cellStyle name="Comma 3 2 3 2 2 2" xfId="6190" xr:uid="{8BCBC7BF-F54F-4415-8B6A-DC95F3B5C7EE}"/>
    <cellStyle name="Comma 3 2 3 2 2 2 2" xfId="6191" xr:uid="{396F2192-04B8-4865-8189-9422C0BF7422}"/>
    <cellStyle name="Comma 3 2 3 2 2 3" xfId="6192" xr:uid="{0B297959-88F7-4877-97E4-738F46544C14}"/>
    <cellStyle name="Comma 3 2 3 2 3" xfId="6193" xr:uid="{F4AE6EA8-382D-4B9E-83CF-951ED4C0AB7B}"/>
    <cellStyle name="Comma 3 2 3 2 3 2" xfId="6194" xr:uid="{04EC08DE-A155-42AA-80EF-70427C5EE968}"/>
    <cellStyle name="Comma 3 2 3 2 4" xfId="6195" xr:uid="{2639BF8E-0743-4B4F-B826-304360DD1283}"/>
    <cellStyle name="Comma 3 2 3 3" xfId="6196" xr:uid="{9D5B0127-364E-4067-B87A-6BF453C58947}"/>
    <cellStyle name="Comma 3 2 3 3 2" xfId="6197" xr:uid="{62866B3A-EBB7-4194-B440-099DF608EC11}"/>
    <cellStyle name="Comma 3 2 3 3 2 2" xfId="6198" xr:uid="{5D0FAFE7-E8ED-4C8F-AAFC-F87FF9F3BD0D}"/>
    <cellStyle name="Comma 3 2 3 3 3" xfId="6199" xr:uid="{DAFD3E96-4187-4681-881F-D2376AC1BFF9}"/>
    <cellStyle name="Comma 3 2 3 4" xfId="6200" xr:uid="{26FEC9AE-0EDE-467C-B979-5A087D5AB99F}"/>
    <cellStyle name="Comma 3 2 3 4 2" xfId="6201" xr:uid="{B27C6BC5-F057-4F6B-B328-254212F1AB02}"/>
    <cellStyle name="Comma 3 2 3 5" xfId="6202" xr:uid="{6AC1A742-D409-40A7-B32F-CDE2D8EF7C94}"/>
    <cellStyle name="Comma 3 2 3 6" xfId="6187" xr:uid="{E1B12D9E-D321-4911-B9E2-4F4BFE263337}"/>
    <cellStyle name="Comma 3 2 4" xfId="6203" xr:uid="{9C998496-0699-465A-93C9-D78674D38E28}"/>
    <cellStyle name="Comma 3 2 4 2" xfId="6204" xr:uid="{20169E22-1206-4A7E-8235-7B1119941B29}"/>
    <cellStyle name="Comma 3 2 4 2 2" xfId="6205" xr:uid="{D3B1FC0E-EA9B-4E85-AC8C-D5DB68B736B0}"/>
    <cellStyle name="Comma 3 2 4 2 2 2" xfId="6206" xr:uid="{1E472F43-1F5E-4595-A8E4-9C4A2C59AA73}"/>
    <cellStyle name="Comma 3 2 4 2 2 2 2" xfId="6207" xr:uid="{5DDE9A18-27AD-4439-8A72-5CE0B1B32646}"/>
    <cellStyle name="Comma 3 2 4 2 2 3" xfId="6208" xr:uid="{EF64BAB6-13F5-47B9-8C36-729DD63512C5}"/>
    <cellStyle name="Comma 3 2 4 2 3" xfId="6209" xr:uid="{DDDA9C7A-B166-48A0-97A4-4DBC063EC8D4}"/>
    <cellStyle name="Comma 3 2 4 2 3 2" xfId="6210" xr:uid="{B1EA1FC7-9376-4771-8AF3-C441F51DC2D7}"/>
    <cellStyle name="Comma 3 2 4 2 4" xfId="6211" xr:uid="{4FD650DA-D12F-44E7-9ED2-FF65E3960FBD}"/>
    <cellStyle name="Comma 3 2 4 3" xfId="6212" xr:uid="{DAF835BD-090E-4F3D-ABA6-3D923C3F58C2}"/>
    <cellStyle name="Comma 3 2 4 3 2" xfId="6213" xr:uid="{23E17337-10E7-4B35-850B-B06DCD74BCFB}"/>
    <cellStyle name="Comma 3 2 4 3 2 2" xfId="6214" xr:uid="{E46C32D4-D226-40F1-A09D-115132CC4DB1}"/>
    <cellStyle name="Comma 3 2 4 3 3" xfId="6215" xr:uid="{5F151910-ECA4-4483-97E8-004A999B6EFE}"/>
    <cellStyle name="Comma 3 2 4 4" xfId="6216" xr:uid="{8AFB50BE-BD8B-4D06-8FE3-1EDBDA29A72D}"/>
    <cellStyle name="Comma 3 2 4 4 2" xfId="6217" xr:uid="{702C3B5A-6E62-4D2C-B6D5-B8E6ED935600}"/>
    <cellStyle name="Comma 3 2 4 5" xfId="6218" xr:uid="{7B727971-3B01-4BA3-AE80-FD43C4A99748}"/>
    <cellStyle name="Comma 3 2 5" xfId="6219" xr:uid="{076B9F32-061F-4EA0-90AF-0F844B6C0422}"/>
    <cellStyle name="Comma 3 2 5 2" xfId="6220" xr:uid="{363B6898-1B77-445B-96FF-641B1A94B969}"/>
    <cellStyle name="Comma 3 2 5 2 2" xfId="6221" xr:uid="{95B0C006-E9AC-44F4-B3EE-3BB2E95C4DC9}"/>
    <cellStyle name="Comma 3 2 5 2 2 2" xfId="6222" xr:uid="{1FE556A6-5635-4551-8FB6-F5642AC87FE6}"/>
    <cellStyle name="Comma 3 2 5 2 3" xfId="6223" xr:uid="{1C8EE36B-6953-48E8-8C41-1F593355A8A8}"/>
    <cellStyle name="Comma 3 2 5 3" xfId="6224" xr:uid="{5B4937B1-C7E7-4F2F-BADF-DBFD4E9F1F86}"/>
    <cellStyle name="Comma 3 2 5 3 2" xfId="6225" xr:uid="{D868E825-54EE-4854-92A8-130B0703D16E}"/>
    <cellStyle name="Comma 3 2 5 4" xfId="6226" xr:uid="{5F0904DD-9372-471E-90B7-8CC19CBEFBA1}"/>
    <cellStyle name="Comma 3 2 6" xfId="6227" xr:uid="{EAF9F755-7F0E-44A9-88B2-59375CD47BCF}"/>
    <cellStyle name="Comma 3 2 6 2" xfId="6228" xr:uid="{8283FDBC-8AA5-41CF-B44B-30CE41453DEE}"/>
    <cellStyle name="Comma 3 2 6 2 2" xfId="6229" xr:uid="{8E9446C1-87B0-4C7C-A5A5-4336FFDF5593}"/>
    <cellStyle name="Comma 3 2 6 3" xfId="6230" xr:uid="{58D49642-A6BE-44D5-95FD-B5B46448CCBC}"/>
    <cellStyle name="Comma 3 2 7" xfId="6231" xr:uid="{21714D80-0B4A-40E4-B6E4-6E65A2CE1894}"/>
    <cellStyle name="Comma 3 2 7 2" xfId="6232" xr:uid="{26A262A8-4603-492B-ADE5-CE43967A7B7B}"/>
    <cellStyle name="Comma 3 2 8" xfId="6154" xr:uid="{F4E7A35E-D065-4F95-935B-F547B9FBECAF}"/>
    <cellStyle name="Comma 3 2 9" xfId="8346" xr:uid="{5B45C92C-3EB5-48BB-94C1-B92A11E103FA}"/>
    <cellStyle name="Comma 3 3" xfId="314" xr:uid="{9A30EDC3-AC27-4A0B-98BC-B6FE1E0188F4}"/>
    <cellStyle name="Comma 3 3 2" xfId="609" xr:uid="{55FE496B-B28F-4646-9546-40CC5D192049}"/>
    <cellStyle name="Comma 3 3 2 2" xfId="2035" xr:uid="{91501827-2017-4948-A5CC-FFDE44B8DE39}"/>
    <cellStyle name="Comma 3 3 2 2 2" xfId="6236" xr:uid="{5901AE42-7228-4029-92BB-148C72BD7245}"/>
    <cellStyle name="Comma 3 3 2 2 2 2" xfId="6237" xr:uid="{E11948AB-2FA4-4D94-96B6-D7DFAF7ADBB3}"/>
    <cellStyle name="Comma 3 3 2 2 2 2 2" xfId="6238" xr:uid="{1E241F7F-4582-4234-AA07-3C7ED7783438}"/>
    <cellStyle name="Comma 3 3 2 2 2 3" xfId="6239" xr:uid="{379FC501-B4DA-48BA-9D52-0547B951AF40}"/>
    <cellStyle name="Comma 3 3 2 2 3" xfId="6240" xr:uid="{DDD978B2-7968-4D94-B1B7-9A571146221C}"/>
    <cellStyle name="Comma 3 3 2 2 3 2" xfId="6241" xr:uid="{B707C072-85AF-4AA7-ABAE-9312ADBB9B5F}"/>
    <cellStyle name="Comma 3 3 2 2 4" xfId="6242" xr:uid="{E3064C57-1C66-42D1-AEC7-F312A4042C33}"/>
    <cellStyle name="Comma 3 3 2 2 5" xfId="6235" xr:uid="{2C6A67BB-7D88-49C4-AEEB-8DAE212B7BF4}"/>
    <cellStyle name="Comma 3 3 2 3" xfId="6243" xr:uid="{2FE04053-DE6A-4756-BFF0-151D714C7E08}"/>
    <cellStyle name="Comma 3 3 2 3 2" xfId="6244" xr:uid="{1A4E4EEA-9792-46E7-9B6D-1CA06479078D}"/>
    <cellStyle name="Comma 3 3 2 3 2 2" xfId="6245" xr:uid="{684DCBD9-DC50-4ED3-BBD6-B00CADD643A8}"/>
    <cellStyle name="Comma 3 3 2 3 3" xfId="6246" xr:uid="{3AC186C6-242C-4CCD-88A9-6D4203A7D588}"/>
    <cellStyle name="Comma 3 3 2 4" xfId="6247" xr:uid="{CF491D31-1FA6-43C4-9653-CFFC0A61A0C1}"/>
    <cellStyle name="Comma 3 3 2 4 2" xfId="6248" xr:uid="{5D5C0A88-B16E-4F11-9E2F-BB18D58DDCAE}"/>
    <cellStyle name="Comma 3 3 2 5" xfId="6249" xr:uid="{E667AB7E-B819-4F2F-B3F9-BF40EAA7ECA3}"/>
    <cellStyle name="Comma 3 3 2 6" xfId="6234" xr:uid="{4394497A-94C4-437E-9DF8-90E97A868367}"/>
    <cellStyle name="Comma 3 3 3" xfId="1879" xr:uid="{48ABAA54-160B-4336-8772-0D3A1875D11B}"/>
    <cellStyle name="Comma 3 3 3 2" xfId="6251" xr:uid="{6E638CE9-1866-4350-A0D1-D3C7045EB30C}"/>
    <cellStyle name="Comma 3 3 3 2 2" xfId="6252" xr:uid="{CCC69CE2-EEF3-4BD4-9646-C7FAC881B9A5}"/>
    <cellStyle name="Comma 3 3 3 2 2 2" xfId="6253" xr:uid="{9566E4FD-6F65-4B55-99AE-2F74E0041430}"/>
    <cellStyle name="Comma 3 3 3 2 3" xfId="6254" xr:uid="{0850BC36-F191-41C5-B98F-805B129B5981}"/>
    <cellStyle name="Comma 3 3 3 3" xfId="6255" xr:uid="{DBDE58C5-5088-48F8-B660-E25F7571A63C}"/>
    <cellStyle name="Comma 3 3 3 3 2" xfId="6256" xr:uid="{F34D2723-82CB-4D55-8E9E-D295A463378B}"/>
    <cellStyle name="Comma 3 3 3 4" xfId="6257" xr:uid="{519E1EA8-56B1-4400-83FC-DABCD5585818}"/>
    <cellStyle name="Comma 3 3 3 5" xfId="6250" xr:uid="{0DB2889F-4E11-4EA4-8D26-87EB81879E3F}"/>
    <cellStyle name="Comma 3 3 4" xfId="6258" xr:uid="{8E658262-288A-4B45-BE9B-67BABFE163AA}"/>
    <cellStyle name="Comma 3 3 4 2" xfId="6259" xr:uid="{00598473-332F-4ECC-AC2A-1CBAAD3AE24B}"/>
    <cellStyle name="Comma 3 3 4 2 2" xfId="6260" xr:uid="{AEF55376-4DFB-4761-9D89-56800A8EE960}"/>
    <cellStyle name="Comma 3 3 4 3" xfId="6261" xr:uid="{BBD57163-57E4-4F25-B319-39D3D329E306}"/>
    <cellStyle name="Comma 3 3 5" xfId="6262" xr:uid="{FC8CDEF0-52CA-42A3-8A7B-894C0EA29C17}"/>
    <cellStyle name="Comma 3 3 5 2" xfId="6263" xr:uid="{9552F8A4-2254-41C9-84FF-BD5A4F47DF24}"/>
    <cellStyle name="Comma 3 3 6" xfId="6264" xr:uid="{D0214E42-2027-460C-B2C5-871DCDFA148C}"/>
    <cellStyle name="Comma 3 3 7" xfId="6233" xr:uid="{68ABFEFE-AE86-4C72-8B09-FD6B0D346DE5}"/>
    <cellStyle name="Comma 3 3 8" xfId="8345" xr:uid="{CA2E7797-43FE-4A25-B763-7E5BFA891BCA}"/>
    <cellStyle name="Comma 3 4" xfId="315" xr:uid="{E47698EA-4358-4FCD-A639-B1254A645E7C}"/>
    <cellStyle name="Comma 3 4 2" xfId="610" xr:uid="{56FD12B4-F9E5-4E85-9E6C-BD3C8F3990C0}"/>
    <cellStyle name="Comma 3 4 2 2" xfId="2036" xr:uid="{4A9227F5-09DF-42AA-A92C-9CE66782ADA1}"/>
    <cellStyle name="Comma 3 4 2 2 2" xfId="6268" xr:uid="{96B8D02D-5BDB-4A73-AE38-A012C5CBE188}"/>
    <cellStyle name="Comma 3 4 2 2 2 2" xfId="6269" xr:uid="{07508E02-D76C-46F9-AE06-C624732BCBCF}"/>
    <cellStyle name="Comma 3 4 2 2 3" xfId="6270" xr:uid="{70146529-86D3-42E9-ABE1-3D4AA5F2DC05}"/>
    <cellStyle name="Comma 3 4 2 2 4" xfId="6267" xr:uid="{33418C34-B2A3-4611-A2E2-69D9139395BF}"/>
    <cellStyle name="Comma 3 4 2 3" xfId="6271" xr:uid="{3CF28420-AA4F-4657-B54C-EC1BE66F7002}"/>
    <cellStyle name="Comma 3 4 2 3 2" xfId="6272" xr:uid="{9E92762E-BAE6-486E-B156-50B6562CD98C}"/>
    <cellStyle name="Comma 3 4 2 4" xfId="6273" xr:uid="{8C4590DC-9D67-44AC-A800-C6F5EF02B579}"/>
    <cellStyle name="Comma 3 4 2 5" xfId="6266" xr:uid="{DD3C011F-47E3-4304-8F05-E0109D8C1B9C}"/>
    <cellStyle name="Comma 3 4 3" xfId="1880" xr:uid="{1764B52D-8559-46A7-B595-6A3028101B75}"/>
    <cellStyle name="Comma 3 4 3 2" xfId="6275" xr:uid="{101ACD3A-96A4-481F-BD89-9492561267C4}"/>
    <cellStyle name="Comma 3 4 3 2 2" xfId="6276" xr:uid="{E430173A-B378-4CC0-8CDC-BDAB82D34BE9}"/>
    <cellStyle name="Comma 3 4 3 3" xfId="6277" xr:uid="{86FE6251-18A5-4D18-9F9C-F3F5BF2B5491}"/>
    <cellStyle name="Comma 3 4 3 4" xfId="6274" xr:uid="{13B7A7C0-3355-46BF-8CF3-BE1F87D8475F}"/>
    <cellStyle name="Comma 3 4 4" xfId="6278" xr:uid="{E6A3FC58-BCC0-4614-BF30-F5A5E319AEB4}"/>
    <cellStyle name="Comma 3 4 4 2" xfId="6279" xr:uid="{FB5BDADD-EB17-4B0A-980C-DCC4BBF3E432}"/>
    <cellStyle name="Comma 3 4 5" xfId="6280" xr:uid="{30E04728-45AF-4C00-B8B8-9482A1795404}"/>
    <cellStyle name="Comma 3 4 6" xfId="6265" xr:uid="{966AB192-96F8-4F15-8480-DB682C9FA2C2}"/>
    <cellStyle name="Comma 3 5" xfId="242" xr:uid="{BB3E66D0-026C-4CA0-93F7-4247555F5D90}"/>
    <cellStyle name="Comma 3 5 2" xfId="477" xr:uid="{31EB4E3B-E808-4B3C-8FD8-03DA35A5D3C1}"/>
    <cellStyle name="Comma 3 5 2 2" xfId="6283" xr:uid="{FFBD68F6-A9D9-49DA-83F8-3FC1DC5516D9}"/>
    <cellStyle name="Comma 3 5 2 2 2" xfId="6284" xr:uid="{234CD38E-D056-4410-9A0D-E19B4D376D36}"/>
    <cellStyle name="Comma 3 5 2 2 2 2" xfId="6285" xr:uid="{DB133C5A-5425-4E4F-AFC4-B0F84A0007B6}"/>
    <cellStyle name="Comma 3 5 2 2 3" xfId="6286" xr:uid="{D70015EF-95C4-4A0D-A26E-2749C5E60F3F}"/>
    <cellStyle name="Comma 3 5 2 3" xfId="6287" xr:uid="{28EEE099-18D1-49A0-96BE-7A98B2BA0F2D}"/>
    <cellStyle name="Comma 3 5 2 3 2" xfId="6288" xr:uid="{60ED408C-4E04-4A00-8774-6417AA0B767B}"/>
    <cellStyle name="Comma 3 5 2 4" xfId="6289" xr:uid="{91DDE56E-192A-405E-821D-FC99622ACC49}"/>
    <cellStyle name="Comma 3 5 2 5" xfId="6282" xr:uid="{55C39BFC-68D9-4016-9287-899A8AE6D453}"/>
    <cellStyle name="Comma 3 5 3" xfId="6290" xr:uid="{D53F5F0F-BDCD-496F-B944-E87D44A722B2}"/>
    <cellStyle name="Comma 3 5 3 2" xfId="6291" xr:uid="{6EEE1298-F2D7-4BB8-8941-E1D246E3BD7B}"/>
    <cellStyle name="Comma 3 5 3 2 2" xfId="6292" xr:uid="{719877B1-3C7E-46BC-AB8D-AD3B0EB4EB41}"/>
    <cellStyle name="Comma 3 5 3 3" xfId="6293" xr:uid="{59661B38-26CE-4606-AF35-F30BDCEB12F1}"/>
    <cellStyle name="Comma 3 5 4" xfId="6294" xr:uid="{D1A8B35C-5FB1-444F-B813-91B4366096B3}"/>
    <cellStyle name="Comma 3 5 4 2" xfId="6295" xr:uid="{2C2F20A3-A3D4-4350-B53D-B961A17B9C7B}"/>
    <cellStyle name="Comma 3 5 5" xfId="6296" xr:uid="{6972F50D-6745-4CEC-82B6-73513BB78314}"/>
    <cellStyle name="Comma 3 5 6" xfId="6281" xr:uid="{739A3F2D-5BDE-4AF2-9EE7-9202D118F48C}"/>
    <cellStyle name="Comma 3 6" xfId="554" xr:uid="{5AC7ACDA-2B88-4542-B7E2-298C28A43521}"/>
    <cellStyle name="Comma 3 6 2" xfId="2020" xr:uid="{C6267697-6987-439B-A1A5-808F063AFB81}"/>
    <cellStyle name="Comma 3 6 2 2" xfId="6299" xr:uid="{2821797E-9888-46F8-AD37-B80954698C5D}"/>
    <cellStyle name="Comma 3 6 2 2 2" xfId="6300" xr:uid="{BE6EA86B-F950-46DF-9731-697DAB362423}"/>
    <cellStyle name="Comma 3 6 2 3" xfId="6301" xr:uid="{F65E9533-0A43-434E-9C2A-4D37BE55C27E}"/>
    <cellStyle name="Comma 3 6 2 4" xfId="6298" xr:uid="{4F1E84CE-50E4-4500-9394-DAB54238713F}"/>
    <cellStyle name="Comma 3 6 3" xfId="6302" xr:uid="{601E9CE6-78C2-4530-A0C5-9BAB970EDAC4}"/>
    <cellStyle name="Comma 3 6 3 2" xfId="6303" xr:uid="{DCBB2E22-507F-4093-88B2-31015DD79DB1}"/>
    <cellStyle name="Comma 3 6 4" xfId="6304" xr:uid="{499FDBDC-194F-47B5-BCF5-5D200F1264C3}"/>
    <cellStyle name="Comma 3 6 5" xfId="6297" xr:uid="{9A93747C-1763-40C8-BEDD-EC6EA6C848AA}"/>
    <cellStyle name="Comma 3 7" xfId="1811" xr:uid="{DC518DA9-07CB-4487-A8D6-26416B3274A3}"/>
    <cellStyle name="Comma 3 7 2" xfId="6306" xr:uid="{31999A70-767F-48D5-945E-4BF524109350}"/>
    <cellStyle name="Comma 3 7 2 2" xfId="6307" xr:uid="{FB300D19-DE35-4FA9-9440-2AB64EE48C76}"/>
    <cellStyle name="Comma 3 7 3" xfId="6308" xr:uid="{FCA56F2F-4716-417A-B6D5-27EEDEF792A1}"/>
    <cellStyle name="Comma 3 7 4" xfId="6305" xr:uid="{8C48925B-DC23-4C3E-A0EB-1E8B9C381312}"/>
    <cellStyle name="Comma 3 8" xfId="6309" xr:uid="{2A1D0AA5-D46E-42F1-AFFE-9619367CEC2D}"/>
    <cellStyle name="Comma 3 8 2" xfId="6310" xr:uid="{76BC91AA-326F-44C7-8482-AF781C4199FF}"/>
    <cellStyle name="Comma 3 8 2 2" xfId="6311" xr:uid="{A3082C53-4C40-4CB0-B606-6D1A5405DB26}"/>
    <cellStyle name="Comma 3 8 3" xfId="6312" xr:uid="{F2C46352-4EFB-4370-A307-C41EB5410F8A}"/>
    <cellStyle name="Comma 3 9" xfId="6313" xr:uid="{0602C285-750D-4E7C-BE89-125FD2C30178}"/>
    <cellStyle name="Comma 3 9 2" xfId="6314" xr:uid="{07DD5CDD-3124-4D69-A08A-C501C607F4B1}"/>
    <cellStyle name="Comma 30" xfId="6315" xr:uid="{43548690-6B26-4EC1-AD2D-99E10D514400}"/>
    <cellStyle name="Comma 30 2" xfId="6316" xr:uid="{B383BCCC-8C18-4478-9DE2-A88AA45AB6AA}"/>
    <cellStyle name="Comma 30 2 2" xfId="6317" xr:uid="{74282B7E-631C-4CE6-9183-C7958E1CA883}"/>
    <cellStyle name="Comma 30 2 2 2" xfId="6318" xr:uid="{FF9C130F-2C45-4C86-8438-325EEBD0EE2C}"/>
    <cellStyle name="Comma 30 2 3" xfId="6319" xr:uid="{C985857A-0F8A-49A5-91D1-6749E35472BB}"/>
    <cellStyle name="Comma 30 3" xfId="6320" xr:uid="{D8B17692-7888-48D8-B6CE-98D9B8AFB33E}"/>
    <cellStyle name="Comma 30 3 2" xfId="6321" xr:uid="{723BBBE9-F689-4DDF-B8EA-BC8EADFCFEC0}"/>
    <cellStyle name="Comma 30 4" xfId="6322" xr:uid="{E04F11E5-7D8C-409D-BE5E-1754973D8FB6}"/>
    <cellStyle name="Comma 31" xfId="6323" xr:uid="{AECF1161-9680-44D9-9F43-22042AD86D6F}"/>
    <cellStyle name="Comma 32" xfId="6324" xr:uid="{0E414A0E-5FDA-47A1-9D87-F98BE55BB4B3}"/>
    <cellStyle name="Comma 33" xfId="6325" xr:uid="{9981A098-F1F8-4025-8D77-3F1141C5005A}"/>
    <cellStyle name="Comma 34" xfId="6326" xr:uid="{31C7EBA7-C70C-4EA3-95AC-805DA37F405A}"/>
    <cellStyle name="Comma 35" xfId="6327" xr:uid="{280222BD-3825-4DF4-8F6E-B73F78B6D46C}"/>
    <cellStyle name="Comma 36" xfId="6328" xr:uid="{29E08A9E-C9C1-4364-BB49-1F2D3D0287D7}"/>
    <cellStyle name="Comma 37" xfId="6329" xr:uid="{107D5849-550E-408B-880C-557B637DE0D4}"/>
    <cellStyle name="Comma 38" xfId="6330" xr:uid="{8DC4DD51-C062-41E6-894B-887286681F79}"/>
    <cellStyle name="Comma 39" xfId="6331" xr:uid="{3BC6AD54-FA4D-46FA-967E-BC4F236651A7}"/>
    <cellStyle name="Comma 4" xfId="316" xr:uid="{6A6AEC0C-9832-427A-BEDC-5FC508FD5623}"/>
    <cellStyle name="Comma 4 2" xfId="317" xr:uid="{AF2FB892-5902-4AF1-8B56-402022ADE11A}"/>
    <cellStyle name="Comma 4 2 2" xfId="612" xr:uid="{D747C1BC-30C5-4347-B733-47EB42473D62}"/>
    <cellStyle name="Comma 4 2 2 2" xfId="2038" xr:uid="{D58D0ADE-F8DB-4586-80EA-5B818E846E29}"/>
    <cellStyle name="Comma 4 2 3" xfId="1882" xr:uid="{1412C296-5D59-463A-AFD9-0CA66E04A64A}"/>
    <cellStyle name="Comma 4 2 4" xfId="6333" xr:uid="{B1D61C67-2332-4A0F-9FFA-D59C321F1B9A}"/>
    <cellStyle name="Comma 4 3" xfId="611" xr:uid="{0128CEF9-C092-4A3A-9103-E59C97D0EF78}"/>
    <cellStyle name="Comma 4 3 2" xfId="2037" xr:uid="{2274EB64-E1B7-4AFB-B283-63D4D011FAD3}"/>
    <cellStyle name="Comma 4 3 2 2" xfId="6336" xr:uid="{2B50F5FE-C6EC-4EBF-8A6F-1AEE387E3859}"/>
    <cellStyle name="Comma 4 3 2 2 2" xfId="6337" xr:uid="{8AFEE558-D0F4-4A8B-969B-E70B5653706E}"/>
    <cellStyle name="Comma 4 3 2 2 2 2" xfId="6338" xr:uid="{FC878FCF-F3B0-4852-8BF2-8014F39ADF8A}"/>
    <cellStyle name="Comma 4 3 2 2 2 2 2" xfId="6339" xr:uid="{D4E605A3-D638-4F8F-B92C-3C958E90FF8F}"/>
    <cellStyle name="Comma 4 3 2 2 2 3" xfId="6340" xr:uid="{FF9929E1-F9A9-460B-A7EC-B4E6EBA79C07}"/>
    <cellStyle name="Comma 4 3 2 2 3" xfId="6341" xr:uid="{70D26003-E812-42F0-BC36-DDA1BDAFC73B}"/>
    <cellStyle name="Comma 4 3 2 2 3 2" xfId="6342" xr:uid="{CD1E0F1F-154C-46F9-AB37-FC19DC5D26AD}"/>
    <cellStyle name="Comma 4 3 2 2 4" xfId="6343" xr:uid="{0430488C-B563-4CDD-9240-371DCEA06305}"/>
    <cellStyle name="Comma 4 3 2 3" xfId="6344" xr:uid="{D7C8287E-BF8A-43E2-8942-9BDE6EF0E787}"/>
    <cellStyle name="Comma 4 3 2 3 2" xfId="6345" xr:uid="{E83F9E32-1FCB-4E99-ADCC-7347A2F981BB}"/>
    <cellStyle name="Comma 4 3 2 3 2 2" xfId="6346" xr:uid="{0E14DD1C-486F-4080-9119-DCAC81299874}"/>
    <cellStyle name="Comma 4 3 2 3 3" xfId="6347" xr:uid="{588C706D-1690-42D6-8DDE-9BFDB18686AA}"/>
    <cellStyle name="Comma 4 3 2 4" xfId="6348" xr:uid="{8D5A2696-50DD-46A3-A0A1-926B811AA2AB}"/>
    <cellStyle name="Comma 4 3 2 4 2" xfId="6349" xr:uid="{8ABE1373-45FE-4E86-8FCA-6AD09837F89E}"/>
    <cellStyle name="Comma 4 3 2 5" xfId="6350" xr:uid="{33A23BEA-81AC-4361-958E-8D19AF13BFC1}"/>
    <cellStyle name="Comma 4 3 2 6" xfId="6335" xr:uid="{310C2061-F5FB-4D4D-8A39-8949E46A7F86}"/>
    <cellStyle name="Comma 4 3 3" xfId="6351" xr:uid="{329895F3-99CC-42FF-8DD0-F5E200DE172F}"/>
    <cellStyle name="Comma 4 3 3 2" xfId="6352" xr:uid="{9D15B665-FCA7-4689-BC17-9BEADC2695C0}"/>
    <cellStyle name="Comma 4 3 3 2 2" xfId="6353" xr:uid="{FB6DE31D-A739-4AA2-BC52-9EB69DB596E3}"/>
    <cellStyle name="Comma 4 3 3 2 2 2" xfId="6354" xr:uid="{01674DC9-FC24-419D-9715-71C17D393076}"/>
    <cellStyle name="Comma 4 3 3 2 3" xfId="6355" xr:uid="{3885E52E-7DB0-4460-8890-EF3C4B919E11}"/>
    <cellStyle name="Comma 4 3 3 3" xfId="6356" xr:uid="{823B77B3-1135-49FC-8E6D-95B8C0D18720}"/>
    <cellStyle name="Comma 4 3 3 3 2" xfId="6357" xr:uid="{29F052E9-EB11-40B6-8083-9D5EAF96245E}"/>
    <cellStyle name="Comma 4 3 3 4" xfId="6358" xr:uid="{EB8496D7-B7D1-471F-9A95-FB97C2387BB4}"/>
    <cellStyle name="Comma 4 3 4" xfId="6359" xr:uid="{EBC753C1-2B60-4D33-BBF7-89B3A7BAC930}"/>
    <cellStyle name="Comma 4 3 4 2" xfId="6360" xr:uid="{186394A0-E3B2-434D-9B3D-705A5F9F805A}"/>
    <cellStyle name="Comma 4 3 4 2 2" xfId="6361" xr:uid="{B6FB67C9-C46F-4985-8647-9AC3E0AB045C}"/>
    <cellStyle name="Comma 4 3 4 3" xfId="6362" xr:uid="{EFCF0A47-1552-4126-91F7-6FBF058DE48E}"/>
    <cellStyle name="Comma 4 3 5" xfId="6363" xr:uid="{684C3D36-7A06-4FA8-989D-1373E710911D}"/>
    <cellStyle name="Comma 4 3 5 2" xfId="6364" xr:uid="{8850D541-C30D-4B62-B182-FC5ACECD105C}"/>
    <cellStyle name="Comma 4 3 6" xfId="6365" xr:uid="{93FE14D1-8655-43E1-AD44-CB8B0474C944}"/>
    <cellStyle name="Comma 4 3 7" xfId="6334" xr:uid="{77E4EE00-075A-400E-9312-F85627CC2B01}"/>
    <cellStyle name="Comma 4 4" xfId="1881" xr:uid="{713F4315-C9C6-48D2-ACD5-ABA0A0C89FCD}"/>
    <cellStyle name="Comma 4 4 2" xfId="6367" xr:uid="{88ACE0AB-93B5-43CC-99D7-3FD3CE16A2F2}"/>
    <cellStyle name="Comma 4 4 2 2" xfId="6368" xr:uid="{D849C5CF-03CF-482E-8BA1-F1F3E1754AE9}"/>
    <cellStyle name="Comma 4 4 2 2 2" xfId="6369" xr:uid="{DCDB6A32-564C-4D58-9BD3-7206012FEBB0}"/>
    <cellStyle name="Comma 4 4 2 2 2 2" xfId="6370" xr:uid="{0A6439F4-54BA-4DE1-BA12-667D3DB13472}"/>
    <cellStyle name="Comma 4 4 2 2 3" xfId="6371" xr:uid="{789984AD-4E88-46B9-86BB-F5EB17F25F65}"/>
    <cellStyle name="Comma 4 4 2 3" xfId="6372" xr:uid="{00D9974D-8458-4724-A41A-1482AAAB34CA}"/>
    <cellStyle name="Comma 4 4 2 3 2" xfId="6373" xr:uid="{6DF10AE4-C8C6-4068-A439-4E2EF0D2AA32}"/>
    <cellStyle name="Comma 4 4 2 4" xfId="6374" xr:uid="{61413A05-6985-48EF-9D17-8F9B8FF49CEC}"/>
    <cellStyle name="Comma 4 4 3" xfId="6375" xr:uid="{482E52F7-A801-41B3-8BA5-5E1BA84C45B2}"/>
    <cellStyle name="Comma 4 4 3 2" xfId="6376" xr:uid="{93F415DF-BFC9-45E3-963A-1111F13DAE5F}"/>
    <cellStyle name="Comma 4 4 3 2 2" xfId="6377" xr:uid="{65B141A3-928E-4409-A03A-45A45BD7AB06}"/>
    <cellStyle name="Comma 4 4 3 3" xfId="6378" xr:uid="{96847953-5E0D-4C94-A582-E8CECDA577D5}"/>
    <cellStyle name="Comma 4 4 4" xfId="6379" xr:uid="{D92A05C1-7728-48F4-9E45-7238F88E8F3D}"/>
    <cellStyle name="Comma 4 4 4 2" xfId="6380" xr:uid="{BA8C213D-55B7-4456-AF9E-166E881BAA34}"/>
    <cellStyle name="Comma 4 4 5" xfId="6381" xr:uid="{82FE60ED-6F9A-4567-9D8E-8081B4A62CF2}"/>
    <cellStyle name="Comma 4 4 6" xfId="6366" xr:uid="{97EA88F6-9FDC-43C2-8FD3-53F4B4C8DB4B}"/>
    <cellStyle name="Comma 4 5" xfId="6382" xr:uid="{C631E597-D8F4-42F5-9DCE-F71D62CD801F}"/>
    <cellStyle name="Comma 4 5 2" xfId="6383" xr:uid="{08EBC48B-39AA-4F80-98B4-781092F06566}"/>
    <cellStyle name="Comma 4 5 2 2" xfId="6384" xr:uid="{EA3D5B56-806E-440D-BF8F-08A341D9477C}"/>
    <cellStyle name="Comma 4 5 2 2 2" xfId="6385" xr:uid="{23A2B2D9-5A2B-42C7-A38F-EAFAE0689432}"/>
    <cellStyle name="Comma 4 5 2 3" xfId="6386" xr:uid="{EACDCCF4-73F7-42D4-9DFF-E9BB9CE3F36A}"/>
    <cellStyle name="Comma 4 5 3" xfId="6387" xr:uid="{FEBF4B71-88A4-4B40-B7E7-13C2089E11BD}"/>
    <cellStyle name="Comma 4 5 3 2" xfId="6388" xr:uid="{66A695F8-5505-48B5-A703-61D754E3ED28}"/>
    <cellStyle name="Comma 4 5 4" xfId="6389" xr:uid="{B1ADE131-7BC1-4318-B208-E52B2A2F323F}"/>
    <cellStyle name="Comma 4 6" xfId="6390" xr:uid="{59212A28-88D8-49F4-AB27-F70DDCFFF2E9}"/>
    <cellStyle name="Comma 4 6 2" xfId="6391" xr:uid="{3F206E2E-50C7-42CA-8545-5932BD481D61}"/>
    <cellStyle name="Comma 4 6 2 2" xfId="6392" xr:uid="{1C7227DE-E02A-4F3C-8EC7-47B1033C2782}"/>
    <cellStyle name="Comma 4 6 3" xfId="6393" xr:uid="{FDB0F6F2-4A15-4769-BF0B-F382B629D558}"/>
    <cellStyle name="Comma 4 7" xfId="6394" xr:uid="{91F69F1F-5B6F-45A2-B7E9-936DC9EB132E}"/>
    <cellStyle name="Comma 4 7 2" xfId="6395" xr:uid="{8DB73EBE-91F5-4D00-A1C3-723D6C12F0E1}"/>
    <cellStyle name="Comma 4 8" xfId="6396" xr:uid="{8C205145-D9B0-4D94-B507-3F68A80C05F0}"/>
    <cellStyle name="Comma 4 9" xfId="6332" xr:uid="{919F9219-DF0C-4BFE-9E2B-D5EF4D786B8D}"/>
    <cellStyle name="Comma 40" xfId="6397" xr:uid="{A8CF4311-88F4-4388-B88C-3C57309FD967}"/>
    <cellStyle name="Comma 41" xfId="6398" xr:uid="{57EC65A1-6B10-4D99-A32B-2A1CD3A1A588}"/>
    <cellStyle name="Comma 42" xfId="6399" xr:uid="{503A980B-889F-4666-A6EE-565662BF7ED7}"/>
    <cellStyle name="Comma 43" xfId="6400" xr:uid="{F5AE173C-7B53-4585-9202-113935120DAB}"/>
    <cellStyle name="Comma 44" xfId="6401" xr:uid="{390FAD2D-6CED-4B55-9606-6E9035EC63FE}"/>
    <cellStyle name="Comma 45" xfId="6402" xr:uid="{D64A217D-77F7-4B57-BEF1-4325AE6A4F56}"/>
    <cellStyle name="Comma 46" xfId="6403" xr:uid="{310AC8D5-8B17-43D5-A212-11F12E11DD42}"/>
    <cellStyle name="Comma 47" xfId="6404" xr:uid="{8034AB93-EC02-4E85-ACA4-342623E73A88}"/>
    <cellStyle name="Comma 48" xfId="6405" xr:uid="{D419B634-804C-42CA-926B-1CC4D180169F}"/>
    <cellStyle name="Comma 49" xfId="6406" xr:uid="{C1993ECD-25CE-4312-8042-53F6F17B06F7}"/>
    <cellStyle name="Comma 5" xfId="361" xr:uid="{FBAEFB4B-6B82-4CF0-A04D-4B33E130CEF6}"/>
    <cellStyle name="Comma 5 2" xfId="921" xr:uid="{99E1C6B0-EBD4-4639-8E2A-26B255C98E0C}"/>
    <cellStyle name="Comma 5 2 2" xfId="6408" xr:uid="{94514379-61A8-437C-BB9A-853B76B9325B}"/>
    <cellStyle name="Comma 5 2 3" xfId="6407" xr:uid="{D0331F27-E87B-419F-B278-F851D088C60B}"/>
    <cellStyle name="Comma 50" xfId="6409" xr:uid="{36B3F5E1-A555-4FFC-B2A4-2711CCA03309}"/>
    <cellStyle name="Comma 51" xfId="6410" xr:uid="{B1070889-0D6C-4A75-9F1F-A313302A8E48}"/>
    <cellStyle name="Comma 52" xfId="6411" xr:uid="{8074B291-4E79-4E02-BF40-B7F4EA67835B}"/>
    <cellStyle name="Comma 53" xfId="6412" xr:uid="{FDA633D3-EE16-46CF-8AAE-902AB4DE254C}"/>
    <cellStyle name="Comma 54" xfId="6413" xr:uid="{6957464E-A4C4-473E-A2E9-E7E2CE2F605C}"/>
    <cellStyle name="Comma 55" xfId="6414" xr:uid="{343F7308-B7E4-4812-9270-E00321BB331A}"/>
    <cellStyle name="Comma 56" xfId="6415" xr:uid="{6995DE79-11DA-4CFC-9C0A-191408D204CF}"/>
    <cellStyle name="Comma 57" xfId="6416" xr:uid="{A5AC0E8B-69F4-479B-9ED8-D2D9ABB22DC5}"/>
    <cellStyle name="Comma 58" xfId="6417" xr:uid="{31C0F6CD-CFF2-4B32-BA7E-9A70D845A4D3}"/>
    <cellStyle name="Comma 59" xfId="6418" xr:uid="{C8E5CCAE-7049-41DD-93E4-D2644B838AD3}"/>
    <cellStyle name="Comma 6" xfId="366" xr:uid="{C32C2BF1-B7BA-4191-8A3B-6559446B3679}"/>
    <cellStyle name="Comma 6 2" xfId="925" xr:uid="{8F446A1B-38EB-4F92-8D57-A42A6464F4A8}"/>
    <cellStyle name="Comma 60" xfId="6419" xr:uid="{82F46F1D-EAC2-40B6-A416-81BF1C63C959}"/>
    <cellStyle name="Comma 61" xfId="6420" xr:uid="{2EC10B3A-A15B-4B71-BED6-25A0AD136D59}"/>
    <cellStyle name="Comma 62" xfId="6421" xr:uid="{83B68161-830D-44C4-B781-86886FB06CF9}"/>
    <cellStyle name="Comma 62 2" xfId="6422" xr:uid="{486B8276-3D5C-4C03-8662-36EB7B2850E2}"/>
    <cellStyle name="Comma 62 2 2" xfId="6423" xr:uid="{A6C0E73F-75D1-477F-B46A-FE5FABC8AE3C}"/>
    <cellStyle name="Comma 62 3" xfId="6424" xr:uid="{F861E1C2-65AB-4D12-8429-35342BF62BC5}"/>
    <cellStyle name="Comma 63" xfId="6425" xr:uid="{0631703C-E7EA-4533-8784-A5903AA27929}"/>
    <cellStyle name="Comma 63 2" xfId="6426" xr:uid="{D726C464-CFA0-423E-A0AD-ED6A150EBF50}"/>
    <cellStyle name="Comma 63 2 2" xfId="6427" xr:uid="{3051B5EA-F237-4360-9D7F-D16C5C00140A}"/>
    <cellStyle name="Comma 63 3" xfId="6428" xr:uid="{13EF46FC-C993-4F76-84BB-469682CAF247}"/>
    <cellStyle name="Comma 64" xfId="6429" xr:uid="{E53BA2DB-CD55-4626-A138-A3D04CDFCE63}"/>
    <cellStyle name="Comma 64 2" xfId="6430" xr:uid="{786A303D-AD18-47CD-A65C-876F8917EF81}"/>
    <cellStyle name="Comma 64 2 2" xfId="6431" xr:uid="{6261CA9E-1800-47C7-92DF-B9FCC3CE1296}"/>
    <cellStyle name="Comma 64 3" xfId="6432" xr:uid="{0DC18919-6A9E-4B9D-AAC4-547D5FDF140A}"/>
    <cellStyle name="Comma 65" xfId="6433" xr:uid="{4253AB1F-9ED1-4F2A-8FE6-1EB54117E08C}"/>
    <cellStyle name="Comma 65 2" xfId="6434" xr:uid="{718DAA74-BC0D-419B-927B-B021B2B37A2F}"/>
    <cellStyle name="Comma 66" xfId="6435" xr:uid="{E0485C73-151C-419C-B9AD-B5F12BDBFFFB}"/>
    <cellStyle name="Comma 66 2" xfId="6436" xr:uid="{91C76E8A-FB73-4A3F-B6B3-7F84697AB6E4}"/>
    <cellStyle name="Comma 67" xfId="6437" xr:uid="{D9BA1C0C-3E15-4815-BA73-9BBA4524CD6F}"/>
    <cellStyle name="Comma 68" xfId="6438" xr:uid="{DE28CA03-1C9A-4CEB-A857-AB06BBD682A1}"/>
    <cellStyle name="Comma 69" xfId="6439" xr:uid="{BF9D52F2-8550-42F3-BA6E-2029D7B8F73C}"/>
    <cellStyle name="Comma 7" xfId="103" xr:uid="{F0D425AC-5517-4CCF-8E48-492EE466BDB3}"/>
    <cellStyle name="Comma 7 2" xfId="362" xr:uid="{5C00CCB3-0777-48ED-B40F-5DBA007CFDDA}"/>
    <cellStyle name="Comma 7 2 2" xfId="724" xr:uid="{876E8049-2881-496E-8116-D6817A82D383}"/>
    <cellStyle name="Comma 7 2 2 2" xfId="2132" xr:uid="{9F5749F3-1E1D-42D7-8FF2-7C5F075FA80A}"/>
    <cellStyle name="Comma 7 2 3" xfId="2015" xr:uid="{C3FE4619-F7AC-4D04-B3AC-53BB86B8DDE9}"/>
    <cellStyle name="Comma 7 3" xfId="639" xr:uid="{CC2FF16D-C3E6-4073-9E38-171EA38CD159}"/>
    <cellStyle name="Comma 7 3 2" xfId="2042" xr:uid="{4659007E-5901-40F9-B7F7-25F74C840886}"/>
    <cellStyle name="Comma 7 4" xfId="1029" xr:uid="{F85EC64F-87C3-4919-AD8C-71D012ECCF21}"/>
    <cellStyle name="Comma 7 4 2" xfId="2135" xr:uid="{5BC2FDAA-5C66-4687-946E-CFCB47C2D55C}"/>
    <cellStyle name="Comma 7 5" xfId="1175" xr:uid="{CBE0B3C7-DC4E-46D6-950A-88D2DD70F198}"/>
    <cellStyle name="Comma 7 5 2" xfId="2138" xr:uid="{CFE1D996-67C8-465B-AC34-DF059C5C660A}"/>
    <cellStyle name="Comma 7 6" xfId="1179" xr:uid="{3C5DCF2B-58A9-4FBC-8E55-4CB863C0BE34}"/>
    <cellStyle name="Comma 7 6 2" xfId="2142" xr:uid="{520E8545-E5F8-489E-8FF8-A3E6E2D05130}"/>
    <cellStyle name="Comma 7 7" xfId="1924" xr:uid="{F34BEA83-81A1-4328-89AA-E9040044F609}"/>
    <cellStyle name="Comma 7 8" xfId="6440" xr:uid="{2C586874-1328-45C9-BE5F-C0E1DEB31449}"/>
    <cellStyle name="Comma 70" xfId="6441" xr:uid="{E2D0014A-1F5D-4291-B4FD-C49E59D2003D}"/>
    <cellStyle name="Comma 71" xfId="6442" xr:uid="{18AD13EB-8A75-420D-A355-1019D8FE5069}"/>
    <cellStyle name="Comma 71 2" xfId="6443" xr:uid="{F82880A8-417D-41CF-B71D-4908E86470FC}"/>
    <cellStyle name="Comma 72" xfId="6444" xr:uid="{C0F66B5A-C6CC-4012-A289-CD99F7297D8A}"/>
    <cellStyle name="Comma 73" xfId="6445" xr:uid="{ACF83C8B-EFDA-4E9C-B759-E4F566139D86}"/>
    <cellStyle name="Comma 73 2" xfId="6446" xr:uid="{D89C053E-3941-4099-93D4-8357CCA5692D}"/>
    <cellStyle name="Comma 73 3" xfId="6447" xr:uid="{FF212C38-763D-4DB4-AD16-09A404FA52C7}"/>
    <cellStyle name="Comma 74" xfId="6448" xr:uid="{3AC6156F-FF6A-4D6C-B141-C6D827B85A69}"/>
    <cellStyle name="Comma 74 2" xfId="6449" xr:uid="{11572B00-74DE-4499-9BEB-128EB1F2DA60}"/>
    <cellStyle name="Comma 74 3" xfId="6450" xr:uid="{429C6E63-CE4C-463B-AB75-44283BA0BC34}"/>
    <cellStyle name="Comma 75" xfId="6451" xr:uid="{5336CD5E-5C9D-4165-A34A-48B2394AB373}"/>
    <cellStyle name="Comma 76" xfId="6452" xr:uid="{FE8285DB-75DA-4C9F-94DD-8FFBAE7126E8}"/>
    <cellStyle name="Comma 77" xfId="6453" xr:uid="{583DBA47-2273-46AF-977B-7A21218CC896}"/>
    <cellStyle name="Comma 78" xfId="6454" xr:uid="{B2B43EE2-CB3D-4DF3-A449-ABEF1E3DBFE0}"/>
    <cellStyle name="Comma 79" xfId="6455" xr:uid="{D8FE4B5E-23A2-48AB-A189-87058FB7CF28}"/>
    <cellStyle name="Comma 8" xfId="368" xr:uid="{793EC4F9-1D28-43E7-BF41-1AA001869A40}"/>
    <cellStyle name="Comma 8 2" xfId="644" xr:uid="{3A3F8042-61C4-43EB-A34D-A4F591A8B848}"/>
    <cellStyle name="Comma 8 2 2" xfId="2045" xr:uid="{C7F6323F-7416-4088-9665-3236010E3938}"/>
    <cellStyle name="Comma 8 3" xfId="1928" xr:uid="{E38EFD65-99C3-44EB-BB8E-D0E62D18EA59}"/>
    <cellStyle name="Comma 8 4" xfId="6456" xr:uid="{E1CD2D38-B395-421F-8685-539D0FB5F92F}"/>
    <cellStyle name="Comma 8 5" xfId="8338" xr:uid="{1013949F-C1E8-4540-A7EF-4DAD4EF7197D}"/>
    <cellStyle name="Comma 80" xfId="6457" xr:uid="{18149F58-EF1A-4A1F-9317-C5AA1C5C013D}"/>
    <cellStyle name="Comma 81" xfId="6458" xr:uid="{E4AC057A-70A0-4121-8B6B-49DF29DD9C82}"/>
    <cellStyle name="Comma 82" xfId="6459" xr:uid="{72DAA55F-E215-44ED-9732-6EC493BE5F2D}"/>
    <cellStyle name="Comma 83" xfId="6460" xr:uid="{6D2D8CB7-C7B9-4A3D-8D19-1222586AFA9D}"/>
    <cellStyle name="Comma 84" xfId="6461" xr:uid="{3EB3C0D7-F330-491F-B978-4F71201EEC77}"/>
    <cellStyle name="Comma 85" xfId="8333" xr:uid="{DEFDD747-1BAD-4DDF-8341-2106F6E66182}"/>
    <cellStyle name="Comma 86" xfId="34" xr:uid="{00000000-0005-0000-0000-000021000000}"/>
    <cellStyle name="Comma 86 2" xfId="8344" xr:uid="{AAB2BFC6-743D-49AC-AA22-3D578A928FA3}"/>
    <cellStyle name="Comma 87" xfId="8353" xr:uid="{54F1E9F9-F826-4C15-AD3D-E07FEE39301C}"/>
    <cellStyle name="Comma 88" xfId="8356" xr:uid="{7549997C-AB18-44F1-A3AF-384E055D2220}"/>
    <cellStyle name="Comma 89" xfId="8368" xr:uid="{A6D9C28A-9BB7-4B7F-BA1C-BC97BCAAC148}"/>
    <cellStyle name="Comma 9" xfId="151" xr:uid="{9A4AA06E-2A52-47C2-B2E2-C4FD937272A8}"/>
    <cellStyle name="Comma 9 2" xfId="904" xr:uid="{F23E8A22-8BC5-49C8-ADD5-13859D169DAE}"/>
    <cellStyle name="Comma 9 2 2" xfId="6464" xr:uid="{BC22F41B-E766-4FCE-8BCA-F5E39B4FF2B5}"/>
    <cellStyle name="Comma 9 2 2 2" xfId="6465" xr:uid="{8CCAB509-6AAA-4D1B-B6AB-ACAE4F571257}"/>
    <cellStyle name="Comma 9 2 2 2 2" xfId="6466" xr:uid="{63754EDC-F12C-42DC-831C-FC2E84ED50AF}"/>
    <cellStyle name="Comma 9 2 2 2 2 2" xfId="6467" xr:uid="{DD8FCBC2-C4DC-424D-B804-6AFAE51249B2}"/>
    <cellStyle name="Comma 9 2 2 2 2 2 2" xfId="6468" xr:uid="{D1A06C5A-891B-4F93-8C03-8681C8BB4BF1}"/>
    <cellStyle name="Comma 9 2 2 2 2 3" xfId="6469" xr:uid="{85E262BE-2EFF-4427-9607-AF90A27D1D29}"/>
    <cellStyle name="Comma 9 2 2 2 3" xfId="6470" xr:uid="{EF7FB691-5D48-4DD0-A7A4-6871F4BC245C}"/>
    <cellStyle name="Comma 9 2 2 2 3 2" xfId="6471" xr:uid="{0E226143-4D31-4082-9BA5-8A341E9904FE}"/>
    <cellStyle name="Comma 9 2 2 2 4" xfId="6472" xr:uid="{89B0899D-E56C-4811-B451-0F585FE3635F}"/>
    <cellStyle name="Comma 9 2 2 3" xfId="6473" xr:uid="{870C122B-12B2-4535-B370-2D75D10311E8}"/>
    <cellStyle name="Comma 9 2 2 3 2" xfId="6474" xr:uid="{58C6838B-C886-4F45-8E35-21A958234D2B}"/>
    <cellStyle name="Comma 9 2 2 3 2 2" xfId="6475" xr:uid="{8894839E-42F6-4752-ABC3-E24CAF02C3BB}"/>
    <cellStyle name="Comma 9 2 2 3 3" xfId="6476" xr:uid="{60F35B3E-B8D1-414C-B028-82B620A8ED53}"/>
    <cellStyle name="Comma 9 2 2 4" xfId="6477" xr:uid="{4BE0DA2A-3A38-4BC1-9F74-77B4975B2AC2}"/>
    <cellStyle name="Comma 9 2 2 4 2" xfId="6478" xr:uid="{26225EAC-8F78-4D64-A7FE-55CC160E4809}"/>
    <cellStyle name="Comma 9 2 2 5" xfId="6479" xr:uid="{93A5A1B4-C590-4787-93E7-57A269744069}"/>
    <cellStyle name="Comma 9 2 3" xfId="6480" xr:uid="{7872F22B-C5B3-42AB-A38D-6BE06BA24008}"/>
    <cellStyle name="Comma 9 2 3 2" xfId="6481" xr:uid="{FCA4FB45-DFB5-46BF-A873-4F140DA0CDC7}"/>
    <cellStyle name="Comma 9 2 3 2 2" xfId="6482" xr:uid="{54BC6EB5-CD56-4FBB-AFF8-A6D53537D34B}"/>
    <cellStyle name="Comma 9 2 3 2 2 2" xfId="6483" xr:uid="{C595798E-B207-4664-A47F-BC711F359494}"/>
    <cellStyle name="Comma 9 2 3 2 3" xfId="6484" xr:uid="{34327D04-9901-436D-A365-FD01D8974C74}"/>
    <cellStyle name="Comma 9 2 3 3" xfId="6485" xr:uid="{3F6A2B9A-4E8F-4907-BAD5-819CFC4F2AB1}"/>
    <cellStyle name="Comma 9 2 3 3 2" xfId="6486" xr:uid="{56F84AFB-46DA-404C-95E6-53AB30A83F40}"/>
    <cellStyle name="Comma 9 2 3 4" xfId="6487" xr:uid="{718C1940-FEDF-41F9-9594-7BA24D1FC1D0}"/>
    <cellStyle name="Comma 9 2 4" xfId="6488" xr:uid="{5A8A7D96-6CD6-4B18-B48D-CE80B38F0DA1}"/>
    <cellStyle name="Comma 9 2 4 2" xfId="6489" xr:uid="{6D258A74-4584-43B1-B474-7ECF05FB4DDA}"/>
    <cellStyle name="Comma 9 2 4 2 2" xfId="6490" xr:uid="{B942F65D-9067-48D8-8D1F-12D8A9AED734}"/>
    <cellStyle name="Comma 9 2 4 3" xfId="6491" xr:uid="{84B93839-8D60-4F44-AC1A-B57EE49B9609}"/>
    <cellStyle name="Comma 9 2 5" xfId="6492" xr:uid="{77399AEA-5834-4A59-9428-E2B257856EC4}"/>
    <cellStyle name="Comma 9 2 5 2" xfId="6493" xr:uid="{04437075-02CE-440C-B555-5732A9478200}"/>
    <cellStyle name="Comma 9 2 6" xfId="6494" xr:uid="{EC1B02E2-B524-4A00-AD8F-DD8018DC7D33}"/>
    <cellStyle name="Comma 9 2 7" xfId="6463" xr:uid="{C37C7855-47B5-43B9-B3EB-5F4169352565}"/>
    <cellStyle name="Comma 9 3" xfId="6495" xr:uid="{F2CE628F-DDBF-47CF-8DE8-DEB4B37B2765}"/>
    <cellStyle name="Comma 9 3 2" xfId="6496" xr:uid="{43902227-9C3D-47ED-89F2-CD824E648F51}"/>
    <cellStyle name="Comma 9 3 2 2" xfId="6497" xr:uid="{0C29F9B6-AA3A-4284-9615-919FD278D989}"/>
    <cellStyle name="Comma 9 3 2 2 2" xfId="6498" xr:uid="{DE5884CD-413D-449A-8D35-65E775E7F98D}"/>
    <cellStyle name="Comma 9 3 2 2 2 2" xfId="6499" xr:uid="{B67A6C20-FC82-4DB9-A442-E1B959E10B83}"/>
    <cellStyle name="Comma 9 3 2 2 3" xfId="6500" xr:uid="{F5D2BCB7-6040-4F59-9B9C-E4D46A1C70E1}"/>
    <cellStyle name="Comma 9 3 2 3" xfId="6501" xr:uid="{87DCD24B-6EED-4134-93DD-17AF29F91BA5}"/>
    <cellStyle name="Comma 9 3 2 3 2" xfId="6502" xr:uid="{33DC6B09-6F15-484D-9E19-23493D953D69}"/>
    <cellStyle name="Comma 9 3 2 4" xfId="6503" xr:uid="{CE7845F4-D8AB-4578-B95B-88EA376BAA98}"/>
    <cellStyle name="Comma 9 3 3" xfId="6504" xr:uid="{CB0E6B36-4751-4F66-A73B-5095F68FC574}"/>
    <cellStyle name="Comma 9 3 3 2" xfId="6505" xr:uid="{65CD3B7B-F5A9-426C-AFCD-3FC74E121009}"/>
    <cellStyle name="Comma 9 3 3 2 2" xfId="6506" xr:uid="{AEA64F4F-45BC-44F9-B407-3264D5B497D9}"/>
    <cellStyle name="Comma 9 3 3 3" xfId="6507" xr:uid="{5EE80864-1F09-4C96-A5D6-491CC5277179}"/>
    <cellStyle name="Comma 9 3 4" xfId="6508" xr:uid="{8262FD04-3E0F-4046-8F01-AD8C4F6CD0E5}"/>
    <cellStyle name="Comma 9 3 4 2" xfId="6509" xr:uid="{014E23F4-7560-4DBC-8894-06DF7D007EC6}"/>
    <cellStyle name="Comma 9 3 5" xfId="6510" xr:uid="{7567EBEE-F22D-48CA-982C-0E2D0DA15B7D}"/>
    <cellStyle name="Comma 9 4" xfId="6511" xr:uid="{5C8CEE58-1FDD-414E-A3E3-BE13D99F3AC7}"/>
    <cellStyle name="Comma 9 4 2" xfId="6512" xr:uid="{946620F8-5ED6-4538-A261-CC46F0ECC71B}"/>
    <cellStyle name="Comma 9 4 2 2" xfId="6513" xr:uid="{9F1A21BE-0D62-4A98-B1C4-CE55B203E14D}"/>
    <cellStyle name="Comma 9 4 2 2 2" xfId="6514" xr:uid="{854FCBB7-43B7-4494-89A5-80C6114B462C}"/>
    <cellStyle name="Comma 9 4 2 3" xfId="6515" xr:uid="{54A391BA-A907-4D61-8B87-27DD2D9DCD11}"/>
    <cellStyle name="Comma 9 4 3" xfId="6516" xr:uid="{756F6EFD-6005-4AFC-8DCC-89D995FA8738}"/>
    <cellStyle name="Comma 9 4 3 2" xfId="6517" xr:uid="{799599E9-65F3-4DF5-B560-84AEFBBC4C7D}"/>
    <cellStyle name="Comma 9 4 4" xfId="6518" xr:uid="{53762EFC-E1C9-4D81-8EEA-71D29A444A70}"/>
    <cellStyle name="Comma 9 5" xfId="6519" xr:uid="{F98E1682-E75D-453F-B8DC-611F727E4F72}"/>
    <cellStyle name="Comma 9 5 2" xfId="6520" xr:uid="{C6B7517F-7549-4231-B69D-0735C386B466}"/>
    <cellStyle name="Comma 9 5 2 2" xfId="6521" xr:uid="{7D53FD3E-28AF-42C4-B3EA-AA3DE139B482}"/>
    <cellStyle name="Comma 9 5 3" xfId="6522" xr:uid="{3F90356E-2EA6-4133-BA4E-35C91B9F03D3}"/>
    <cellStyle name="Comma 9 6" xfId="6523" xr:uid="{17F87B29-2DBC-46B5-8C04-2B3C4787950E}"/>
    <cellStyle name="Comma 9 6 2" xfId="6524" xr:uid="{7479605E-F9CE-44E2-BF47-EC1A867A6944}"/>
    <cellStyle name="Comma 9 7" xfId="6525" xr:uid="{46A88EAC-0D54-4563-8267-E75E77D210C4}"/>
    <cellStyle name="Comma 9 8" xfId="6462" xr:uid="{8856F32A-7273-4795-9241-C7EB18DCF86A}"/>
    <cellStyle name="Comma 9 9" xfId="8334" xr:uid="{2CF29A67-5DF6-49FF-A94E-E94B37C03FB5}"/>
    <cellStyle name="Comma 90" xfId="8371" xr:uid="{F3274DD4-F77D-48B8-86CC-E639A3DA8765}"/>
    <cellStyle name="Comma 91" xfId="101" xr:uid="{CCEBCAE8-E657-4D64-B5A8-F068D06208BF}"/>
    <cellStyle name="Comma0" xfId="35" xr:uid="{00000000-0005-0000-0000-000022000000}"/>
    <cellStyle name="Comma0 2" xfId="153" xr:uid="{8014996C-1133-46D8-912D-325DC7CD9191}"/>
    <cellStyle name="Comma0 2 2" xfId="6527" xr:uid="{4D1BAD34-4422-41DF-BB25-507DCE66642C}"/>
    <cellStyle name="Comma0 3" xfId="6526" xr:uid="{02DFEC41-5F47-467B-BFF4-489DFBCFE6C0}"/>
    <cellStyle name="Comma0 4" xfId="104" xr:uid="{9A16EB15-528F-4D19-8A22-77B9D65168BF}"/>
    <cellStyle name="Currency" xfId="36" builtinId="4"/>
    <cellStyle name="Currency [0] 2" xfId="3216" xr:uid="{6C11C36A-08B5-4B97-A7AE-FE3101372063}"/>
    <cellStyle name="Currency [0] 2 2" xfId="3217" xr:uid="{22891EEA-B546-4EED-B624-8B6B361B4271}"/>
    <cellStyle name="Currency [0] 2 3" xfId="6528" xr:uid="{3C635E90-1815-4F95-A79D-F0A6EDB781F2}"/>
    <cellStyle name="Currency [0] 3" xfId="3201" xr:uid="{73A1B639-4442-4571-9759-91B92FD4C406}"/>
    <cellStyle name="Currency [0] 3 2" xfId="6530" xr:uid="{33E9ED15-A046-435D-94DE-8A8705D028A3}"/>
    <cellStyle name="Currency [0] 3 3" xfId="6529" xr:uid="{BF506131-82DA-4DA6-96BA-C1E98943EBA7}"/>
    <cellStyle name="Currency [0] 4" xfId="6531" xr:uid="{C9C30A50-1A3C-4F7D-B46A-D276C5E218C4}"/>
    <cellStyle name="Currency [0] 4 2" xfId="6532" xr:uid="{5D3F8F0F-AB71-474A-8E0D-A3F21D1A8167}"/>
    <cellStyle name="Currency [0] 5" xfId="6533" xr:uid="{34FDFBCA-9DEE-4A73-9AE5-1849777E55D0}"/>
    <cellStyle name="Currency [0] 5 2" xfId="6534" xr:uid="{082C663E-501C-4B46-B418-6ADC8E791BAF}"/>
    <cellStyle name="Currency [0] 6" xfId="106" xr:uid="{F7DDE923-91F3-4901-A16D-DCB08AD4AEB3}"/>
    <cellStyle name="Currency 10" xfId="3218" xr:uid="{75E74E80-6AF9-4503-914A-CE6AE428E8D5}"/>
    <cellStyle name="Currency 10 2" xfId="6535" xr:uid="{F996CC8A-76B3-40D0-8DF8-69644171FD6B}"/>
    <cellStyle name="Currency 11" xfId="3219" xr:uid="{A44B6684-C193-464B-90C4-74C3A28B7BDF}"/>
    <cellStyle name="Currency 11 2" xfId="6537" xr:uid="{4DEFAB2F-9234-45F9-B344-46D55BF1DA23}"/>
    <cellStyle name="Currency 11 3" xfId="6536" xr:uid="{06B36F10-0E52-4EEA-93A6-DF8A171A4636}"/>
    <cellStyle name="Currency 12" xfId="3220" xr:uid="{5130146A-5828-497A-BB83-63EAFC533BF2}"/>
    <cellStyle name="Currency 12 2" xfId="6539" xr:uid="{FB2827FA-DA66-429E-B3A7-190E66F72D2B}"/>
    <cellStyle name="Currency 12 3" xfId="6538" xr:uid="{6A26EB63-97C6-488F-AFEC-3337F78FFB23}"/>
    <cellStyle name="Currency 13" xfId="3221" xr:uid="{BD376F45-238C-4477-8FA5-05B52EE3A101}"/>
    <cellStyle name="Currency 13 2" xfId="6541" xr:uid="{A72FCFDF-48E8-4DCF-B98D-37FF0FE352EE}"/>
    <cellStyle name="Currency 13 3" xfId="6540" xr:uid="{F7F30618-C4A7-49EF-836B-C196694BCBD6}"/>
    <cellStyle name="Currency 14" xfId="3222" xr:uid="{66CFEB14-EE1B-4C8F-A52B-06C3810188C2}"/>
    <cellStyle name="Currency 14 2" xfId="6543" xr:uid="{B66B7493-15F0-47C5-8082-1001F0D92182}"/>
    <cellStyle name="Currency 14 3" xfId="6542" xr:uid="{69E52A1F-1825-4D04-89B7-2921738694D8}"/>
    <cellStyle name="Currency 15" xfId="3223" xr:uid="{00BF2B3E-C5A0-4186-A791-3F70046D1681}"/>
    <cellStyle name="Currency 15 2" xfId="6544" xr:uid="{BC3D7CB1-56EB-4CE7-806C-30563977E53F}"/>
    <cellStyle name="Currency 16" xfId="3224" xr:uid="{0F98AEF3-99F6-45F3-937E-072E1E91A460}"/>
    <cellStyle name="Currency 16 2" xfId="6545" xr:uid="{95CB6942-3486-4334-AC62-BA5BCADE3245}"/>
    <cellStyle name="Currency 164" xfId="8351" xr:uid="{241A0210-8E57-4E4A-B15C-CFAA31145272}"/>
    <cellStyle name="Currency 17" xfId="3225" xr:uid="{0FFA12F3-DCBE-489A-BEF4-30A1F60DFEE8}"/>
    <cellStyle name="Currency 17 2" xfId="6546" xr:uid="{2DD08741-F65B-429E-BA16-F8C7C4B5A3B0}"/>
    <cellStyle name="Currency 18" xfId="3226" xr:uid="{A3B09540-3F01-4A26-A223-1A970D3B0283}"/>
    <cellStyle name="Currency 18 2" xfId="6547" xr:uid="{6915ED9D-826B-4303-8BBE-731F8EEA406B}"/>
    <cellStyle name="Currency 19" xfId="3227" xr:uid="{4C4A56A9-10DE-4027-94DC-1FF3730C7AC0}"/>
    <cellStyle name="Currency 19 2" xfId="6548" xr:uid="{6106DECB-0B96-4FD4-B2B7-9E968DD97451}"/>
    <cellStyle name="Currency 2" xfId="94" xr:uid="{4B841DCB-E7B8-4C34-8D29-A64D48A6236E}"/>
    <cellStyle name="Currency 2 2" xfId="318" xr:uid="{A203666B-BE31-452E-B5F8-A6FA48DAA21A}"/>
    <cellStyle name="Currency 2 3" xfId="319" xr:uid="{0325B223-43C8-4CE4-83AE-F89790ED1DA9}"/>
    <cellStyle name="Currency 2 4" xfId="140" xr:uid="{4350C6C4-11CD-4639-88C5-7CD8689990A2}"/>
    <cellStyle name="Currency 20" xfId="3228" xr:uid="{46704D9D-C170-4AF3-BBE9-A8D8E7FA7152}"/>
    <cellStyle name="Currency 20 2" xfId="6549" xr:uid="{CE56EDBA-7CDF-4CE5-8B90-D55F4C843CFC}"/>
    <cellStyle name="Currency 21" xfId="3229" xr:uid="{CB6419B5-92A4-4ADA-80A0-3745AE3ED379}"/>
    <cellStyle name="Currency 21 2" xfId="6550" xr:uid="{972F3EEB-2B8A-4D8C-B317-FCB6716DC827}"/>
    <cellStyle name="Currency 22" xfId="3230" xr:uid="{9A9C36D6-7296-4D34-A1CC-C0CA8BCCE622}"/>
    <cellStyle name="Currency 22 2" xfId="6551" xr:uid="{6C424DF4-7D29-4298-8A84-F801EC7B6916}"/>
    <cellStyle name="Currency 23" xfId="3231" xr:uid="{6A2355DE-098E-466D-AFCE-C3DC276627CF}"/>
    <cellStyle name="Currency 23 2" xfId="6552" xr:uid="{22D459BD-D26B-4E6E-8AA7-CD000C715752}"/>
    <cellStyle name="Currency 24" xfId="3232" xr:uid="{1F78BA44-2822-4BE7-86C5-E6615E91FF40}"/>
    <cellStyle name="Currency 24 2" xfId="6553" xr:uid="{88FEAB07-2005-4184-8E96-C20013FF2C93}"/>
    <cellStyle name="Currency 25" xfId="3233" xr:uid="{6C67EE61-D67E-42AC-84AF-49C6D5EA8EDE}"/>
    <cellStyle name="Currency 25 2" xfId="6554" xr:uid="{D99647B7-BFC1-41E8-9185-29FCDF2B72BE}"/>
    <cellStyle name="Currency 26" xfId="3234" xr:uid="{DE1FE995-B5CA-4485-80FF-5401A3B29FB5}"/>
    <cellStyle name="Currency 26 2" xfId="6555" xr:uid="{AF45CBA8-9908-40B2-BCD4-9F193E3C7822}"/>
    <cellStyle name="Currency 27" xfId="3235" xr:uid="{32B4682D-5637-4195-B47C-5090017813B7}"/>
    <cellStyle name="Currency 27 2" xfId="3236" xr:uid="{24F173EA-932A-4064-8B98-21D7F9CAE920}"/>
    <cellStyle name="Currency 27 3" xfId="6556" xr:uid="{C0CD484E-A162-4572-AE88-6201BAAC2846}"/>
    <cellStyle name="Currency 28" xfId="3237" xr:uid="{569FA317-D103-4535-B856-B871C28A20D6}"/>
    <cellStyle name="Currency 28 2" xfId="6557" xr:uid="{4375B4A5-FC89-4D0F-9A67-A2ACB92F1E05}"/>
    <cellStyle name="Currency 29" xfId="3238" xr:uid="{618779EF-AF89-41DC-90B8-41E6322E0AD8}"/>
    <cellStyle name="Currency 29 2" xfId="6558" xr:uid="{7565366A-F51F-48F8-A627-D389CDA4A2E6}"/>
    <cellStyle name="Currency 3" xfId="367" xr:uid="{AB68AE6A-DC84-404A-A2C5-37DF7C07CE30}"/>
    <cellStyle name="Currency 3 2" xfId="643" xr:uid="{7850F1C6-6209-4D25-82B7-7C3D72B21EBC}"/>
    <cellStyle name="Currency 3 2 2" xfId="2044" xr:uid="{58C4EC55-CE39-43D5-B485-063CC02787E2}"/>
    <cellStyle name="Currency 3 3" xfId="1927" xr:uid="{79C70A00-6C71-4C1B-A47A-6EC6BE3F5360}"/>
    <cellStyle name="Currency 3 4" xfId="6559" xr:uid="{4F4B3413-8BF8-4148-AE3F-05602021C518}"/>
    <cellStyle name="Currency 3 5" xfId="8364" xr:uid="{D03D55F0-E813-4252-BACB-AEFDD4290FB9}"/>
    <cellStyle name="Currency 30" xfId="3239" xr:uid="{0E46DCDC-465D-4A55-B241-9EEFD952DD89}"/>
    <cellStyle name="Currency 30 2" xfId="6560" xr:uid="{99DA190E-9267-4EA8-AF5E-D4B871871B54}"/>
    <cellStyle name="Currency 31" xfId="3202" xr:uid="{C1B675F6-E06C-4FE9-A67A-7CD07E89E86A}"/>
    <cellStyle name="Currency 31 2" xfId="6561" xr:uid="{59E07CEA-1B2C-4DBB-993F-18F77030D035}"/>
    <cellStyle name="Currency 32" xfId="3203" xr:uid="{26EDF5CD-82F0-4790-90F5-8B9922B1B2CC}"/>
    <cellStyle name="Currency 32 2" xfId="6562" xr:uid="{17C6D402-933D-4269-BD50-AF725D603753}"/>
    <cellStyle name="Currency 33" xfId="6563" xr:uid="{A42161A4-4EB8-4271-AF66-97D17C85A878}"/>
    <cellStyle name="Currency 34" xfId="6564" xr:uid="{DADA40BA-DA6E-4067-952F-5D3005413D1A}"/>
    <cellStyle name="Currency 35" xfId="6565" xr:uid="{0F847377-A4D0-4575-86CA-C7C69900DF7D}"/>
    <cellStyle name="Currency 36" xfId="6566" xr:uid="{29902F1B-D344-4C19-B56C-A6403C2B3BC0}"/>
    <cellStyle name="Currency 37" xfId="6567" xr:uid="{3C50D7CD-86E0-4A92-8F02-59A04153DEB6}"/>
    <cellStyle name="Currency 38" xfId="6568" xr:uid="{01DBC84B-EDB3-4E0B-BD19-5DA6EAE4F086}"/>
    <cellStyle name="Currency 39" xfId="6569" xr:uid="{C1CCE0FA-6272-43CD-9252-4B546CAC22C9}"/>
    <cellStyle name="Currency 4" xfId="154" xr:uid="{F9173843-75CA-4B53-8FBA-512B73B5783A}"/>
    <cellStyle name="Currency 4 2" xfId="476" xr:uid="{2335FAAC-CCF5-4CA8-B4B5-FE1A5BBA5735}"/>
    <cellStyle name="Currency 4 2 2" xfId="1026" xr:uid="{2E5A4B0C-3B95-47F8-A26B-1E6DB99F8CE9}"/>
    <cellStyle name="Currency 4 2 3" xfId="2131" xr:uid="{B7B8D7CA-A1AE-4907-9A71-A78F242E7CF8}"/>
    <cellStyle name="Currency 4 3" xfId="723" xr:uid="{EC2837B5-F0DC-4FB6-A134-839EBD43179E}"/>
    <cellStyle name="Currency 4 4" xfId="2014" xr:uid="{EBF41E8E-F217-4E23-A55E-28E9A1FD80DC}"/>
    <cellStyle name="Currency 4 5" xfId="6570" xr:uid="{3C320675-2E40-4FE9-B4A2-E091962F0E53}"/>
    <cellStyle name="Currency 40" xfId="6571" xr:uid="{537A86F3-5573-43FD-A493-76178AABD880}"/>
    <cellStyle name="Currency 41" xfId="6572" xr:uid="{C95EB010-5757-432B-9358-010C89CA1ED1}"/>
    <cellStyle name="Currency 42" xfId="6573" xr:uid="{03E9316B-0251-420B-B9DD-73D6D01B14B5}"/>
    <cellStyle name="Currency 43" xfId="6574" xr:uid="{D2516747-19FA-4E55-83FD-29B5F6ADA4DF}"/>
    <cellStyle name="Currency 44" xfId="6575" xr:uid="{A2295024-6C2C-446D-88A9-90455800FF5F}"/>
    <cellStyle name="Currency 45" xfId="6576" xr:uid="{B72A3EB5-F0BC-46FE-AA5E-9C82FD00910C}"/>
    <cellStyle name="Currency 46" xfId="6577" xr:uid="{43A9D2FA-31FC-4F4F-A627-7656BAAABAC1}"/>
    <cellStyle name="Currency 47" xfId="6578" xr:uid="{379132B8-5299-4CD5-9B82-2845706FF28F}"/>
    <cellStyle name="Currency 48" xfId="6579" xr:uid="{9C84FDF2-1010-46B1-BF2F-ECF2987D4527}"/>
    <cellStyle name="Currency 49" xfId="6580" xr:uid="{EC5ED63A-00B2-4FBC-945E-27AE3184426C}"/>
    <cellStyle name="Currency 5" xfId="1028" xr:uid="{9A164F86-94EA-4B9E-9F51-FE2525117D75}"/>
    <cellStyle name="Currency 5 2" xfId="2134" xr:uid="{DFEA8CE1-EC68-4AF7-AE43-5D22DA01CF10}"/>
    <cellStyle name="Currency 5 3" xfId="6581" xr:uid="{1F5A4309-440D-45DF-92D1-20BBBAB9EDED}"/>
    <cellStyle name="Currency 50" xfId="6582" xr:uid="{B0EFE050-AE62-4E7A-A81C-AAFD2B84EB75}"/>
    <cellStyle name="Currency 51" xfId="6583" xr:uid="{749AA36B-52FC-46C2-B29F-F9A590E60509}"/>
    <cellStyle name="Currency 52" xfId="6584" xr:uid="{BBB4716C-E257-4B3B-AA29-C30F87F69AD6}"/>
    <cellStyle name="Currency 53" xfId="6585" xr:uid="{B01C61F2-6C97-45A7-BFB2-53CE7D35DC8E}"/>
    <cellStyle name="Currency 54" xfId="6586" xr:uid="{7F3B8921-DD2B-4289-9F46-AD50E93C3DA0}"/>
    <cellStyle name="Currency 55" xfId="6587" xr:uid="{3EBC309E-9FC7-468B-A1FB-461F63BA6866}"/>
    <cellStyle name="Currency 56" xfId="6588" xr:uid="{E927769F-0A19-456F-9220-997B01485D52}"/>
    <cellStyle name="Currency 56 2" xfId="6589" xr:uid="{B5103B3E-8605-48BB-B911-32BD731130DA}"/>
    <cellStyle name="Currency 57" xfId="6590" xr:uid="{6EADB7FE-9A13-44EE-AEF9-C2C71E42D887}"/>
    <cellStyle name="Currency 57 2" xfId="6591" xr:uid="{1C83E217-35A2-4C5C-8764-F061E268FCDF}"/>
    <cellStyle name="Currency 58" xfId="6592" xr:uid="{AA3D979E-9ED5-400A-9ED8-F49CD6FD3267}"/>
    <cellStyle name="Currency 59" xfId="6593" xr:uid="{5AD53F83-67D9-4136-9ED3-9048BB2D2870}"/>
    <cellStyle name="Currency 6" xfId="1174" xr:uid="{CD96A9E3-C473-4E63-86AA-72669F878663}"/>
    <cellStyle name="Currency 6 2" xfId="2137" xr:uid="{3173B328-C1AA-4333-83C8-4D2A10C16BF6}"/>
    <cellStyle name="Currency 6 3" xfId="6594" xr:uid="{E5BE10C0-6688-45E3-A91F-06F86C1F1731}"/>
    <cellStyle name="Currency 60" xfId="6595" xr:uid="{61AEFBBC-9F8A-415A-B6C8-1F3D9B376A71}"/>
    <cellStyle name="Currency 61" xfId="6596" xr:uid="{AB9DF075-30E7-4337-87D6-B8C58E91E7FF}"/>
    <cellStyle name="Currency 62" xfId="6597" xr:uid="{5E09E68D-5E35-499D-A524-6587477F715C}"/>
    <cellStyle name="Currency 62 2" xfId="6598" xr:uid="{31D00EB6-9DB4-4C07-B831-1C438F1ECAB9}"/>
    <cellStyle name="Currency 63" xfId="6599" xr:uid="{C0917E16-7113-4212-94CD-439F11893449}"/>
    <cellStyle name="Currency 64" xfId="6600" xr:uid="{0E94900F-11FE-4D4E-A32B-E86467D0533D}"/>
    <cellStyle name="Currency 65" xfId="6601" xr:uid="{158E6855-BA1D-489F-A013-20BC9B4A50E5}"/>
    <cellStyle name="Currency 66" xfId="6602" xr:uid="{8DB7509D-ED72-4A7F-AE4C-6B31B70B6ABE}"/>
    <cellStyle name="Currency 67" xfId="6603" xr:uid="{6C196264-1DD1-4D94-9005-3995AECE7B36}"/>
    <cellStyle name="Currency 68" xfId="6604" xr:uid="{06995133-6554-417E-87DA-275C50F2A1A0}"/>
    <cellStyle name="Currency 69" xfId="6605" xr:uid="{91C4C08D-C0E6-430F-9FA8-A71114010B9A}"/>
    <cellStyle name="Currency 7" xfId="1178" xr:uid="{34A6D218-0214-4622-BC4D-6BECEA3E53C6}"/>
    <cellStyle name="Currency 7 2" xfId="2141" xr:uid="{8254F24D-109E-45DA-83CC-5ECEAA3F7391}"/>
    <cellStyle name="Currency 7 3" xfId="6606" xr:uid="{9B89F3FA-AE85-4BC7-9B4E-1CBF3A7D3E01}"/>
    <cellStyle name="Currency 70" xfId="6607" xr:uid="{A7D9354B-8A52-402A-A0A5-B907F79FC6B8}"/>
    <cellStyle name="Currency 71" xfId="6608" xr:uid="{38FCCBC5-1BAE-4274-B26A-E38EE6D62B1D}"/>
    <cellStyle name="Currency 72" xfId="6609" xr:uid="{27A67B04-86E8-4058-9F0B-7675DCDE0E2D}"/>
    <cellStyle name="Currency 73" xfId="6610" xr:uid="{65AFCA47-6988-4E28-BF10-6373F327ACDE}"/>
    <cellStyle name="Currency 74" xfId="6611" xr:uid="{CB7B7949-D00C-4CF5-91EF-FF7DB95B3EF6}"/>
    <cellStyle name="Currency 75" xfId="6612" xr:uid="{2E4230E5-76EF-4185-8A45-BAB61EB2706D}"/>
    <cellStyle name="Currency 76" xfId="8342" xr:uid="{8021AE3A-9AD5-4432-8F0C-CF50992D93DF}"/>
    <cellStyle name="Currency 77" xfId="105" xr:uid="{0831CD9E-3B19-42D2-9CA0-0B9952797ABB}"/>
    <cellStyle name="Currency 8" xfId="3240" xr:uid="{F5F19339-65F8-4A68-92D2-CD0B01D6F4E7}"/>
    <cellStyle name="Currency 8 2" xfId="6613" xr:uid="{6BF6E00D-5B75-4988-BEDC-493461C02706}"/>
    <cellStyle name="Currency 9" xfId="3241" xr:uid="{567EF739-6E5C-410E-BF21-FE396992E561}"/>
    <cellStyle name="Currency 9 2" xfId="6614" xr:uid="{46394947-B555-463B-9457-BF125D2C1FED}"/>
    <cellStyle name="Currency0" xfId="37" xr:uid="{00000000-0005-0000-0000-000024000000}"/>
    <cellStyle name="Currency0 2" xfId="6616" xr:uid="{9B64864C-C257-4C41-9489-BE305C470270}"/>
    <cellStyle name="Currency0 3" xfId="6615" xr:uid="{D7E0EB84-4DA0-487D-8B3E-814E478B6FB3}"/>
    <cellStyle name="Currency0 4" xfId="107" xr:uid="{EB9F73CF-E48D-4089-B229-A17E6B063593}"/>
    <cellStyle name="Currency0_Jurisdictional Study" xfId="9678" xr:uid="{4556CFBD-96C6-465A-8A9C-B0846C43550B}"/>
    <cellStyle name="Date" xfId="38" xr:uid="{00000000-0005-0000-0000-000025000000}"/>
    <cellStyle name="Date 2" xfId="6618" xr:uid="{F8739681-AC6C-4CD7-A1FD-9022777186B4}"/>
    <cellStyle name="Date 3" xfId="6617" xr:uid="{9E6F23BC-C1B7-4DCA-87A9-0501DFEDE83B}"/>
    <cellStyle name="Date 4" xfId="108" xr:uid="{261339F7-71CB-4A58-8975-D0332BE94A55}"/>
    <cellStyle name="Date_Jurisdictional Study" xfId="9679" xr:uid="{6447017D-B0C9-4A8B-ADE0-FF31185A1CA1}"/>
    <cellStyle name="Eingabe" xfId="155" xr:uid="{FA3C022A-3543-4237-938B-83E59E954CC4}"/>
    <cellStyle name="Eingabe 2" xfId="274" xr:uid="{BF747425-B508-48CD-8A9A-4EA682E226A1}"/>
    <cellStyle name="Euro" xfId="39" xr:uid="{00000000-0005-0000-0000-000026000000}"/>
    <cellStyle name="Euro 2" xfId="320" xr:uid="{381F9E53-680C-4CC3-A326-65609AE12DDB}"/>
    <cellStyle name="Euro 2 2" xfId="6620" xr:uid="{6065A26F-DFED-48AB-8266-2B1A78CB9F6F}"/>
    <cellStyle name="Euro 3" xfId="6619" xr:uid="{0F2F94D2-A46F-4E5D-A3F9-0598AAD5A830}"/>
    <cellStyle name="Euro 4" xfId="156" xr:uid="{908113EA-7736-41A4-884B-2A261C37AA7C}"/>
    <cellStyle name="Euro_Jurisdictional Study" xfId="9680" xr:uid="{BADFCE7A-FA42-42A4-9C63-6E5DEA56A2AA}"/>
    <cellStyle name="Explanatory Text" xfId="40" builtinId="53" customBuiltin="1"/>
    <cellStyle name="Explanatory Text 2" xfId="275" xr:uid="{13B6A699-6D91-433E-B58C-C568AC877A22}"/>
    <cellStyle name="Explanatory Text 2 2" xfId="6621" xr:uid="{411F680F-C0FE-4444-9338-5FEA5CFC2D0E}"/>
    <cellStyle name="Explanatory Text 3" xfId="6622" xr:uid="{2F948374-3B39-449A-BE57-7023B97A3E15}"/>
    <cellStyle name="Explanatory Text 4" xfId="3168" xr:uid="{4C19DED7-2405-4F14-B054-F7D08CAD2AC5}"/>
    <cellStyle name="F2" xfId="41" xr:uid="{00000000-0005-0000-0000-000028000000}"/>
    <cellStyle name="F2 2" xfId="6623" xr:uid="{CBB3A2A0-E824-4A09-9AAB-A219B7FA8F14}"/>
    <cellStyle name="F2 3" xfId="157" xr:uid="{BD919D19-BA7A-4E1F-8589-AF5EC0FB2444}"/>
    <cellStyle name="F2_Jurisdictional Study" xfId="9681" xr:uid="{1F8A8A02-D882-464B-BBBD-54ADAD6189D2}"/>
    <cellStyle name="F3" xfId="42" xr:uid="{00000000-0005-0000-0000-000029000000}"/>
    <cellStyle name="F3 2" xfId="6624" xr:uid="{FA8C3C78-4EBA-4C21-9311-55DE3204310D}"/>
    <cellStyle name="F3 3" xfId="158" xr:uid="{1CB1509B-AD31-4126-B103-519A328B1405}"/>
    <cellStyle name="F3_Jurisdictional Study" xfId="9682" xr:uid="{B80FFA20-EFCF-4E10-A405-A4B6E5A7DFAF}"/>
    <cellStyle name="F4" xfId="43" xr:uid="{00000000-0005-0000-0000-00002A000000}"/>
    <cellStyle name="F4 2" xfId="6625" xr:uid="{8655D623-1C19-4D01-9507-0E7DB78684A4}"/>
    <cellStyle name="F4 3" xfId="159" xr:uid="{3A8309AC-9320-4820-9C89-C518308266BA}"/>
    <cellStyle name="F4_Jurisdictional Study" xfId="9683" xr:uid="{F901A2DA-E828-4C13-90C9-C8DB04131DAC}"/>
    <cellStyle name="F5" xfId="44" xr:uid="{00000000-0005-0000-0000-00002B000000}"/>
    <cellStyle name="F5 2" xfId="6627" xr:uid="{7AD3C00C-F55A-48AE-AE26-B8D732A72DDC}"/>
    <cellStyle name="F5 3" xfId="6626" xr:uid="{FB0A25E2-8EE8-4627-A56D-4DDD47F15857}"/>
    <cellStyle name="F6" xfId="45" xr:uid="{00000000-0005-0000-0000-00002C000000}"/>
    <cellStyle name="F6 2" xfId="363" xr:uid="{9C7DC818-94EA-47F6-89B2-28FB9EDA0E26}"/>
    <cellStyle name="F6 2 2" xfId="6629" xr:uid="{5D3DBC86-830D-4CE4-9FCF-3DC016757EA9}"/>
    <cellStyle name="F6 3" xfId="6628" xr:uid="{28C1FE8F-0414-4994-951B-C44DCD7D3231}"/>
    <cellStyle name="F7" xfId="46" xr:uid="{00000000-0005-0000-0000-00002D000000}"/>
    <cellStyle name="F7 2" xfId="6630" xr:uid="{922D4C8E-5E82-4250-AD3F-4E0CC798E165}"/>
    <cellStyle name="F7 3" xfId="160" xr:uid="{47263503-CED1-4569-B5E4-5CB84BD5F2C9}"/>
    <cellStyle name="F7_Jurisdictional Study" xfId="9684" xr:uid="{7E5BC777-1236-4782-976A-2BF2EA092A82}"/>
    <cellStyle name="F8" xfId="47" xr:uid="{00000000-0005-0000-0000-00002E000000}"/>
    <cellStyle name="F8 2" xfId="6631" xr:uid="{36F383B1-B525-4DFA-B017-0FAA3246004E}"/>
    <cellStyle name="Fixed" xfId="48" xr:uid="{00000000-0005-0000-0000-00002F000000}"/>
    <cellStyle name="Fixed 2" xfId="6633" xr:uid="{38425EB0-096D-40AD-B5BC-86DD6E02B267}"/>
    <cellStyle name="Fixed 3" xfId="6632" xr:uid="{11B298CD-A9D1-4570-90E3-09E0B9288C98}"/>
    <cellStyle name="Fixed 4" xfId="109" xr:uid="{0E583985-A5C2-48D2-865A-1FC6A0C6DF8C}"/>
    <cellStyle name="Good" xfId="49" builtinId="26" customBuiltin="1"/>
    <cellStyle name="Good 2" xfId="276" xr:uid="{079A487D-61C7-400E-A9D2-EA5C05711059}"/>
    <cellStyle name="Good 2 2" xfId="6634" xr:uid="{4DF3D808-AFA9-40E2-B73F-E9AB62449A37}"/>
    <cellStyle name="Good 2_Jurisdictional Study" xfId="9685" xr:uid="{41163545-201C-4C92-9422-8AEF79F97A83}"/>
    <cellStyle name="Good 3" xfId="6635" xr:uid="{2D10D3E3-32CF-4D72-AA6D-D751B96477C2}"/>
    <cellStyle name="Good 4" xfId="3159" xr:uid="{8F717302-EFFE-4ED7-89D5-C19FA9687A83}"/>
    <cellStyle name="Heading 1" xfId="50" builtinId="16" customBuiltin="1"/>
    <cellStyle name="Heading 1 2" xfId="277" xr:uid="{9E75CC4A-B491-4D85-ABA1-7DFE5411F861}"/>
    <cellStyle name="Heading 1 2 2" xfId="6636" xr:uid="{A0D54FAE-C663-4BE5-8F2D-4DAD66AABBA3}"/>
    <cellStyle name="Heading 1 2_Jurisdictional Study" xfId="9686" xr:uid="{B51C4B02-299C-4A0D-AF0F-8CD5FB7DB56B}"/>
    <cellStyle name="Heading 1 3" xfId="3194" xr:uid="{6137F666-CA63-4165-847B-BFAEACFC2BF7}"/>
    <cellStyle name="Heading 1 3 2" xfId="6637" xr:uid="{990B91E6-8517-478F-86AC-E75CDCCD6C2C}"/>
    <cellStyle name="Heading 1 3_Jurisdictional Study" xfId="9687" xr:uid="{7BE89F20-9ED9-4C93-9FB2-880F954FFF70}"/>
    <cellStyle name="Heading 1 4" xfId="110" xr:uid="{7275C725-9622-468A-B90B-AED5F9BC1517}"/>
    <cellStyle name="Heading 2" xfId="51" builtinId="17" customBuiltin="1"/>
    <cellStyle name="Heading 2 2" xfId="278" xr:uid="{71FE3A80-C3CE-4090-9CD4-B3734879165A}"/>
    <cellStyle name="Heading 2 2 2" xfId="6638" xr:uid="{166D6812-3D47-4986-B90F-9A8CDC8B362B}"/>
    <cellStyle name="Heading 2 2_Jurisdictional Study" xfId="9688" xr:uid="{12200694-8F14-4C3E-ABA8-E2170AC5755F}"/>
    <cellStyle name="Heading 2 3" xfId="3195" xr:uid="{A50D1764-C217-44F8-9FB3-0939D6429D49}"/>
    <cellStyle name="Heading 2 3 2" xfId="6639" xr:uid="{5861C36C-5B24-45B7-996D-0823970DB89F}"/>
    <cellStyle name="Heading 2 3_Jurisdictional Study" xfId="9689" xr:uid="{3DFFDAE0-8131-4934-A44C-BFEC04779ECE}"/>
    <cellStyle name="Heading 2 4" xfId="111" xr:uid="{4CB5186C-A306-42E1-AD96-FDAD70F76E00}"/>
    <cellStyle name="Heading 3" xfId="52" builtinId="18" customBuiltin="1"/>
    <cellStyle name="Heading 3 2" xfId="279" xr:uid="{6B86E7CE-5BBF-4C7C-BDE4-DC0A20D21369}"/>
    <cellStyle name="Heading 3 2 2" xfId="6641" xr:uid="{DA2DC22C-5CA0-4DEA-A7AF-76D24EE5BA98}"/>
    <cellStyle name="Heading 3 2 3" xfId="6640" xr:uid="{630C8B75-7DE4-472B-A0D8-DFF4B78FA8A6}"/>
    <cellStyle name="Heading 3 2_Jurisdictional Study" xfId="9690" xr:uid="{910EC434-33E6-4538-8188-C14D9D67DC03}"/>
    <cellStyle name="Heading 3 3" xfId="6642" xr:uid="{58CF9802-1649-41CB-82EA-ED62EBE45E8D}"/>
    <cellStyle name="Heading 3 4" xfId="6643" xr:uid="{54C83753-F620-4C4F-A648-146335B5B9D2}"/>
    <cellStyle name="Heading 3 5" xfId="6644" xr:uid="{CB0693CF-84E4-4075-B290-85AD0BA6FA2C}"/>
    <cellStyle name="Heading 3 6" xfId="3157" xr:uid="{EF10342E-E72E-4D9D-9FD5-A57EAED0C852}"/>
    <cellStyle name="Heading 4" xfId="53" builtinId="19" customBuiltin="1"/>
    <cellStyle name="Heading 4 2" xfId="280" xr:uid="{D35421D7-C7A7-4A3E-8611-9A6830B19DC7}"/>
    <cellStyle name="Heading 4 2 2" xfId="6645" xr:uid="{8CA9B9CB-3AAD-4B4D-9833-CF6E903F7121}"/>
    <cellStyle name="Heading 4 2_Jurisdictional Study" xfId="9691" xr:uid="{9DDF0209-90B3-4527-A589-8FFCC8D0C4C8}"/>
    <cellStyle name="Heading 4 3" xfId="6646" xr:uid="{A8D92A36-DA6F-40A9-95EF-41564CD7A713}"/>
    <cellStyle name="Heading 4 4" xfId="3158" xr:uid="{6E0DDFDC-A8C9-4290-894A-8A5873E76D01}"/>
    <cellStyle name="Hyperlink 2" xfId="6647" xr:uid="{3E2A77EE-3F7B-468C-B6FE-CC106CE51966}"/>
    <cellStyle name="Input" xfId="54" builtinId="20" customBuiltin="1"/>
    <cellStyle name="Input 10" xfId="391" xr:uid="{27B889CA-50E0-4B56-A5A7-7F62C2D568DC}"/>
    <cellStyle name="Input 10 10" xfId="2701" xr:uid="{82913A8A-3C21-457E-85F5-1A50FD508F0A}"/>
    <cellStyle name="Input 10 2" xfId="948" xr:uid="{B6615B0D-D932-48F2-B322-3748C964BBD0}"/>
    <cellStyle name="Input 10 2 2" xfId="1090" xr:uid="{0153C0F3-369C-4118-809A-67FD0395EC61}"/>
    <cellStyle name="Input 10 2 3" xfId="1331" xr:uid="{80416BA8-1CA9-4D13-944A-30DC39DA15D2}"/>
    <cellStyle name="Input 10 2 4" xfId="490" xr:uid="{89624408-E3A8-4175-B20C-E4F777CAE9CC}"/>
    <cellStyle name="Input 10 2 5" xfId="1650" xr:uid="{399307AC-344C-4792-A486-BC63DBA1A2AA}"/>
    <cellStyle name="Input 10 2 6" xfId="2438" xr:uid="{D64DF4E3-217A-4E1E-873A-D1EA36985BBE}"/>
    <cellStyle name="Input 10 2 7" xfId="2761" xr:uid="{0B0AC6F3-2C83-4B5D-A80C-B62DE627440C}"/>
    <cellStyle name="Input 10 2 8" xfId="2865" xr:uid="{F8CA5FAE-7180-4C2F-9637-8723A7610BC6}"/>
    <cellStyle name="Input 10 2 9" xfId="1897" xr:uid="{AFE0486C-6074-44A9-94BC-8EE72715A6A0}"/>
    <cellStyle name="Input 10 2_Jurisdictional Study" xfId="9693" xr:uid="{2063428B-0C5D-485C-AB02-BC2DC7D0CDC4}"/>
    <cellStyle name="Input 10 3" xfId="717" xr:uid="{4BA0C0E1-1FB6-4CDC-92FA-5DA0AF385F53}"/>
    <cellStyle name="Input 10 4" xfId="1206" xr:uid="{8CD90FA4-5C72-4318-94B4-BEBA223D94C3}"/>
    <cellStyle name="Input 10 5" xfId="1079" xr:uid="{DF100406-F08E-4329-96AF-E1C4131DAC5D}"/>
    <cellStyle name="Input 10 6" xfId="1479" xr:uid="{8884FC70-18E9-4B3E-9F51-7D59AC00056F}"/>
    <cellStyle name="Input 10 7" xfId="1960" xr:uid="{BA2DB206-6D92-4B76-9561-4D5766601784}"/>
    <cellStyle name="Input 10 8" xfId="2558" xr:uid="{B069FAC2-B524-4FB6-8F58-E78A22A6308F}"/>
    <cellStyle name="Input 10 9" xfId="2924" xr:uid="{6A6D8F67-8A25-41F7-A38A-6010A8BF79B4}"/>
    <cellStyle name="Input 10_Jurisdictional Study" xfId="9692" xr:uid="{B2B9D7F9-99E9-4C9D-B68C-6B576D26793C}"/>
    <cellStyle name="Input 11" xfId="440" xr:uid="{0CD844B3-1A96-4714-AF48-20997E1D6593}"/>
    <cellStyle name="Input 11 10" xfId="2634" xr:uid="{4F34D7F9-2A57-4085-B3F9-B1C5EB0F7F1B}"/>
    <cellStyle name="Input 11 2" xfId="993" xr:uid="{71529C58-F8AE-4D9F-87FD-A42CA47C1BB9}"/>
    <cellStyle name="Input 11 2 2" xfId="531" xr:uid="{1EAF99BC-0B61-4471-A2F3-6E0356B768AF}"/>
    <cellStyle name="Input 11 2 3" xfId="1375" xr:uid="{70F1F79C-8E1C-4E6A-A71E-9B86B657A507}"/>
    <cellStyle name="Input 11 2 4" xfId="1546" xr:uid="{D315A277-D39F-42B8-BA51-CE9EF8F303A7}"/>
    <cellStyle name="Input 11 2 5" xfId="1693" xr:uid="{89D19ADB-41D5-44C4-808E-799C62178D71}"/>
    <cellStyle name="Input 11 2 6" xfId="2482" xr:uid="{FDCA72BD-79F9-4730-993E-45061C2F26C0}"/>
    <cellStyle name="Input 11 2 7" xfId="2804" xr:uid="{0EC6462F-D9DF-41D9-B61A-4E4F281B2C4D}"/>
    <cellStyle name="Input 11 2 8" xfId="2065" xr:uid="{75422A63-296C-4166-A94E-24FF1061B5E9}"/>
    <cellStyle name="Input 11 2 9" xfId="3125" xr:uid="{2E3394AC-9321-43F2-885F-85E08D28A4A9}"/>
    <cellStyle name="Input 11 2_Jurisdictional Study" xfId="9695" xr:uid="{290A9FC3-8955-4BC4-A4F1-940D4AE30D18}"/>
    <cellStyle name="Input 11 3" xfId="623" xr:uid="{87B2640C-0537-4BB0-A772-930EE963A4E1}"/>
    <cellStyle name="Input 11 4" xfId="1254" xr:uid="{6EE86C7D-808C-460D-8DA0-6F61CD36496C}"/>
    <cellStyle name="Input 11 5" xfId="657" xr:uid="{80A980E4-1CAE-4061-8120-1EB2E0D073CD}"/>
    <cellStyle name="Input 11 6" xfId="1593" xr:uid="{FF00CB66-2F4C-4B44-B949-0C39FD5B7131}"/>
    <cellStyle name="Input 11 7" xfId="1726" xr:uid="{CF422F67-C26A-4C0E-8073-F5F42A4E5364}"/>
    <cellStyle name="Input 11 8" xfId="1805" xr:uid="{5D5107AC-ECB5-4FA1-9E97-734163285351}"/>
    <cellStyle name="Input 11 9" xfId="1741" xr:uid="{CC60B860-2257-40BF-9334-2FE05C9D05BF}"/>
    <cellStyle name="Input 11_Jurisdictional Study" xfId="9694" xr:uid="{5ED56BAC-165B-4E37-B239-205794CB6F23}"/>
    <cellStyle name="Input 12" xfId="397" xr:uid="{27CC1839-0C66-4D29-A50A-C7910C67EE29}"/>
    <cellStyle name="Input 12 10" xfId="2086" xr:uid="{E5DDEB59-7BDD-4F3C-A6B3-482DDDEC87C2}"/>
    <cellStyle name="Input 12 2" xfId="953" xr:uid="{C30C92C9-0F0C-4726-8CEF-444D17E6E3ED}"/>
    <cellStyle name="Input 12 2 2" xfId="1157" xr:uid="{8C86DF7E-09A6-4DD7-82FE-5B292DC9AA23}"/>
    <cellStyle name="Input 12 2 3" xfId="1336" xr:uid="{D6C2EE36-33EC-4B1E-886C-E5716C961DC4}"/>
    <cellStyle name="Input 12 2 4" xfId="484" xr:uid="{35DBB3E2-BDA6-485D-A450-13484B629F6C}"/>
    <cellStyle name="Input 12 2 5" xfId="1655" xr:uid="{43232121-C18B-4E91-BE7C-780D22E5C54A}"/>
    <cellStyle name="Input 12 2 6" xfId="2443" xr:uid="{2852546B-394E-4FEB-A26A-48AEC83C3B51}"/>
    <cellStyle name="Input 12 2 7" xfId="2766" xr:uid="{CD4273AA-6295-493C-8359-EB402C67A060}"/>
    <cellStyle name="Input 12 2 8" xfId="2324" xr:uid="{4D917FC7-1FA7-4DBF-AC58-B5E1424704F9}"/>
    <cellStyle name="Input 12 2 9" xfId="2936" xr:uid="{D5768AC5-8105-43DA-A327-AA8587D9AFB9}"/>
    <cellStyle name="Input 12 2_Jurisdictional Study" xfId="9697" xr:uid="{C3EF3A04-47FC-4396-9CA8-81887244E520}"/>
    <cellStyle name="Input 12 3" xfId="1112" xr:uid="{66BF7F5B-DF9F-415E-B118-9256D33974DE}"/>
    <cellStyle name="Input 12 4" xfId="1212" xr:uid="{EF2A1A96-F74E-41D9-9D64-17AD543B9185}"/>
    <cellStyle name="Input 12 5" xfId="1426" xr:uid="{89F77969-6B07-4DA7-B4DC-20C1C1412C13}"/>
    <cellStyle name="Input 12 6" xfId="1432" xr:uid="{75B0A717-5672-42F2-9E3B-557E669A3F6B}"/>
    <cellStyle name="Input 12 7" xfId="1863" xr:uid="{89D11DD7-AC16-4689-977B-B90978823807}"/>
    <cellStyle name="Input 12 8" xfId="2315" xr:uid="{CB8AEC08-0E02-446F-ABA5-58A1AAF138E1}"/>
    <cellStyle name="Input 12 9" xfId="2947" xr:uid="{E1E40CD1-A93B-4B77-9BDD-9F08F000C5DD}"/>
    <cellStyle name="Input 12_Jurisdictional Study" xfId="9696" xr:uid="{076D9D5D-4D12-4262-A277-AD672169BCF2}"/>
    <cellStyle name="Input 13" xfId="415" xr:uid="{8964520A-EF79-4CBB-8AD7-2F9366DE6FA8}"/>
    <cellStyle name="Input 13 10" xfId="1983" xr:uid="{7F3387C2-0FC3-4F62-AF5C-63CBCCA3A47E}"/>
    <cellStyle name="Input 13 2" xfId="971" xr:uid="{92F444D4-2068-4DC4-A548-7DACB7760A81}"/>
    <cellStyle name="Input 13 2 2" xfId="1121" xr:uid="{4BD5D736-CF0C-43DD-90E3-E1AC3DF745C6}"/>
    <cellStyle name="Input 13 2 3" xfId="1354" xr:uid="{7537FB8A-585C-4DD0-A809-E140827CB5FF}"/>
    <cellStyle name="Input 13 2 4" xfId="1446" xr:uid="{0A15E68F-3653-411D-8FEF-C27CBBE0532C}"/>
    <cellStyle name="Input 13 2 5" xfId="1673" xr:uid="{048D8FC4-ADC2-4C52-B25A-60D0643E4858}"/>
    <cellStyle name="Input 13 2 6" xfId="2461" xr:uid="{1C32469F-B29C-4286-BEDC-CF7E8D1B4448}"/>
    <cellStyle name="Input 13 2 7" xfId="2784" xr:uid="{907EE8B9-C1EC-47C6-B3A8-52B1AEAA6536}"/>
    <cellStyle name="Input 13 2 8" xfId="2891" xr:uid="{9D929B69-D223-4B94-A409-E427A86BA205}"/>
    <cellStyle name="Input 13 2 9" xfId="3038" xr:uid="{D16BEACA-76F8-4065-A8FA-D0DA63BC88F7}"/>
    <cellStyle name="Input 13 2_Jurisdictional Study" xfId="9699" xr:uid="{AECE92D9-4B0C-4DAD-8E2E-242605031FB2}"/>
    <cellStyle name="Input 13 3" xfId="1168" xr:uid="{3DA82F19-444D-43D3-8EF0-6784AF28C3DB}"/>
    <cellStyle name="Input 13 4" xfId="1230" xr:uid="{66E8BAC9-5F72-43D2-86A5-3B83180858B2}"/>
    <cellStyle name="Input 13 5" xfId="816" xr:uid="{10311C92-21A1-4A2E-8A8D-FEEC4E1D4F7A}"/>
    <cellStyle name="Input 13 6" xfId="764" xr:uid="{AFAB088A-3B26-46C1-8B69-C92C63DCB313}"/>
    <cellStyle name="Input 13 7" xfId="2250" xr:uid="{EB870E12-EBBC-4FA4-9080-B711F47BDF2A}"/>
    <cellStyle name="Input 13 8" xfId="2546" xr:uid="{20297254-B56C-4BCB-9861-B386E06B9F27}"/>
    <cellStyle name="Input 13 9" xfId="2902" xr:uid="{5CFFEB7C-3A42-49AD-ABC0-6C8FD71568FC}"/>
    <cellStyle name="Input 13_Jurisdictional Study" xfId="9698" xr:uid="{BA045641-2154-4DE9-905B-13A7B284E7D3}"/>
    <cellStyle name="Input 14" xfId="377" xr:uid="{24F170A5-00A5-4A04-9828-A717E193DDFE}"/>
    <cellStyle name="Input 14 10" xfId="3068" xr:uid="{84185D87-D68C-4C0A-B80D-8B6BCFC79903}"/>
    <cellStyle name="Input 14 2" xfId="934" xr:uid="{C92222B2-6C42-48EB-816E-CE6B54378397}"/>
    <cellStyle name="Input 14 2 2" xfId="1048" xr:uid="{E2561709-11E9-49E3-925D-3A1A89220EF0}"/>
    <cellStyle name="Input 14 2 3" xfId="1317" xr:uid="{65E5187B-B9D3-4927-A6BD-AD05770F5A4E}"/>
    <cellStyle name="Input 14 2 4" xfId="1372" xr:uid="{F284834C-0CA0-484D-B867-CC8542C0A7BB}"/>
    <cellStyle name="Input 14 2 5" xfId="1636" xr:uid="{CD3A9110-7F0C-4C55-9671-4277F0E31B95}"/>
    <cellStyle name="Input 14 2 6" xfId="2424" xr:uid="{670C628E-DD25-4810-B919-442BD1DF7D2C}"/>
    <cellStyle name="Input 14 2 7" xfId="2747" xr:uid="{3B32F93A-9FC7-483A-AD12-4BD893561C20}"/>
    <cellStyle name="Input 14 2 8" xfId="2976" xr:uid="{B062EEAC-4FFE-43BA-91D6-58A1151B9B9F}"/>
    <cellStyle name="Input 14 2 9" xfId="1754" xr:uid="{B450B7A4-B089-49D5-BB18-1274521AC33C}"/>
    <cellStyle name="Input 14 2_Jurisdictional Study" xfId="9701" xr:uid="{C58F3369-890C-454F-9A63-C8041B1D2F2C}"/>
    <cellStyle name="Input 14 3" xfId="591" xr:uid="{5964B236-9A66-4ECE-9A33-25AFAC4F126E}"/>
    <cellStyle name="Input 14 4" xfId="1192" xr:uid="{67AF07F1-3590-41CF-94CA-73C63DCD8D3B}"/>
    <cellStyle name="Input 14 5" xfId="1478" xr:uid="{2B29C8FB-510A-4897-B062-C438A5D789D7}"/>
    <cellStyle name="Input 14 6" xfId="866" xr:uid="{87ECB3D6-F044-4497-9724-9220756345F0}"/>
    <cellStyle name="Input 14 7" xfId="2270" xr:uid="{6A9712D4-FB6D-4129-92ED-8F609F0F59AB}"/>
    <cellStyle name="Input 14 8" xfId="1979" xr:uid="{0795031A-5BA0-4BF5-9EE3-B2B94157D691}"/>
    <cellStyle name="Input 14 9" xfId="2884" xr:uid="{4F725278-5C5F-4D1C-9CFC-0132AAC9BFF8}"/>
    <cellStyle name="Input 14_Jurisdictional Study" xfId="9700" xr:uid="{B281DE50-C456-4E6A-B3CD-EC5083951BB4}"/>
    <cellStyle name="Input 15" xfId="444" xr:uid="{7395949F-3391-48B0-8C34-E5431E17E3CF}"/>
    <cellStyle name="Input 15 10" xfId="2093" xr:uid="{9165981F-BB49-4C6A-9D19-E1E00CCD4C85}"/>
    <cellStyle name="Input 15 2" xfId="997" xr:uid="{8418AECC-DB5F-4051-B20F-B54A911CCD67}"/>
    <cellStyle name="Input 15 2 2" xfId="873" xr:uid="{F5F32950-85C4-400C-AF00-06E3695926D6}"/>
    <cellStyle name="Input 15 2 3" xfId="1379" xr:uid="{1233F816-8F73-4286-8FF8-85FBF739BFEE}"/>
    <cellStyle name="Input 15 2 4" xfId="1550" xr:uid="{E64A603A-CF82-4EB6-ABDF-FACF2EE84262}"/>
    <cellStyle name="Input 15 2 5" xfId="1697" xr:uid="{0C0CFCC9-3933-4585-999D-2CC5C2EF2067}"/>
    <cellStyle name="Input 15 2 6" xfId="2486" xr:uid="{CD53F01E-1F3F-4217-AC75-12C7FE8E6781}"/>
    <cellStyle name="Input 15 2 7" xfId="2808" xr:uid="{16A38A47-FB57-46DC-AC5E-51C78DBDB9F7}"/>
    <cellStyle name="Input 15 2 8" xfId="2228" xr:uid="{DD29045E-A6D3-4668-BC14-BEA9FDF2A8A0}"/>
    <cellStyle name="Input 15 2 9" xfId="3129" xr:uid="{76375CE1-4175-42E1-98F3-7E8CB8C3AD30}"/>
    <cellStyle name="Input 15 2_Jurisdictional Study" xfId="9703" xr:uid="{A50BFBCF-A96D-40CF-9A4D-016398F757C0}"/>
    <cellStyle name="Input 15 3" xfId="1171" xr:uid="{4CEA5236-DAFB-4643-9868-26B1099ACEB0}"/>
    <cellStyle name="Input 15 4" xfId="1258" xr:uid="{C519FE3D-CB8F-425B-892B-290A75B7B34B}"/>
    <cellStyle name="Input 15 5" xfId="1468" xr:uid="{1541DAC9-121C-476D-BAD1-1E2FEE13E245}"/>
    <cellStyle name="Input 15 6" xfId="1597" xr:uid="{D6562880-F6DF-4178-BB6F-631D891E1607}"/>
    <cellStyle name="Input 15 7" xfId="1730" xr:uid="{2A648F66-7A8D-4499-B839-CC86ECAC8CC1}"/>
    <cellStyle name="Input 15 8" xfId="1803" xr:uid="{B0E89A71-F90B-4427-BBC0-1AFFC8636A3D}"/>
    <cellStyle name="Input 15 9" xfId="2922" xr:uid="{5B6A5413-0C37-42FC-88F9-15D891C14195}"/>
    <cellStyle name="Input 15_Jurisdictional Study" xfId="9702" xr:uid="{3DF0F9CB-A393-4052-B831-8405D8D4192B}"/>
    <cellStyle name="Input 16" xfId="387" xr:uid="{69352D4F-8760-4F32-84EF-DF3399C18013}"/>
    <cellStyle name="Input 16 10" xfId="1787" xr:uid="{9D908A53-6CD1-4DF6-B773-16D57775B569}"/>
    <cellStyle name="Input 16 2" xfId="944" xr:uid="{9EBBC50C-06D1-4E9C-8E50-6BF3F809099E}"/>
    <cellStyle name="Input 16 2 2" xfId="624" xr:uid="{D66C9192-0ECD-4D5E-B1F4-5570B82098E7}"/>
    <cellStyle name="Input 16 2 3" xfId="1327" xr:uid="{F71DB793-3041-43D9-9601-919F1D257140}"/>
    <cellStyle name="Input 16 2 4" xfId="585" xr:uid="{433CE3FF-099C-4FF4-81A6-3D3BA63ABDB8}"/>
    <cellStyle name="Input 16 2 5" xfId="1646" xr:uid="{FDE034C4-2237-4CD5-B988-55BAEC6F23E7}"/>
    <cellStyle name="Input 16 2 6" xfId="2434" xr:uid="{8847AD4E-76E0-4798-ABC7-8400184158C3}"/>
    <cellStyle name="Input 16 2 7" xfId="2757" xr:uid="{A42876A7-E90F-4597-97F5-DDA3567CA8DC}"/>
    <cellStyle name="Input 16 2 8" xfId="2965" xr:uid="{F6CA37FE-2ED0-421E-BC47-7EEE6CC4760C}"/>
    <cellStyle name="Input 16 2 9" xfId="1755" xr:uid="{09DFFAC8-D9DB-45ED-98D0-F12F74E792DD}"/>
    <cellStyle name="Input 16 2_Jurisdictional Study" xfId="9705" xr:uid="{7C0689B5-EC4D-4CCC-88DF-11D633C68DCA}"/>
    <cellStyle name="Input 16 3" xfId="1113" xr:uid="{C00DC6FF-EBC0-4064-8731-7DB88D831EAC}"/>
    <cellStyle name="Input 16 4" xfId="1202" xr:uid="{F077E694-27EC-4FCC-B138-D07261DF74A7}"/>
    <cellStyle name="Input 16 5" xfId="1411" xr:uid="{EE7B0D4C-D8B1-446F-BD68-55DBC406D210}"/>
    <cellStyle name="Input 16 6" xfId="1493" xr:uid="{7442FDCB-C7CA-4E73-BBC2-D895E8A52DDC}"/>
    <cellStyle name="Input 16 7" xfId="2368" xr:uid="{886D5E51-5600-4C50-A02D-56C51A6ECC69}"/>
    <cellStyle name="Input 16 8" xfId="2167" xr:uid="{DC49E382-BCEE-4BB1-B9B1-721DF1BA6EA1}"/>
    <cellStyle name="Input 16 9" xfId="2935" xr:uid="{2D601859-D8C6-406C-A281-80D65A71CAD7}"/>
    <cellStyle name="Input 16_Jurisdictional Study" xfId="9704" xr:uid="{37DC4D22-25E7-4635-B17F-87CC9A010BB4}"/>
    <cellStyle name="Input 17" xfId="421" xr:uid="{32C704B3-5380-47BE-938E-31FD3505D317}"/>
    <cellStyle name="Input 17 10" xfId="3043" xr:uid="{CFDF35E5-2683-433D-8C8A-8F50A54920F5}"/>
    <cellStyle name="Input 17 2" xfId="976" xr:uid="{D387BE34-3601-453D-B696-C5E1195AF2CA}"/>
    <cellStyle name="Input 17 2 2" xfId="676" xr:uid="{386E3F90-8967-4FC0-9AA7-D8335793CE86}"/>
    <cellStyle name="Input 17 2 3" xfId="1359" xr:uid="{1D7E5268-2448-4910-80D8-E18E5F438CF8}"/>
    <cellStyle name="Input 17 2 4" xfId="1452" xr:uid="{E7CD03E7-919E-46D9-B7B0-EDEA77954C45}"/>
    <cellStyle name="Input 17 2 5" xfId="1678" xr:uid="{2C923B38-22EB-4B77-8544-E3170798A892}"/>
    <cellStyle name="Input 17 2 6" xfId="2466" xr:uid="{834F047B-947E-4969-A186-110F9FDFC7FF}"/>
    <cellStyle name="Input 17 2 7" xfId="2789" xr:uid="{4C0E830A-D3FB-4CBE-99CA-12F38AAD9B03}"/>
    <cellStyle name="Input 17 2 8" xfId="2170" xr:uid="{E4E0FD32-D370-44B0-B282-4EC1D049B47E}"/>
    <cellStyle name="Input 17 2 9" xfId="2933" xr:uid="{34FD164A-65CE-4223-9661-A4DC446703C8}"/>
    <cellStyle name="Input 17 2_Jurisdictional Study" xfId="9707" xr:uid="{52D63182-05C1-4CDF-B0CD-DDCC8C523EE4}"/>
    <cellStyle name="Input 17 3" xfId="906" xr:uid="{522385E5-E2A0-4E1D-82D0-8DDA56187532}"/>
    <cellStyle name="Input 17 4" xfId="1236" xr:uid="{E23895BE-DF46-4447-9751-60F7DFDA0673}"/>
    <cellStyle name="Input 17 5" xfId="1261" xr:uid="{BB0CAF31-A98B-4718-B0B5-3952BD2B525F}"/>
    <cellStyle name="Input 17 6" xfId="1499" xr:uid="{A3E6E101-9C93-4D70-8F63-F672F8D485D0}"/>
    <cellStyle name="Input 17 7" xfId="2246" xr:uid="{8FAB34D1-794D-4A08-A8CA-3BDC042A5DC3}"/>
    <cellStyle name="Input 17 8" xfId="2528" xr:uid="{33E24030-1F5B-45E4-847E-D70AD493F40A}"/>
    <cellStyle name="Input 17 9" xfId="2968" xr:uid="{BFE5E471-EB6C-4575-93B3-216D9BBC4844}"/>
    <cellStyle name="Input 17_Jurisdictional Study" xfId="9706" xr:uid="{D1D706F6-FE42-42B6-AA58-A4F8B45C929A}"/>
    <cellStyle name="Input 18" xfId="373" xr:uid="{B7793E7C-34BE-475B-A9DA-9EC4596953A4}"/>
    <cellStyle name="Input 18 10" xfId="3037" xr:uid="{E4283429-9095-4972-AE69-BF1B449F12A3}"/>
    <cellStyle name="Input 18 2" xfId="930" xr:uid="{E5C18196-2C67-4F43-B5E2-C88097B5B8AE}"/>
    <cellStyle name="Input 18 2 2" xfId="711" xr:uid="{72F163AA-2D0C-4FA3-A427-8120F0C9D34D}"/>
    <cellStyle name="Input 18 2 3" xfId="1313" xr:uid="{510D3F94-A107-4D20-8C08-B7C3E21A3B31}"/>
    <cellStyle name="Input 18 2 4" xfId="662" xr:uid="{6DA5815C-038E-46D1-B65E-96FA44E1ACBE}"/>
    <cellStyle name="Input 18 2 5" xfId="1632" xr:uid="{8983C24C-9540-4431-A252-7295FA9149E2}"/>
    <cellStyle name="Input 18 2 6" xfId="2420" xr:uid="{28F0B5F4-A302-4C1D-9914-2D8D83FC7653}"/>
    <cellStyle name="Input 18 2 7" xfId="2743" xr:uid="{E217C89F-1A38-4C13-BBD9-A1A786B95565}"/>
    <cellStyle name="Input 18 2 8" xfId="1981" xr:uid="{DCAB41AA-8ACC-4541-8C6E-3A8DBFDDA5F0}"/>
    <cellStyle name="Input 18 2 9" xfId="3050" xr:uid="{B4049370-B668-45DE-9789-490C55762823}"/>
    <cellStyle name="Input 18 2_Jurisdictional Study" xfId="9709" xr:uid="{05CDCBE9-9F2A-4316-BF7F-ECE2BD476D95}"/>
    <cellStyle name="Input 18 3" xfId="675" xr:uid="{1482CF78-04BA-439D-BB1E-5C9F8D0F9363}"/>
    <cellStyle name="Input 18 4" xfId="1188" xr:uid="{B73F00E8-81D5-4B02-962D-C31DCD895926}"/>
    <cellStyle name="Input 18 5" xfId="1472" xr:uid="{9D3A8397-9F02-4DA7-92E0-A65921A5C766}"/>
    <cellStyle name="Input 18 6" xfId="792" xr:uid="{E682BF55-EEFB-44B5-A011-9C0D35C19481}"/>
    <cellStyle name="Input 18 7" xfId="2290" xr:uid="{51660960-0131-483E-A09F-F2CD1BA1A949}"/>
    <cellStyle name="Input 18 8" xfId="2607" xr:uid="{60036C2D-4E6B-4FF8-98E1-505D15B6116A}"/>
    <cellStyle name="Input 18 9" xfId="2007" xr:uid="{B3136FB7-CD86-4256-9846-1130DB87BBB2}"/>
    <cellStyle name="Input 18_Jurisdictional Study" xfId="9708" xr:uid="{C2F0B575-7599-4BA8-9668-3594C755BBE7}"/>
    <cellStyle name="Input 19" xfId="446" xr:uid="{41D15CB4-33F5-40D6-B67C-4E10D981FA83}"/>
    <cellStyle name="Input 19 10" xfId="3041" xr:uid="{12FED34A-A6F5-4FFD-8A36-C540CF78D8E6}"/>
    <cellStyle name="Input 19 2" xfId="999" xr:uid="{4AC070F0-3CD0-4DBD-97BC-E1BA35F2F136}"/>
    <cellStyle name="Input 19 2 2" xfId="1030" xr:uid="{4CEE2D3A-BFC8-4130-A2D3-C765E0BF30A0}"/>
    <cellStyle name="Input 19 2 3" xfId="1381" xr:uid="{9A3EA54E-A4DE-4557-BBA9-C339A3000E78}"/>
    <cellStyle name="Input 19 2 4" xfId="1552" xr:uid="{FF173F40-B8F2-4AAF-AEC9-EDEFDF3B8F10}"/>
    <cellStyle name="Input 19 2 5" xfId="1699" xr:uid="{568A7AF8-5882-4A0E-9B6C-AB8F8D764528}"/>
    <cellStyle name="Input 19 2 6" xfId="2488" xr:uid="{65C95004-9894-493C-AA23-B8A95B32B7E1}"/>
    <cellStyle name="Input 19 2 7" xfId="2810" xr:uid="{7CD7A2A3-2F16-44A8-86FB-ABDEFEBA358A}"/>
    <cellStyle name="Input 19 2 8" xfId="2630" xr:uid="{1A06465B-A143-4A57-8324-2BF282CC6EDB}"/>
    <cellStyle name="Input 19 2 9" xfId="3131" xr:uid="{A5D169A8-8770-467B-A8A5-280A00DF96E7}"/>
    <cellStyle name="Input 19 2_Jurisdictional Study" xfId="9711" xr:uid="{5A9E6026-F6D9-4AAF-B039-40364E9F7947}"/>
    <cellStyle name="Input 19 3" xfId="1044" xr:uid="{D7541DAA-0122-4219-80DF-A721D078BD5E}"/>
    <cellStyle name="Input 19 4" xfId="1260" xr:uid="{9DC07DCF-FED4-458F-A59B-B56F61886EF3}"/>
    <cellStyle name="Input 19 5" xfId="1444" xr:uid="{C85DE1CD-70C2-4999-B8D5-AB1D31BAD5E0}"/>
    <cellStyle name="Input 19 6" xfId="1599" xr:uid="{5C599617-C4E6-4C80-A14C-94555068B6F3}"/>
    <cellStyle name="Input 19 7" xfId="1732" xr:uid="{D056752B-48DB-441E-89B6-65653C9288EC}"/>
    <cellStyle name="Input 19 8" xfId="1802" xr:uid="{5D49A699-81DF-46D7-8670-E9BCF463A859}"/>
    <cellStyle name="Input 19 9" xfId="2929" xr:uid="{32D1590D-56DB-4F2C-A770-EC9BB3CDBB7B}"/>
    <cellStyle name="Input 19_Jurisdictional Study" xfId="9710" xr:uid="{96FF2316-7BC4-4266-828C-E37A841CF0F8}"/>
    <cellStyle name="Input 2" xfId="281" xr:uid="{17A0AB51-55E9-479C-9304-F189B3C01F3F}"/>
    <cellStyle name="Input 2 2" xfId="909" xr:uid="{6F6D2ED6-341B-4B92-9962-4FF2DB450739}"/>
    <cellStyle name="Input 2 2 10" xfId="6649" xr:uid="{E0E6C6F3-76AB-41F5-8F74-C38C16833E50}"/>
    <cellStyle name="Input 2 2 2" xfId="1122" xr:uid="{86AEB923-8E18-4873-AC3F-9F26278C82EF}"/>
    <cellStyle name="Input 2 2 3" xfId="1291" xr:uid="{39664735-FB1C-45D8-A3E3-16DDD196C64C}"/>
    <cellStyle name="Input 2 2 4" xfId="1065" xr:uid="{8AD0F58B-593A-4FEA-8C67-1BAA95FB8DBD}"/>
    <cellStyle name="Input 2 2 5" xfId="1627" xr:uid="{F20F40D3-D5F2-4C0F-9293-73623EB4182F}"/>
    <cellStyle name="Input 2 2 6" xfId="1736" xr:uid="{59C6552C-CA51-45E2-8B9B-28FF2398F180}"/>
    <cellStyle name="Input 2 2 7" xfId="1793" xr:uid="{4B723167-2838-4965-9227-D1DDBA8B7B78}"/>
    <cellStyle name="Input 2 2 8" xfId="2993" xr:uid="{5F2F33ED-1A7A-489D-B33F-25AD184FE23A}"/>
    <cellStyle name="Input 2 2 9" xfId="1822" xr:uid="{17300235-EEA5-4563-9783-FB97C0E1CC6B}"/>
    <cellStyle name="Input 2 2_Jurisdictional Study" xfId="9713" xr:uid="{B3C5707B-DEC0-44A4-8A62-42EE9B6A04B5}"/>
    <cellStyle name="Input 2 3" xfId="502" xr:uid="{27E930FC-3343-4887-AFC0-287138068252}"/>
    <cellStyle name="Input 2 4" xfId="1145" xr:uid="{73AFFDEA-54A7-4316-86F7-28BE68D90E2E}"/>
    <cellStyle name="Input 2 5" xfId="654" xr:uid="{33473E3C-18AE-4B57-AF0A-D856465D8EB7}"/>
    <cellStyle name="Input 2 6" xfId="2162" xr:uid="{970D4F44-0028-49F8-B01A-C9C1694219E7}"/>
    <cellStyle name="Input 2 7" xfId="2204" xr:uid="{A8809298-CFB8-42B7-8D7B-8BB8E5EBE05A}"/>
    <cellStyle name="Input 2 8" xfId="2912" xr:uid="{74BF4B81-EFED-4941-A3A1-040C1412AB5C}"/>
    <cellStyle name="Input 2 9" xfId="6648" xr:uid="{55E5BBE4-8662-4DA8-AC35-184476E16DE5}"/>
    <cellStyle name="Input 2_Jurisdictional Study" xfId="9712" xr:uid="{2DCB81D4-1528-46CE-BCF5-1948F059C640}"/>
    <cellStyle name="Input 20" xfId="384" xr:uid="{DDB71A92-ABB2-483A-8261-B17F578B5CD8}"/>
    <cellStyle name="Input 20 10" xfId="3031" xr:uid="{CD506AF0-1E55-4E2E-84C9-E93D75C3DD02}"/>
    <cellStyle name="Input 20 2" xfId="941" xr:uid="{1A65950C-6447-4BE7-B6B3-0B69FDDF2DFF}"/>
    <cellStyle name="Input 20 2 2" xfId="821" xr:uid="{86B79E0D-14D8-4638-A458-BAD9E7006661}"/>
    <cellStyle name="Input 20 2 3" xfId="1324" xr:uid="{DBB6B638-9721-40E8-B58F-C9C34C7C004E}"/>
    <cellStyle name="Input 20 2 4" xfId="586" xr:uid="{036CE157-6CB7-4E5D-AFBB-DD82AADAF319}"/>
    <cellStyle name="Input 20 2 5" xfId="1643" xr:uid="{DB50AF97-EEB4-4934-9228-08F07AFC4D45}"/>
    <cellStyle name="Input 20 2 6" xfId="2431" xr:uid="{1254CB76-CDFE-43AC-9E56-C0A2C083A62D}"/>
    <cellStyle name="Input 20 2 7" xfId="2754" xr:uid="{C7FCB3C4-1F15-49BD-8BD9-41C5D25C2D45}"/>
    <cellStyle name="Input 20 2 8" xfId="2728" xr:uid="{6D483652-8F40-408B-832B-BC440C27E060}"/>
    <cellStyle name="Input 20 2 9" xfId="1866" xr:uid="{26A6B88E-C1B9-44B7-96E8-99AE53B2713F}"/>
    <cellStyle name="Input 20 2_Jurisdictional Study" xfId="9715" xr:uid="{02CDBF95-2F56-4F27-A020-87C585689735}"/>
    <cellStyle name="Input 20 3" xfId="1033" xr:uid="{4614D264-F6AB-466F-A674-9458A281DFD0}"/>
    <cellStyle name="Input 20 4" xfId="1199" xr:uid="{97502598-2ACF-40E6-A0A2-3AAC62DCABE3}"/>
    <cellStyle name="Input 20 5" xfId="1480" xr:uid="{23C75162-3C8D-4A58-9737-3C58F93AB50E}"/>
    <cellStyle name="Input 20 6" xfId="1101" xr:uid="{0F98444C-AD03-48E8-9DBF-2605981C5D8F}"/>
    <cellStyle name="Input 20 7" xfId="1925" xr:uid="{88921FE4-69A1-49F5-A0C0-38F51F1C4858}"/>
    <cellStyle name="Input 20 8" xfId="1790" xr:uid="{4A172625-93D7-40DB-8BF2-1D197BD59163}"/>
    <cellStyle name="Input 20 9" xfId="2880" xr:uid="{8DF9E1A3-8469-4698-909C-6EA5C15FC271}"/>
    <cellStyle name="Input 20_Jurisdictional Study" xfId="9714" xr:uid="{A31E0F2E-2480-40EC-921A-24051C720984}"/>
    <cellStyle name="Input 21" xfId="423" xr:uid="{A73AE90A-5378-436A-BFEB-2E526818487F}"/>
    <cellStyle name="Input 21 10" xfId="3056" xr:uid="{3295F83E-8633-47D7-9869-4F9692537948}"/>
    <cellStyle name="Input 21 2" xfId="978" xr:uid="{BABE47B3-5722-4D25-B120-DD832498C995}"/>
    <cellStyle name="Input 21 2 2" xfId="1143" xr:uid="{A2C83F27-D97F-4F3F-A441-3A0C031E30B3}"/>
    <cellStyle name="Input 21 2 3" xfId="1361" xr:uid="{A8E942D6-7D9F-4B4B-A487-74569C0A28E7}"/>
    <cellStyle name="Input 21 2 4" xfId="1127" xr:uid="{F0F2F458-6ACA-45B9-B51E-0F9150CDA702}"/>
    <cellStyle name="Input 21 2 5" xfId="1680" xr:uid="{B4F2DF73-BC35-4891-A3E0-C9AE4A492510}"/>
    <cellStyle name="Input 21 2 6" xfId="2468" xr:uid="{A8E8D496-7FDF-403E-BFEE-DEAB32940A6F}"/>
    <cellStyle name="Input 21 2 7" xfId="2791" xr:uid="{4F370D7B-B46B-4D4E-B58C-868602C6096E}"/>
    <cellStyle name="Input 21 2 8" xfId="2837" xr:uid="{F87C9DFE-5417-4E54-B14F-898202CB94BE}"/>
    <cellStyle name="Input 21 2 9" xfId="2927" xr:uid="{815CC21B-37D8-456B-A371-2FBA8B0A995E}"/>
    <cellStyle name="Input 21 2_Jurisdictional Study" xfId="9717" xr:uid="{E348EFE4-3420-4A23-9FDD-925E133E04A8}"/>
    <cellStyle name="Input 21 3" xfId="683" xr:uid="{57507AD6-E621-4F39-8478-D35DF8B92BC0}"/>
    <cellStyle name="Input 21 4" xfId="1238" xr:uid="{2C7B51B2-2D61-46BD-A925-6E89299DFCB3}"/>
    <cellStyle name="Input 21 5" xfId="786" xr:uid="{ECA04CF3-E358-49BD-BA07-223FBB5D2957}"/>
    <cellStyle name="Input 21 6" xfId="1579" xr:uid="{D5D738C4-F62C-4DE3-9392-69527AE185AD}"/>
    <cellStyle name="Input 21 7" xfId="2244" xr:uid="{89DC0598-E872-4BD3-BD26-239DADB3A3C1}"/>
    <cellStyle name="Input 21 8" xfId="2579" xr:uid="{9A50F98D-23AA-43ED-8361-350AB741370F}"/>
    <cellStyle name="Input 21 9" xfId="2862" xr:uid="{470421E0-503D-4CEE-933B-F78564F526DE}"/>
    <cellStyle name="Input 21_Jurisdictional Study" xfId="9716" xr:uid="{4BC2C465-86F4-4309-8EEE-E52B4E80DF7E}"/>
    <cellStyle name="Input 22" xfId="394" xr:uid="{BCCDA113-1657-48B1-A73A-14D01323CA04}"/>
    <cellStyle name="Input 22 2" xfId="656" xr:uid="{D5EBF636-2F9D-40AE-9B5E-EC76FA2D626F}"/>
    <cellStyle name="Input 22 3" xfId="1209" xr:uid="{0F3F3E5E-531D-4E3B-87C3-70750A50123F}"/>
    <cellStyle name="Input 22 4" xfId="1482" xr:uid="{9D9F815B-1CF7-4A47-93B9-8A64508675B6}"/>
    <cellStyle name="Input 22 5" xfId="1427" xr:uid="{66A67A77-A9DF-465B-BD71-4CC4D89EE8AA}"/>
    <cellStyle name="Input 22 6" xfId="2052" xr:uid="{8BAB968B-56DE-4888-8347-0667216208EE}"/>
    <cellStyle name="Input 22 7" xfId="2639" xr:uid="{81846B81-D583-4A35-902B-F8D6A47106BB}"/>
    <cellStyle name="Input 22 8" xfId="2416" xr:uid="{1B94806E-6F33-4D0D-A98F-7F8D7535B276}"/>
    <cellStyle name="Input 22 9" xfId="3072" xr:uid="{D3C0F173-7291-4C22-BD8B-592FA7E8AD61}"/>
    <cellStyle name="Input 22_Jurisdictional Study" xfId="9718" xr:uid="{791A0E76-3FE4-453D-A631-B97BBC4F6B36}"/>
    <cellStyle name="Input 23" xfId="3162" xr:uid="{8EB38666-D950-461A-B5FB-9233F77C1A93}"/>
    <cellStyle name="Input 3" xfId="412" xr:uid="{6D7B42C5-139E-45C4-B2B3-2360A5BF224E}"/>
    <cellStyle name="Input 3 10" xfId="6650" xr:uid="{FFF2CB5B-ABFA-494C-900B-1A337117D653}"/>
    <cellStyle name="Input 3 2" xfId="968" xr:uid="{03278A81-A4F1-484E-B547-A08F91E2DD01}"/>
    <cellStyle name="Input 3 2 10" xfId="6651" xr:uid="{53A40BCC-3067-4315-AB24-B0073709CE9F}"/>
    <cellStyle name="Input 3 2 2" xfId="922" xr:uid="{BDD995F0-748B-49B2-B86D-253BCF29DE6F}"/>
    <cellStyle name="Input 3 2 3" xfId="1351" xr:uid="{6AB7E04B-75A6-471A-8077-8A01BDFD4862}"/>
    <cellStyle name="Input 3 2 4" xfId="1455" xr:uid="{C918C4A0-7DBC-4F96-8BC4-C81BE80A3D33}"/>
    <cellStyle name="Input 3 2 5" xfId="1670" xr:uid="{EC04E4B9-F579-4304-BB69-8A87277B96DE}"/>
    <cellStyle name="Input 3 2 6" xfId="2458" xr:uid="{486D3516-159B-4FD9-83CE-E59C6CE3F732}"/>
    <cellStyle name="Input 3 2 7" xfId="2781" xr:uid="{5A0F8859-BE94-463C-A0C5-E39E008A17F7}"/>
    <cellStyle name="Input 3 2 8" xfId="2272" xr:uid="{51088A5E-AFB0-4C90-8E62-9708C9CEC6BE}"/>
    <cellStyle name="Input 3 2 9" xfId="3091" xr:uid="{8A6BE0F8-608B-471B-89E9-8C0D3C6FD929}"/>
    <cellStyle name="Input 3 2_Jurisdictional Study" xfId="9720" xr:uid="{D5FE9611-843B-4CDF-8CA1-46D5F828F964}"/>
    <cellStyle name="Input 3 3" xfId="714" xr:uid="{701F39D2-F3E0-440A-925B-573E29F3D89A}"/>
    <cellStyle name="Input 3 4" xfId="1227" xr:uid="{CCE8EE00-4649-43C7-8E51-5B7DC731DBF9}"/>
    <cellStyle name="Input 3 5" xfId="564" xr:uid="{A1C1C8B0-F337-41D4-AC8E-767CFF6B9EBB}"/>
    <cellStyle name="Input 3 6" xfId="1099" xr:uid="{499CFD2F-707A-4896-B2A8-64554646782B}"/>
    <cellStyle name="Input 3 7" xfId="2221" xr:uid="{31BF8125-EBD9-4DA1-8F97-619960B201B3}"/>
    <cellStyle name="Input 3 8" xfId="2533" xr:uid="{5642EAA3-58BF-41E9-8098-CAF055C7B4F3}"/>
    <cellStyle name="Input 3 9" xfId="1789" xr:uid="{C6F2F3A3-1DFF-4AA8-B6C8-67452F0D609A}"/>
    <cellStyle name="Input 3_Jurisdictional Study" xfId="9719" xr:uid="{3E9D172C-12B7-4536-9A23-F9E6A6109996}"/>
    <cellStyle name="Input 4" xfId="379" xr:uid="{30995E53-EF96-4AC0-876E-DCDCC39E3D8D}"/>
    <cellStyle name="Input 4 10" xfId="3047" xr:uid="{E36D5541-0D5A-4204-8287-8C9C6DAC93CC}"/>
    <cellStyle name="Input 4 2" xfId="936" xr:uid="{804C85E8-56A0-4B19-89B2-0CA263843B06}"/>
    <cellStyle name="Input 4 2 2" xfId="917" xr:uid="{C1B39010-59B9-4308-B4F7-1F78ADC9772C}"/>
    <cellStyle name="Input 4 2 3" xfId="1319" xr:uid="{77E6155B-C64E-4C45-8290-44D1766BACD5}"/>
    <cellStyle name="Input 4 2 4" xfId="773" xr:uid="{6803B5B3-31EE-41AA-8BD0-78DFBFD37A80}"/>
    <cellStyle name="Input 4 2 5" xfId="1638" xr:uid="{A5ED30C0-0C08-4F2B-8785-0E3836D1C1AA}"/>
    <cellStyle name="Input 4 2 6" xfId="2426" xr:uid="{145665E5-E3B9-4268-B10A-8DA82828332B}"/>
    <cellStyle name="Input 4 2 7" xfId="2749" xr:uid="{71990068-ABF3-4492-B91C-8210B2CC165E}"/>
    <cellStyle name="Input 4 2 8" xfId="2633" xr:uid="{BF2A742B-17F1-432F-A155-5A63C22097BD}"/>
    <cellStyle name="Input 4 2 9" xfId="2127" xr:uid="{914A6909-F43D-42A7-A057-E8EE91FDB6C5}"/>
    <cellStyle name="Input 4 2_Jurisdictional Study" xfId="9722" xr:uid="{E7B5A475-272B-47DF-A8CD-C1156842ED13}"/>
    <cellStyle name="Input 4 3" xfId="1107" xr:uid="{C0647BBE-580F-4093-91DD-9ABC023DAA47}"/>
    <cellStyle name="Input 4 4" xfId="1194" xr:uid="{1ED3F0D3-CD26-4678-B01F-1089807668DD}"/>
    <cellStyle name="Input 4 5" xfId="1495" xr:uid="{70F97F82-59F3-4850-BBD8-B123A2618245}"/>
    <cellStyle name="Input 4 6" xfId="590" xr:uid="{2E8B12B1-89CA-46EF-A7A5-D3F4DA9D398A}"/>
    <cellStyle name="Input 4 7" xfId="1836" xr:uid="{B6F61BCB-7523-49CC-8F14-36D07E65ECF9}"/>
    <cellStyle name="Input 4 8" xfId="1807" xr:uid="{91DBFF06-6D59-407F-9A58-7C0EA827EEE1}"/>
    <cellStyle name="Input 4 9" xfId="2931" xr:uid="{8C0FF2E3-5CE0-4894-8BB2-A68A72CE9B1B}"/>
    <cellStyle name="Input 4_Jurisdictional Study" xfId="9721" xr:uid="{745BF7C6-5DB6-44F9-993C-AB4C14A5AF0A}"/>
    <cellStyle name="Input 5" xfId="428" xr:uid="{AAE19D2F-4D61-4447-B473-9DE951A4D843}"/>
    <cellStyle name="Input 5 10" xfId="3036" xr:uid="{6D6319DE-7750-4BF8-8515-54236F6D5055}"/>
    <cellStyle name="Input 5 2" xfId="983" xr:uid="{1DB9C8F5-A4EE-460D-BD36-243FB3C3AC46}"/>
    <cellStyle name="Input 5 2 2" xfId="785" xr:uid="{8491667E-AF61-45D7-8C60-B37D43A50C59}"/>
    <cellStyle name="Input 5 2 3" xfId="1366" xr:uid="{32E0E7F0-0400-41BB-915C-19D65C3B1A65}"/>
    <cellStyle name="Input 5 2 4" xfId="661" xr:uid="{20725B31-FFE3-4C70-973C-F6B88796C0FE}"/>
    <cellStyle name="Input 5 2 5" xfId="1685" xr:uid="{473EED79-0BBB-4040-88A7-6B9ABDE14AB6}"/>
    <cellStyle name="Input 5 2 6" xfId="2473" xr:uid="{83E52228-ABF4-46EB-83BF-7A3D6F84F2D9}"/>
    <cellStyle name="Input 5 2 7" xfId="2796" xr:uid="{C9A7E18C-F03A-4818-9CAB-3BCCA626CF52}"/>
    <cellStyle name="Input 5 2 8" xfId="2878" xr:uid="{83666296-95E4-457E-BE79-5223419E92ED}"/>
    <cellStyle name="Input 5 2 9" xfId="3117" xr:uid="{8C5D1266-C29E-4D47-819D-3C241DBA2C1D}"/>
    <cellStyle name="Input 5 2_Jurisdictional Study" xfId="9724" xr:uid="{E685B66C-DA5C-4867-AEE7-8E9E07EFA8E0}"/>
    <cellStyle name="Input 5 3" xfId="548" xr:uid="{CB7460EB-AF9B-41C3-A71B-C58CA47B8FAF}"/>
    <cellStyle name="Input 5 4" xfId="1243" xr:uid="{0242CA4B-DC85-4FE1-90A7-87F0A3635973}"/>
    <cellStyle name="Input 5 5" xfId="1532" xr:uid="{66C3E902-9BAC-4DF9-A555-98D8868DBF82}"/>
    <cellStyle name="Input 5 6" xfId="1584" xr:uid="{F66EB195-AF5D-4643-B85A-5089CB366AA0}"/>
    <cellStyle name="Input 5 7" xfId="2337" xr:uid="{97816642-6526-4CB0-8F29-88E696E58A42}"/>
    <cellStyle name="Input 5 8" xfId="2195" xr:uid="{0B4BB8EF-51B3-4FAB-B099-34E1FE49BD0B}"/>
    <cellStyle name="Input 5 9" xfId="2991" xr:uid="{0E8E79AE-18C6-4A4D-9339-91E727D78AA9}"/>
    <cellStyle name="Input 5_Jurisdictional Study" xfId="9723" xr:uid="{78AEC3F1-A55D-4E48-B20F-B5EA70F92194}"/>
    <cellStyle name="Input 6" xfId="371" xr:uid="{BA5C5583-AAAE-4161-8254-1A3ECBAF4F6E}"/>
    <cellStyle name="Input 6 10" xfId="2560" xr:uid="{2D9226DC-A5B4-419D-BBF1-331D949F02E0}"/>
    <cellStyle name="Input 6 2" xfId="928" xr:uid="{5DC115F8-8C3C-4C5D-84C5-F35A97261850}"/>
    <cellStyle name="Input 6 2 2" xfId="622" xr:uid="{A9C46F24-C44A-405E-8B24-8CD23952FA0C}"/>
    <cellStyle name="Input 6 2 3" xfId="1311" xr:uid="{36EB4677-161E-43BA-B7AA-2E03028E2DE1}"/>
    <cellStyle name="Input 6 2 4" xfId="1296" xr:uid="{9DD2BC38-933F-4947-991F-75500DE08762}"/>
    <cellStyle name="Input 6 2 5" xfId="1630" xr:uid="{5BA46E52-D6CF-4491-A119-BDFEB83D5B2B}"/>
    <cellStyle name="Input 6 2 6" xfId="2418" xr:uid="{6419BBCD-2218-4D72-AD97-4C8DB3164888}"/>
    <cellStyle name="Input 6 2 7" xfId="2741" xr:uid="{DCDF794C-1513-4ED0-84EA-C208B3055632}"/>
    <cellStyle name="Input 6 2 8" xfId="2911" xr:uid="{FA325BBC-3F1A-4B81-9C3B-0552799C947C}"/>
    <cellStyle name="Input 6 2 9" xfId="2075" xr:uid="{A5401AA7-6488-48ED-BD63-A41FA1F0B796}"/>
    <cellStyle name="Input 6 2_Jurisdictional Study" xfId="9726" xr:uid="{297C8587-9E41-4CD8-8A8C-942ADBE2F357}"/>
    <cellStyle name="Input 6 3" xfId="530" xr:uid="{67F7877C-1A5D-477B-8F95-19AEA5F9382A}"/>
    <cellStyle name="Input 6 4" xfId="1186" xr:uid="{8BC1135A-E307-4776-88A6-8231EEE55AB6}"/>
    <cellStyle name="Input 6 5" xfId="1506" xr:uid="{232D47CF-B063-4FDF-ADC5-2D4A72C6F3D4}"/>
    <cellStyle name="Input 6 6" xfId="560" xr:uid="{6B2E7DAD-76B8-4898-B476-893FDB9A4E36}"/>
    <cellStyle name="Input 6 7" xfId="2163" xr:uid="{096221B3-639D-4A6F-848B-00448A1C76BE}"/>
    <cellStyle name="Input 6 8" xfId="2092" xr:uid="{84343ABD-FDCA-447E-9464-AD12376C025A}"/>
    <cellStyle name="Input 6 9" xfId="2943" xr:uid="{45AA22C6-459D-4360-ABB4-E1F3B558F309}"/>
    <cellStyle name="Input 6_Jurisdictional Study" xfId="9725" xr:uid="{FDA59226-BAB5-4EB6-9C46-1CA57BF817BD}"/>
    <cellStyle name="Input 7" xfId="433" xr:uid="{791D07FA-B4D5-4F6B-8AF9-73477745E8BA}"/>
    <cellStyle name="Input 7 10" xfId="3006" xr:uid="{E94B501C-237B-4838-AC4A-7732F19F1951}"/>
    <cellStyle name="Input 7 2" xfId="987" xr:uid="{8FBA563B-C4B2-4CAC-8440-80DC292CF9B0}"/>
    <cellStyle name="Input 7 2 2" xfId="1068" xr:uid="{53703826-E031-4C4C-8A0E-BC61135E9A4B}"/>
    <cellStyle name="Input 7 2 3" xfId="1370" xr:uid="{93ECD434-5913-43DE-A409-0FAF06649FFE}"/>
    <cellStyle name="Input 7 2 4" xfId="1541" xr:uid="{B1417ADD-87AC-4E1B-8901-C12C47AD2D87}"/>
    <cellStyle name="Input 7 2 5" xfId="1689" xr:uid="{D69B64F0-BEFF-44D1-94C9-4A0EA2BA4364}"/>
    <cellStyle name="Input 7 2 6" xfId="2477" xr:uid="{AA9CE5CA-5422-4EA3-BB83-B9CFB6BFA658}"/>
    <cellStyle name="Input 7 2 7" xfId="2800" xr:uid="{02677CC9-CCAD-4378-A50E-C8C6FB7C6F41}"/>
    <cellStyle name="Input 7 2 8" xfId="2960" xr:uid="{02771A6C-0CBD-4783-A932-807E50EFE1B9}"/>
    <cellStyle name="Input 7 2 9" xfId="3121" xr:uid="{48D64630-280D-4D84-8354-3F96913740B8}"/>
    <cellStyle name="Input 7 2_Jurisdictional Study" xfId="9728" xr:uid="{DEC6B50F-E1FF-41B5-880D-74AEE36ECC0C}"/>
    <cellStyle name="Input 7 3" xfId="1084" xr:uid="{79606AAB-8E8D-425B-8333-5F2ADA1DCC55}"/>
    <cellStyle name="Input 7 4" xfId="1248" xr:uid="{56BE364D-8D7E-46C5-994D-8D621E27C6BA}"/>
    <cellStyle name="Input 7 5" xfId="1415" xr:uid="{AE5097CE-C74B-4F98-892F-037C39BED787}"/>
    <cellStyle name="Input 7 6" xfId="1589" xr:uid="{D442DEF4-AFBE-43F1-8D69-23C16F5CA62B}"/>
    <cellStyle name="Input 7 7" xfId="2210" xr:uid="{7EACF2C0-24D6-473A-9D78-CFFCE69E4E37}"/>
    <cellStyle name="Input 7 8" xfId="1742" xr:uid="{76998F99-7BBE-44D6-A62C-8FBA6A7F8A9E}"/>
    <cellStyle name="Input 7 9" xfId="2612" xr:uid="{1E83EC00-F767-4B6F-8F60-572D018FB11B}"/>
    <cellStyle name="Input 7_Jurisdictional Study" xfId="9727" xr:uid="{3B537CCE-0D45-4A6A-AA0D-3EDCD79CAF0D}"/>
    <cellStyle name="Input 8" xfId="382" xr:uid="{1F855B3A-113C-438A-8305-2ADECCBE490C}"/>
    <cellStyle name="Input 8 10" xfId="3104" xr:uid="{046319C5-CD74-4C20-9C7C-DB7B45511061}"/>
    <cellStyle name="Input 8 2" xfId="939" xr:uid="{6775E63C-08CC-461C-AD9A-62728458B97D}"/>
    <cellStyle name="Input 8 2 2" xfId="1104" xr:uid="{68AC1A32-8D30-4CDC-81BC-9BD941ABB98A}"/>
    <cellStyle name="Input 8 2 3" xfId="1322" xr:uid="{AE816FED-C57F-4118-988A-2C166FA932F9}"/>
    <cellStyle name="Input 8 2 4" xfId="1109" xr:uid="{3A179929-1C8F-4B42-B2BA-3BE2231A1241}"/>
    <cellStyle name="Input 8 2 5" xfId="1641" xr:uid="{B176DF5D-2290-46A0-B0AA-863DF522580D}"/>
    <cellStyle name="Input 8 2 6" xfId="2429" xr:uid="{ECC4C95B-A056-4E09-9740-C3A43CE2C524}"/>
    <cellStyle name="Input 8 2 7" xfId="2752" xr:uid="{9A24EA63-9F4E-4C0D-8AE1-995CADAA37F6}"/>
    <cellStyle name="Input 8 2 8" xfId="2923" xr:uid="{27BE67C2-0799-474F-ABE7-D6A7DA9F2456}"/>
    <cellStyle name="Input 8 2 9" xfId="1743" xr:uid="{38D6F175-A3CC-44AF-AE51-21B4A0E4673B}"/>
    <cellStyle name="Input 8 2_Jurisdictional Study" xfId="9730" xr:uid="{46E65543-FCAF-449E-B272-F57DAF66BCDF}"/>
    <cellStyle name="Input 8 3" xfId="1046" xr:uid="{B9E88876-3F2F-4796-9119-3D4E8E1A7635}"/>
    <cellStyle name="Input 8 4" xfId="1197" xr:uid="{EB17C4C9-8E3D-4C1D-8271-5A8CB896C0AE}"/>
    <cellStyle name="Input 8 5" xfId="1501" xr:uid="{C2A67132-AD7D-4AD5-8D03-25F4458B538E}"/>
    <cellStyle name="Input 8 6" xfId="552" xr:uid="{ED8516DD-E9BF-4984-B3BF-F85FC2EA1DE5}"/>
    <cellStyle name="Input 8 7" xfId="2286" xr:uid="{E87EAC23-3E23-4F4E-9C3E-2BED0E4F7061}"/>
    <cellStyle name="Input 8 8" xfId="2723" xr:uid="{7D960062-A158-4E63-8431-7757AA116508}"/>
    <cellStyle name="Input 8 9" xfId="2219" xr:uid="{DBFBCEA1-EE4E-4A47-9F12-1EF53E9497AD}"/>
    <cellStyle name="Input 8_Jurisdictional Study" xfId="9729" xr:uid="{375E4CBF-A22C-46C2-B9CC-9A90074C4785}"/>
    <cellStyle name="Input 9" xfId="426" xr:uid="{17769B4B-47F7-4F23-B5AA-1F9AF68EF8C8}"/>
    <cellStyle name="Input 9 10" xfId="3116" xr:uid="{EFCC1070-9A9E-40D6-A387-512B852CC7A2}"/>
    <cellStyle name="Input 9 2" xfId="981" xr:uid="{19005419-6E15-4895-9FE9-0973C98B6E55}"/>
    <cellStyle name="Input 9 2 2" xfId="875" xr:uid="{5C440EB3-6FF6-4AEB-A331-519242984437}"/>
    <cellStyle name="Input 9 2 3" xfId="1364" xr:uid="{02ED005F-660D-4C1B-AA35-1FACECA0E23F}"/>
    <cellStyle name="Input 9 2 4" xfId="615" xr:uid="{3A829846-C84B-457D-BAB3-4CD3FDEB77FC}"/>
    <cellStyle name="Input 9 2 5" xfId="1683" xr:uid="{D6D4FE35-D36B-4C3F-9768-73CA60A3A865}"/>
    <cellStyle name="Input 9 2 6" xfId="2471" xr:uid="{B430F9A4-E486-4570-9067-7EA812BBF74B}"/>
    <cellStyle name="Input 9 2 7" xfId="2794" xr:uid="{097B4B96-4E60-4ED7-AC45-823B1B7AADC3}"/>
    <cellStyle name="Input 9 2 8" xfId="2571" xr:uid="{AC9B2E4F-E9A5-4939-9161-67C3ED1A8C28}"/>
    <cellStyle name="Input 9 2 9" xfId="3028" xr:uid="{D0F26B09-D215-4044-B5B7-28C5F29AAC0E}"/>
    <cellStyle name="Input 9 2_Jurisdictional Study" xfId="9732" xr:uid="{996CA750-1541-4111-8512-747293E3F89E}"/>
    <cellStyle name="Input 9 3" xfId="854" xr:uid="{23F74A62-D981-4072-9645-C3509850823E}"/>
    <cellStyle name="Input 9 4" xfId="1241" xr:uid="{814B6377-4A95-4246-966D-ED0D1F1AB78B}"/>
    <cellStyle name="Input 9 5" xfId="1536" xr:uid="{11B9FEF6-E9CE-40E6-94EA-DEA7D4CDB10D}"/>
    <cellStyle name="Input 9 6" xfId="1582" xr:uid="{8C639728-2B4D-4D2A-B3C8-225C2193FA79}"/>
    <cellStyle name="Input 9 7" xfId="2360" xr:uid="{E3ECF66E-C6BF-4337-A417-B2DE43B796DC}"/>
    <cellStyle name="Input 9 8" xfId="2414" xr:uid="{ACCE811E-B16F-4BA3-BF86-1F30296FB1FF}"/>
    <cellStyle name="Input 9 9" xfId="2892" xr:uid="{0976CD0D-28C2-46DE-BDDD-6166BD2E3F02}"/>
    <cellStyle name="Input 9_Jurisdictional Study" xfId="9731" xr:uid="{C2D53E4B-DE5C-4F64-A604-7A01EE8FC629}"/>
    <cellStyle name="LineItemPrompt" xfId="55" xr:uid="{00000000-0005-0000-0000-000036000000}"/>
    <cellStyle name="LineItemPrompt 2" xfId="162" xr:uid="{9DB698E6-CBD9-4367-8DE4-C35C4C20D988}"/>
    <cellStyle name="LineItemPrompt 3" xfId="6652" xr:uid="{1591992B-FB0A-44C8-8DA3-7AE7B56AE4BA}"/>
    <cellStyle name="LineItemPrompt 4" xfId="112" xr:uid="{7EC5D2F2-63C8-4467-91EB-93F20EEC07D6}"/>
    <cellStyle name="LineItemPrompt_Jurisdictional Study" xfId="9733" xr:uid="{18D45EF6-4D6A-4B0B-ABF9-F98187DB256B}"/>
    <cellStyle name="LineItemValue" xfId="56" xr:uid="{00000000-0005-0000-0000-000037000000}"/>
    <cellStyle name="LineItemValue 2" xfId="282" xr:uid="{83670854-EADE-4405-9678-2E69E2609BC0}"/>
    <cellStyle name="LineItemValue 3" xfId="163" xr:uid="{73F91A96-1F00-4A74-911B-027B3A33EC25}"/>
    <cellStyle name="LineItemValue 4" xfId="6653" xr:uid="{A83660E4-D2DF-474B-8831-8C37AF03390F}"/>
    <cellStyle name="LineItemValue 5" xfId="113" xr:uid="{CC0804CC-3307-4058-8BC2-269A647DC653}"/>
    <cellStyle name="LineItemValue_Jurisdictional Study" xfId="9734" xr:uid="{D080C4AA-ECE3-4256-BB33-F853E44F0321}"/>
    <cellStyle name="Linked Cell" xfId="57" builtinId="24" customBuiltin="1"/>
    <cellStyle name="Linked Cell 2" xfId="283" xr:uid="{72253C1C-4284-405E-AE43-104F3779FD6A}"/>
    <cellStyle name="Linked Cell 2 2" xfId="6654" xr:uid="{F81C017B-0761-45E0-A81E-52A7CDDBB16D}"/>
    <cellStyle name="Linked Cell 2_Jurisdictional Study" xfId="9735" xr:uid="{BFE0952C-DF5C-4732-A2F0-40B6DB7E18CD}"/>
    <cellStyle name="Linked Cell 3" xfId="6655" xr:uid="{DEE12827-B220-4302-8320-F0908F6E17B3}"/>
    <cellStyle name="Linked Cell 4" xfId="3165" xr:uid="{1A547EEF-2D51-4891-ACB0-9207F08DBE2A}"/>
    <cellStyle name="Neutral" xfId="58" builtinId="28" customBuiltin="1"/>
    <cellStyle name="Neutral 2" xfId="284" xr:uid="{E104ABFF-D0A8-40EF-887B-DB5912B58D30}"/>
    <cellStyle name="Neutral 2 2" xfId="6656" xr:uid="{DE90E891-61FF-41F2-9756-04459C903B66}"/>
    <cellStyle name="Neutral 2_Jurisdictional Study" xfId="9736" xr:uid="{71283E07-9A23-4932-8CBB-E8B3F70AC58D}"/>
    <cellStyle name="Neutral 3" xfId="6657" xr:uid="{00421E58-87A1-4D44-87AA-C0CD0CCCC7C6}"/>
    <cellStyle name="Neutral 4" xfId="3161" xr:uid="{476294A0-6AEC-4D55-953E-A6FEE79C40A7}"/>
    <cellStyle name="Normal" xfId="0" builtinId="0"/>
    <cellStyle name="Normal 10" xfId="114" xr:uid="{22F7C10A-C135-42C8-B461-69E2333F94B9}"/>
    <cellStyle name="Normal 10 2" xfId="359" xr:uid="{C02DE67E-E3B7-4BEA-B328-D642EF2EBBC5}"/>
    <cellStyle name="Normal 10 3" xfId="6658" xr:uid="{A9DC5BA3-1559-444F-AB0E-4E7A84D1253C}"/>
    <cellStyle name="Normal 10_Jurisdictional Study" xfId="9737" xr:uid="{08E26079-CD55-416A-AA23-76DA5FD451D8}"/>
    <cellStyle name="Normal 11" xfId="115" xr:uid="{35FD9CE5-473B-48DC-9BD1-268BC636F985}"/>
    <cellStyle name="Normal 11 2" xfId="360" xr:uid="{6B8F5AB6-FF86-4002-B345-C8573C314EB8}"/>
    <cellStyle name="Normal 11_Jurisdictional Study" xfId="9738" xr:uid="{14E23F46-863E-485C-B259-F7F413DF1EF6}"/>
    <cellStyle name="Normal 12" xfId="364" xr:uid="{D31D2ED6-6DAD-44A8-A87B-9444B47F25EF}"/>
    <cellStyle name="Normal 12 2" xfId="923" xr:uid="{D4F5B0B1-8E52-418A-9817-B5851E766693}"/>
    <cellStyle name="Normal 12 2 2" xfId="6661" xr:uid="{1827771B-7001-43B5-862E-C8F29FE11A03}"/>
    <cellStyle name="Normal 12 2 2 2" xfId="6662" xr:uid="{90083735-481A-4B63-BD54-B2902DA188A1}"/>
    <cellStyle name="Normal 12 2 2 2 2" xfId="6663" xr:uid="{4519BACB-EC99-4315-A8A6-06BCA5A5B6A4}"/>
    <cellStyle name="Normal 12 2 2 2 2 2" xfId="6664" xr:uid="{F8FBFAA5-C2AF-4CF0-8E32-0D0AE4636FAA}"/>
    <cellStyle name="Normal 12 2 2 2 2 2 2" xfId="6665" xr:uid="{D5FE83C6-DAF9-41AD-AED6-BF9F54F0B847}"/>
    <cellStyle name="Normal 12 2 2 2 2 2_Jurisdictional Study" xfId="9744" xr:uid="{530F6543-9AE2-4F00-BE19-DCB25AA0FFB3}"/>
    <cellStyle name="Normal 12 2 2 2 2 3" xfId="6666" xr:uid="{18A9E734-CB2C-4DD9-84B6-63A6B1BD788F}"/>
    <cellStyle name="Normal 12 2 2 2 2_Jurisdictional Study" xfId="9743" xr:uid="{60458D25-ED18-4212-BD19-7268C8089383}"/>
    <cellStyle name="Normal 12 2 2 2 3" xfId="6667" xr:uid="{973369F8-55D0-4F06-B179-057660CFECE9}"/>
    <cellStyle name="Normal 12 2 2 2 3 2" xfId="6668" xr:uid="{0E2351D1-0F66-4FEA-AC5F-76DA1499C307}"/>
    <cellStyle name="Normal 12 2 2 2 3_Jurisdictional Study" xfId="9745" xr:uid="{CFE8EC2E-B3B5-413F-AE77-5BA92DC72964}"/>
    <cellStyle name="Normal 12 2 2 2 4" xfId="6669" xr:uid="{D4CCBF07-C8ED-4B1B-9B39-13056A5C1AEB}"/>
    <cellStyle name="Normal 12 2 2 2_Jurisdictional Study" xfId="9742" xr:uid="{78117516-1E7E-4609-ADC9-3FDA9B1A4749}"/>
    <cellStyle name="Normal 12 2 2 3" xfId="6670" xr:uid="{C2B57ABF-43BB-4D39-AA1D-875559614B77}"/>
    <cellStyle name="Normal 12 2 2 3 2" xfId="6671" xr:uid="{715810DF-353B-4E98-90AD-8CC2B9A26E26}"/>
    <cellStyle name="Normal 12 2 2 3 2 2" xfId="6672" xr:uid="{CF0B4A2A-4C2D-45F6-9181-EB2DE86CD6F1}"/>
    <cellStyle name="Normal 12 2 2 3 2_Jurisdictional Study" xfId="9747" xr:uid="{0182AA28-4871-4604-98E0-95EB6049C0DD}"/>
    <cellStyle name="Normal 12 2 2 3 3" xfId="6673" xr:uid="{CED55A6B-43AC-4C2F-A454-5A8CFCF7ECC6}"/>
    <cellStyle name="Normal 12 2 2 3_Jurisdictional Study" xfId="9746" xr:uid="{AC2187FE-55EB-4B05-852A-6CC105C5C6C9}"/>
    <cellStyle name="Normal 12 2 2 4" xfId="6674" xr:uid="{EF99882F-BBDF-4825-837D-934DADF307F7}"/>
    <cellStyle name="Normal 12 2 2 4 2" xfId="6675" xr:uid="{774E5165-C5CC-45B1-A04E-B015CC50A0EB}"/>
    <cellStyle name="Normal 12 2 2 4_Jurisdictional Study" xfId="9748" xr:uid="{D853FBF8-30EF-485D-AEF1-6E9965AA0339}"/>
    <cellStyle name="Normal 12 2 2 5" xfId="6676" xr:uid="{F3998F12-4BF0-4D7B-B32F-1D8CADD58794}"/>
    <cellStyle name="Normal 12 2 2_Jurisdictional Study" xfId="9741" xr:uid="{C7370869-545F-44E1-BBA9-F30EE7B4F4F6}"/>
    <cellStyle name="Normal 12 2 3" xfId="6677" xr:uid="{8438317B-EF85-48E5-91E0-9DF9CCCB2910}"/>
    <cellStyle name="Normal 12 2 3 2" xfId="6678" xr:uid="{BAC97CE7-CD9D-4BA6-A35B-EB5FA669A782}"/>
    <cellStyle name="Normal 12 2 3 2 2" xfId="6679" xr:uid="{AC044C1B-60AB-463D-A11B-A6D339C0D927}"/>
    <cellStyle name="Normal 12 2 3 2 2 2" xfId="6680" xr:uid="{60E22A2E-3453-4ABF-B0A1-E629F39B50AC}"/>
    <cellStyle name="Normal 12 2 3 2 2_Jurisdictional Study" xfId="9751" xr:uid="{8CE149A9-E641-409F-95D4-BA6738A8C05C}"/>
    <cellStyle name="Normal 12 2 3 2 3" xfId="6681" xr:uid="{6E7FEF88-C151-4FB2-8F5A-E55C96AFF04B}"/>
    <cellStyle name="Normal 12 2 3 2_Jurisdictional Study" xfId="9750" xr:uid="{FF44CCFB-9BAD-4437-8CC3-723EC9F3D7F6}"/>
    <cellStyle name="Normal 12 2 3 3" xfId="6682" xr:uid="{2F52316E-EA80-4795-9F3C-3ED2C55AB450}"/>
    <cellStyle name="Normal 12 2 3 3 2" xfId="6683" xr:uid="{BA827856-5838-4B87-9C01-846745B0B149}"/>
    <cellStyle name="Normal 12 2 3 3_Jurisdictional Study" xfId="9752" xr:uid="{A5316BD5-47E6-4AE0-A2AC-564AA74D19A7}"/>
    <cellStyle name="Normal 12 2 3 4" xfId="6684" xr:uid="{F2BAFC2E-264F-4C0E-B695-5841D4E85223}"/>
    <cellStyle name="Normal 12 2 3_Jurisdictional Study" xfId="9749" xr:uid="{53912572-F344-4402-AB38-F7826FAC6943}"/>
    <cellStyle name="Normal 12 2 4" xfId="6685" xr:uid="{DF72BC8F-AB9B-4235-B9B2-4363F9775AC7}"/>
    <cellStyle name="Normal 12 2 4 2" xfId="6686" xr:uid="{51832C5E-B4C8-45B5-B0F1-6200CD8A099A}"/>
    <cellStyle name="Normal 12 2 4 2 2" xfId="6687" xr:uid="{765CF86A-D54E-4787-B43B-7310F54638D7}"/>
    <cellStyle name="Normal 12 2 4 2_Jurisdictional Study" xfId="9754" xr:uid="{3F56DE67-E7A2-48CD-BDDE-D2BD4F22F57B}"/>
    <cellStyle name="Normal 12 2 4 3" xfId="6688" xr:uid="{42724A68-25D3-41B0-A98F-483354538664}"/>
    <cellStyle name="Normal 12 2 4_Jurisdictional Study" xfId="9753" xr:uid="{B2FA6F6C-1C81-4640-8909-6FA2F6F973A3}"/>
    <cellStyle name="Normal 12 2 5" xfId="6689" xr:uid="{B620EAEE-2873-421B-94ED-0F02CC2E278B}"/>
    <cellStyle name="Normal 12 2 5 2" xfId="6690" xr:uid="{4EA1C6C5-60B7-4BA9-B737-9E1E6E5A5AD5}"/>
    <cellStyle name="Normal 12 2 5_Jurisdictional Study" xfId="9755" xr:uid="{F34BD8E3-6F18-4CD4-8043-3010CAAAF31F}"/>
    <cellStyle name="Normal 12 2 6" xfId="6691" xr:uid="{0F74A8AB-E90E-41D1-9F5B-98D893D551D7}"/>
    <cellStyle name="Normal 12 2 7" xfId="6660" xr:uid="{2704EEB9-5BBA-4695-B48A-0CA0291D677F}"/>
    <cellStyle name="Normal 12 2_Jurisdictional Study" xfId="9740" xr:uid="{AAF4FE6F-73A9-4B66-853F-D3FFF914C741}"/>
    <cellStyle name="Normal 12 3" xfId="6692" xr:uid="{B17712D6-648C-4B05-9407-7D049BD6D7F5}"/>
    <cellStyle name="Normal 12 3 2" xfId="6693" xr:uid="{08BC7CB3-3B99-413B-9F31-620E8D1BC6FB}"/>
    <cellStyle name="Normal 12 3 2 2" xfId="6694" xr:uid="{2FEC75A3-FCF3-4997-A7F0-E6B253989271}"/>
    <cellStyle name="Normal 12 3 2 2 2" xfId="6695" xr:uid="{1575D352-BAAE-4180-93B4-B70C963E2F6D}"/>
    <cellStyle name="Normal 12 3 2 2 2 2" xfId="6696" xr:uid="{E63E51D6-434A-45B1-92D2-4859273D83F0}"/>
    <cellStyle name="Normal 12 3 2 2 2_Jurisdictional Study" xfId="9759" xr:uid="{37B977A8-D9E4-4C61-9E62-BD77685755C4}"/>
    <cellStyle name="Normal 12 3 2 2 3" xfId="6697" xr:uid="{CB369D5E-3417-47ED-924B-9077DFF10A1F}"/>
    <cellStyle name="Normal 12 3 2 2_Jurisdictional Study" xfId="9758" xr:uid="{CF0274EA-FCD9-44DB-86D3-8D5D249FB820}"/>
    <cellStyle name="Normal 12 3 2 3" xfId="6698" xr:uid="{4A9E7615-4059-434A-8C4B-2BB5917B037E}"/>
    <cellStyle name="Normal 12 3 2 3 2" xfId="6699" xr:uid="{D19019F4-04D0-461C-BC36-29CFEAEEDC96}"/>
    <cellStyle name="Normal 12 3 2 3_Jurisdictional Study" xfId="9760" xr:uid="{1F17CAAC-6F89-4C85-9EDD-B06B89A05818}"/>
    <cellStyle name="Normal 12 3 2 4" xfId="6700" xr:uid="{39AD7191-58E0-4CC0-AF5E-B0F57ABDECCD}"/>
    <cellStyle name="Normal 12 3 2_Jurisdictional Study" xfId="9757" xr:uid="{AB825863-86D4-4802-A759-061253EE7718}"/>
    <cellStyle name="Normal 12 3 3" xfId="6701" xr:uid="{F125DB55-4AC7-4773-B97A-4C71373A1C2B}"/>
    <cellStyle name="Normal 12 3 3 2" xfId="6702" xr:uid="{8192E741-BDD6-4927-B752-D27264C332AE}"/>
    <cellStyle name="Normal 12 3 3 2 2" xfId="6703" xr:uid="{0FAA877C-AD6A-436A-81AA-202A75299083}"/>
    <cellStyle name="Normal 12 3 3 2_Jurisdictional Study" xfId="9762" xr:uid="{6517ACE9-FAC5-4FE6-A069-31D0D300B064}"/>
    <cellStyle name="Normal 12 3 3 3" xfId="6704" xr:uid="{6D00FA20-EF24-48FB-A75A-533939AED4EF}"/>
    <cellStyle name="Normal 12 3 3_Jurisdictional Study" xfId="9761" xr:uid="{BB34D6CB-E388-4989-875C-5AB9AB85A1EC}"/>
    <cellStyle name="Normal 12 3 4" xfId="6705" xr:uid="{7B9E806A-05C8-440A-A987-A800F2A5AD6F}"/>
    <cellStyle name="Normal 12 3 4 2" xfId="6706" xr:uid="{A14D1E64-B58F-4F9E-AB6C-47811BAEA40F}"/>
    <cellStyle name="Normal 12 3 4_Jurisdictional Study" xfId="9763" xr:uid="{5355AD1D-9967-46F9-996D-3AC0027C9D06}"/>
    <cellStyle name="Normal 12 3 5" xfId="6707" xr:uid="{6D24E4E6-23FA-4571-92C2-3B47E67EE059}"/>
    <cellStyle name="Normal 12 3_Jurisdictional Study" xfId="9756" xr:uid="{7D89438F-43EC-4AAB-8FD9-2CBC61E83EE7}"/>
    <cellStyle name="Normal 12 4" xfId="6708" xr:uid="{AA396A7C-A20C-45C7-BDEC-0F9D354E24C2}"/>
    <cellStyle name="Normal 12 4 2" xfId="6709" xr:uid="{C1BE2C3E-AD40-4772-97F6-01421815B878}"/>
    <cellStyle name="Normal 12 4 2 2" xfId="6710" xr:uid="{205E6644-0216-4EC0-B1ED-9F795083F457}"/>
    <cellStyle name="Normal 12 4 2 2 2" xfId="6711" xr:uid="{BE609B20-7BBA-4D02-89B5-7AEBFA883F14}"/>
    <cellStyle name="Normal 12 4 2 2_Jurisdictional Study" xfId="9766" xr:uid="{690BA7B2-A2F4-4E6A-AAED-AEBED8AF3CF0}"/>
    <cellStyle name="Normal 12 4 2 3" xfId="6712" xr:uid="{CEE46816-3C29-4C50-9C29-7E458EAEC37A}"/>
    <cellStyle name="Normal 12 4 2_Jurisdictional Study" xfId="9765" xr:uid="{8508F9D1-DFCD-4797-BABF-C205282771C6}"/>
    <cellStyle name="Normal 12 4 3" xfId="6713" xr:uid="{9D2FD167-CB2D-4D62-9ADF-610EB7964460}"/>
    <cellStyle name="Normal 12 4 3 2" xfId="6714" xr:uid="{BE154672-E16E-40C0-A4D2-3DF9EE496E70}"/>
    <cellStyle name="Normal 12 4 3_Jurisdictional Study" xfId="9767" xr:uid="{675B155E-9A75-400A-B622-BB571F20C40D}"/>
    <cellStyle name="Normal 12 4 4" xfId="6715" xr:uid="{2D18D115-5C30-481C-9BF5-77BE6BF76A50}"/>
    <cellStyle name="Normal 12 4_Jurisdictional Study" xfId="9764" xr:uid="{66FF958B-8610-4E44-B9B0-2397C4BD9D3C}"/>
    <cellStyle name="Normal 12 5" xfId="6716" xr:uid="{5A55F99D-04D4-4197-8A18-2F739B49227D}"/>
    <cellStyle name="Normal 12 5 2" xfId="6717" xr:uid="{D35FB711-94AD-4847-AAD7-2C16B69C9BDC}"/>
    <cellStyle name="Normal 12 5 2 2" xfId="6718" xr:uid="{69612C33-18C9-4F78-BDA7-8E39F980484B}"/>
    <cellStyle name="Normal 12 5 2_Jurisdictional Study" xfId="9769" xr:uid="{FE67C239-5F0F-4C1C-B362-D5173D4C7707}"/>
    <cellStyle name="Normal 12 5 3" xfId="6719" xr:uid="{2CD40D6F-A4BD-4F1A-ACEB-F53827662DD6}"/>
    <cellStyle name="Normal 12 5_Jurisdictional Study" xfId="9768" xr:uid="{88883C52-7330-469A-A06D-9CEEB6CCE697}"/>
    <cellStyle name="Normal 12 6" xfId="6720" xr:uid="{4BAE9052-D20D-4807-B8EA-8A6F53F4FACE}"/>
    <cellStyle name="Normal 12 6 2" xfId="6721" xr:uid="{3845C0B0-7AC5-400B-A1A2-E8F50C4A7BF7}"/>
    <cellStyle name="Normal 12 6_Jurisdictional Study" xfId="9770" xr:uid="{232BC8B1-DDBE-460B-A29D-3C2C0EA4B13F}"/>
    <cellStyle name="Normal 12 7" xfId="6722" xr:uid="{53132A9A-F56F-469A-A645-AA0C338B2AB7}"/>
    <cellStyle name="Normal 12 8" xfId="6659" xr:uid="{7C47C00B-8F56-47D4-98C4-F162A525C5E3}"/>
    <cellStyle name="Normal 12_Jurisdictional Study" xfId="9739" xr:uid="{27B1091D-4480-4055-87E6-DEC0861C2224}"/>
    <cellStyle name="Normal 13" xfId="365" xr:uid="{4B2482F7-8570-4BA0-86C5-4D0BA3ACCD5E}"/>
    <cellStyle name="Normal 13 2" xfId="924" xr:uid="{FC6FFDD0-494A-4339-9C34-7F99F454BF32}"/>
    <cellStyle name="Normal 13_Jurisdictional Study" xfId="9771" xr:uid="{64456242-1F40-43C2-BCAC-C13997F69539}"/>
    <cellStyle name="Normal 14" xfId="369" xr:uid="{F0EE1164-B2A7-4EC0-9A97-91FADA21E5E8}"/>
    <cellStyle name="Normal 14 2" xfId="645" xr:uid="{1A71AF3C-DA1D-4789-AC6E-62BEA4FF8CE0}"/>
    <cellStyle name="Normal 14 2 2" xfId="2046" xr:uid="{73607556-61CD-45AC-B53A-870FB26F027C}"/>
    <cellStyle name="Normal 14 2 3" xfId="6724" xr:uid="{2A760A5D-9BDC-4A10-B901-121178578604}"/>
    <cellStyle name="Normal 14 2_Jurisdictional Study" xfId="9773" xr:uid="{7FABA473-E079-43E9-BCC9-1D14433E6BFF}"/>
    <cellStyle name="Normal 14 3" xfId="1929" xr:uid="{3BA2CFFC-5A7E-4D86-B4D3-81CFE53B410D}"/>
    <cellStyle name="Normal 14 4" xfId="6723" xr:uid="{ACA6B6D7-42E6-4231-93C1-A7E665A9748A}"/>
    <cellStyle name="Normal 14_Jurisdictional Study" xfId="9772" xr:uid="{FE7DA918-D78E-4EB1-A080-8C66B3E7F3A3}"/>
    <cellStyle name="Normal 15" xfId="142" xr:uid="{4AC49C3D-883B-4D22-B93C-DBBC434C3A47}"/>
    <cellStyle name="Normal 15 2" xfId="475" xr:uid="{563562AA-4179-47DF-8E6E-EBAE3F98F3BC}"/>
    <cellStyle name="Normal 15 2 2" xfId="1025" xr:uid="{E841BC2A-13A2-4185-A031-716BC15AD07B}"/>
    <cellStyle name="Normal 15 2 3" xfId="2130" xr:uid="{D87DCDE8-6F97-4C55-90F1-B1A9B23854E7}"/>
    <cellStyle name="Normal 15 2 4" xfId="6726" xr:uid="{F8A8206D-3C84-4480-BC1C-048C37442553}"/>
    <cellStyle name="Normal 15 2_Jurisdictional Study" xfId="9775" xr:uid="{9420CFF2-8176-4F8F-8D1B-48DE029AF879}"/>
    <cellStyle name="Normal 15 3" xfId="722" xr:uid="{196B28B7-BB64-49F5-A59D-C0787AF40BB7}"/>
    <cellStyle name="Normal 15 4" xfId="2013" xr:uid="{64F69CA0-6E1A-4606-B3F0-6BA4A0238BFD}"/>
    <cellStyle name="Normal 15 5" xfId="6725" xr:uid="{8ABABF38-B4A0-4E70-90C0-1E31BF2003BC}"/>
    <cellStyle name="Normal 15_Jurisdictional Study" xfId="9774" xr:uid="{D8672857-8633-405D-AA1D-4BB533D1F613}"/>
    <cellStyle name="Normal 16" xfId="903" xr:uid="{F6116C5B-3BB3-4932-8A21-5A5E364FD2D2}"/>
    <cellStyle name="Normal 16 2" xfId="6727" xr:uid="{6FBF3E56-CDDC-4B1A-B378-4C5847F35FD9}"/>
    <cellStyle name="Normal 16_Jurisdictional Study" xfId="9776" xr:uid="{AD94265D-652C-4616-9F79-E2568F80FFC3}"/>
    <cellStyle name="Normal 17" xfId="1027" xr:uid="{287EC56B-FBAF-499B-9AE9-3AAC77E717D9}"/>
    <cellStyle name="Normal 17 2" xfId="2133" xr:uid="{F6CCB484-C07B-4AE8-882D-73EDDEEF0568}"/>
    <cellStyle name="Normal 17 2 2" xfId="6729" xr:uid="{DCB07734-6A9D-459E-AF73-F52D74D36AC5}"/>
    <cellStyle name="Normal 17 2_Jurisdictional Study" xfId="9778" xr:uid="{01286FCF-B7B8-4539-8D56-3A26B17C6E3A}"/>
    <cellStyle name="Normal 17 3" xfId="6728" xr:uid="{CBF90BF6-E337-4B8A-BD1F-608F456F81C7}"/>
    <cellStyle name="Normal 17_Jurisdictional Study" xfId="9777" xr:uid="{1AB15C07-D4F3-4FCD-BADB-DC97CB4E0128}"/>
    <cellStyle name="Normal 18" xfId="1173" xr:uid="{0CBDB14B-3BB2-4EE5-8F1A-B808E4CC20F8}"/>
    <cellStyle name="Normal 18 2" xfId="2136" xr:uid="{7F0282E2-A5F3-4E2F-8C03-19B121F0DF60}"/>
    <cellStyle name="Normal 18 2 2" xfId="6731" xr:uid="{81F36258-8B43-40C6-A875-08EC98F8A9D7}"/>
    <cellStyle name="Normal 18 2_Jurisdictional Study" xfId="9780" xr:uid="{48F92258-1A58-4674-8033-F244D10288B0}"/>
    <cellStyle name="Normal 18 3" xfId="6730" xr:uid="{2F51F79E-32D1-4348-B38A-F65333F565AA}"/>
    <cellStyle name="Normal 18_Jurisdictional Study" xfId="9779" xr:uid="{DC5E34F2-E5BC-47E6-BC21-4B850AA5FA92}"/>
    <cellStyle name="Normal 19" xfId="1176" xr:uid="{BA34BE8F-E252-4699-93A7-C7A83A39F7DF}"/>
    <cellStyle name="Normal 19 2" xfId="6732" xr:uid="{7A4D481C-1FD5-4203-9F4F-FE2B093A914F}"/>
    <cellStyle name="Normal 19_Jurisdictional Study" xfId="9781" xr:uid="{E2CAACAA-9FF0-4877-8010-8E908BEDF6F5}"/>
    <cellStyle name="Normal 2" xfId="93" xr:uid="{23498FB5-EE36-48AF-B184-2C17BD8BD744}"/>
    <cellStyle name="Normal 2 18 3" xfId="8340" xr:uid="{D0DA8DF8-230E-473A-ADBA-BCC204F8C407}"/>
    <cellStyle name="Normal 2 2" xfId="301" xr:uid="{6E3A017A-878D-4C99-ABA5-D97C7A367460}"/>
    <cellStyle name="Normal 2 2 2" xfId="321" xr:uid="{2F0B20F4-197A-463D-994E-227487268264}"/>
    <cellStyle name="Normal 2 2 2 2" xfId="6734" xr:uid="{7C557CB2-5DCD-478D-BC3A-12D26973A1A8}"/>
    <cellStyle name="Normal 2 2 2_Jurisdictional Study" xfId="9784" xr:uid="{C9CD81DB-2AF5-43EC-8E8F-056885A799A2}"/>
    <cellStyle name="Normal 2 2 3" xfId="322" xr:uid="{C5B56632-F19D-4A86-BD5E-3A822F49CD1C}"/>
    <cellStyle name="Normal 2 2 4" xfId="447" xr:uid="{61565B2A-BB77-4429-B73C-64A745BDFC79}"/>
    <cellStyle name="Normal 2 2 4 2" xfId="703" xr:uid="{3B49E4EA-61DF-47FF-A97A-06A96C3D688E}"/>
    <cellStyle name="Normal 2 2 4 2 2" xfId="2104" xr:uid="{126086C5-EDF7-4711-8BA4-331493D0FE3A}"/>
    <cellStyle name="Normal 2 2 4 2_Jurisdictional Study" xfId="9786" xr:uid="{18DFB5C4-8784-49D3-BCA7-4E8DC41C6B14}"/>
    <cellStyle name="Normal 2 2 4 3" xfId="1986" xr:uid="{B33E27FB-15B8-4BE4-AB92-F089BC33B9A5}"/>
    <cellStyle name="Normal 2 2 4_Jurisdictional Study" xfId="9785" xr:uid="{29C92B8E-190D-4F8D-A5D1-CBC93798FBFC}"/>
    <cellStyle name="Normal 2 2 5" xfId="3204" xr:uid="{426ACA6C-3CE5-4D1D-90BA-0C9F5B0E33B3}"/>
    <cellStyle name="Normal 2 2_Jurisdictional Study" xfId="9783" xr:uid="{C4F37ADD-B635-4A42-B04E-234D6EF84F60}"/>
    <cellStyle name="Normal 2 3" xfId="323" xr:uid="{FA43296C-F723-4DD9-B40A-F981E7B22890}"/>
    <cellStyle name="Normal 2 3 2" xfId="6735" xr:uid="{305B9FA6-1FDA-418F-8724-3F73DEB6DFEE}"/>
    <cellStyle name="Normal 2 3_Jurisdictional Study" xfId="9787" xr:uid="{E737CE74-0782-47E9-869A-0227A8C5EE5E}"/>
    <cellStyle name="Normal 2 4" xfId="324" xr:uid="{5BDB29F3-DEA9-4A30-AA49-1CFD26AACAB2}"/>
    <cellStyle name="Normal 2 5" xfId="164" xr:uid="{442546BA-CD88-4DE5-9F6B-A9BD72839357}"/>
    <cellStyle name="Normal 2 5 2" xfId="435" xr:uid="{43F0F817-7E40-4839-A09E-E28089550C4F}"/>
    <cellStyle name="Normal 2 5 2 2" xfId="989" xr:uid="{F52FBF2E-00F8-41C7-9D75-82C153E9F652}"/>
    <cellStyle name="Normal 2 5 2 3" xfId="2096" xr:uid="{BD88BD8D-C3C9-437B-B4F1-252A4876D830}"/>
    <cellStyle name="Normal 2 5 2_Jurisdictional Study" xfId="9789" xr:uid="{77C5F8A9-3E14-46EA-85C6-8790E352DCFF}"/>
    <cellStyle name="Normal 2 5 3" xfId="695" xr:uid="{907A6CE1-DF73-481D-8261-9BFF7BE04BE9}"/>
    <cellStyle name="Normal 2 5 4" xfId="1976" xr:uid="{12C18262-28D9-4BE9-8AB8-4E5DD21BA16F}"/>
    <cellStyle name="Normal 2 5_Jurisdictional Study" xfId="9788" xr:uid="{ACAC2516-0319-4898-AD77-52391A326466}"/>
    <cellStyle name="Normal 2 6" xfId="6733" xr:uid="{BDCD05BA-D248-4F3D-B8B2-167E282A92F6}"/>
    <cellStyle name="Normal 2 7" xfId="8355" xr:uid="{15197373-D182-4E51-B633-3F85F96FEB22}"/>
    <cellStyle name="Normal 2 7 2" xfId="8362" xr:uid="{B95BF4E4-72A7-4418-8D0F-2206CEF833C9}"/>
    <cellStyle name="Normal 2 7_Jurisdictional Study" xfId="9790" xr:uid="{527397E9-BA3F-458B-A318-9EFEF7D079DB}"/>
    <cellStyle name="Normal 2 8" xfId="116" xr:uid="{E4707B44-8B89-48BB-9165-3DBA059E452F}"/>
    <cellStyle name="Normal 2_Jurisdictional Study" xfId="9782" xr:uid="{6048E41A-0158-4EB2-9D5D-8855D09FA5D1}"/>
    <cellStyle name="Normal 20" xfId="1177" xr:uid="{9F21272E-7E9C-4FD0-BBDC-8168848C7B66}"/>
    <cellStyle name="Normal 20 2" xfId="2140" xr:uid="{1B81B3E4-69F9-44D7-8FA3-ED2442B6E081}"/>
    <cellStyle name="Normal 20 2 2" xfId="6737" xr:uid="{AF918081-90E1-4873-A064-892F9C3A7FB6}"/>
    <cellStyle name="Normal 20 2_Jurisdictional Study" xfId="9792" xr:uid="{D64B0D9B-7823-4FCE-9EA5-80DA5D583A57}"/>
    <cellStyle name="Normal 20 3" xfId="6736" xr:uid="{4A45B7EB-DDFD-439E-B48E-C567DD638AAE}"/>
    <cellStyle name="Normal 20_Jurisdictional Study" xfId="9791" xr:uid="{2A1C2BDF-99B8-4F27-8D6A-17F10F60AD27}"/>
    <cellStyle name="Normal 21" xfId="2997" xr:uid="{424433A1-B463-433D-86EE-6F97F4F6C0CF}"/>
    <cellStyle name="Normal 21 2" xfId="6738" xr:uid="{6CE33F2E-5BB0-4311-BB80-0D8D705444F2}"/>
    <cellStyle name="Normal 21_Jurisdictional Study" xfId="9793" xr:uid="{0A36C40B-1BA4-4689-8247-BFCA3F58C99D}"/>
    <cellStyle name="Normal 22" xfId="3193" xr:uid="{EBAC67A7-D991-4155-8777-C0DFAA3A9632}"/>
    <cellStyle name="Normal 22 2" xfId="6740" xr:uid="{952222CD-B9FB-478A-94A0-5D0ACD6DB2FE}"/>
    <cellStyle name="Normal 22 3" xfId="6739" xr:uid="{2612B664-B679-45CD-84C7-3105A45C62D8}"/>
    <cellStyle name="Normal 22_Jurisdictional Study" xfId="9794" xr:uid="{259AD2DA-FC1F-4854-B168-3E090FC55B9F}"/>
    <cellStyle name="Normal 23" xfId="3198" xr:uid="{896C6918-0FB1-4F24-8961-5A0D02A1BB36}"/>
    <cellStyle name="Normal 23 2" xfId="6742" xr:uid="{CED922CF-6828-44E6-90DA-0A25EF2F5601}"/>
    <cellStyle name="Normal 23 3" xfId="6741" xr:uid="{588AA680-F136-4725-9CDA-C5100197B843}"/>
    <cellStyle name="Normal 23 4" xfId="8363" xr:uid="{281FDB69-0798-43CD-8B20-3D26BBDE89B7}"/>
    <cellStyle name="Normal 23_Jurisdictional Study" xfId="9795" xr:uid="{FA283C36-FF04-49B1-9E6B-A9C1648672B7}"/>
    <cellStyle name="Normal 24" xfId="3200" xr:uid="{8B3389EE-01FB-41C8-BC83-B14FF8B763A0}"/>
    <cellStyle name="Normal 24 2" xfId="6744" xr:uid="{F08856F7-A9CA-483E-B65B-49AB9C2662AF}"/>
    <cellStyle name="Normal 24 3" xfId="6743" xr:uid="{983A83CF-4348-4FB6-B8D5-9BF173E65016}"/>
    <cellStyle name="Normal 24_Jurisdictional Study" xfId="9796" xr:uid="{51A56B24-F086-4E9F-A402-0868434E3044}"/>
    <cellStyle name="Normal 25" xfId="6745" xr:uid="{3A423B22-C5E6-4D76-8E6B-96995BA5C769}"/>
    <cellStyle name="Normal 25 2" xfId="6746" xr:uid="{3F6FCFD2-E113-49EF-85ED-CE3447217685}"/>
    <cellStyle name="Normal 25_Jurisdictional Study" xfId="9797" xr:uid="{60A47A2B-78CA-4534-94DB-13DDF58BD143}"/>
    <cellStyle name="Normal 26" xfId="6747" xr:uid="{A4B2FCCD-4914-4F66-B0E9-466A2E1CAB98}"/>
    <cellStyle name="Normal 26 2" xfId="6748" xr:uid="{2A3557DE-498B-4D9C-9CC1-64FA4872DA71}"/>
    <cellStyle name="Normal 26_Jurisdictional Study" xfId="9798" xr:uid="{0CBD81EA-2C6D-4B08-9643-73C5642BE4A4}"/>
    <cellStyle name="Normal 27" xfId="6749" xr:uid="{D8C76AB8-1680-4E99-8705-A2E4EDD14786}"/>
    <cellStyle name="Normal 27 2" xfId="6750" xr:uid="{C6D8E6AE-CA04-49C2-85E0-C3250F884F49}"/>
    <cellStyle name="Normal 27 2 2" xfId="6751" xr:uid="{2EAF708A-E6BF-45C0-8853-16A261346DAE}"/>
    <cellStyle name="Normal 27 2 2 2" xfId="6752" xr:uid="{F591A85F-405A-4AF6-B8EF-A54AE4A3605C}"/>
    <cellStyle name="Normal 27 2 2_Jurisdictional Study" xfId="9801" xr:uid="{DDBC4D78-494E-40F6-BB13-429DAD12CE3A}"/>
    <cellStyle name="Normal 27 2 3" xfId="6753" xr:uid="{38260FC9-40F1-4687-9A7B-C73E030C14C6}"/>
    <cellStyle name="Normal 27 2_Jurisdictional Study" xfId="9800" xr:uid="{E558F50C-9103-44FA-B82F-FE82B1DC7427}"/>
    <cellStyle name="Normal 27 3" xfId="6754" xr:uid="{55176BAD-5824-460E-876A-EFC6F8EA6C4A}"/>
    <cellStyle name="Normal 27 3 2" xfId="6755" xr:uid="{87B242B0-76C2-4171-B253-56227855BB12}"/>
    <cellStyle name="Normal 27 3_Jurisdictional Study" xfId="9802" xr:uid="{7AA6186F-8091-4877-AD75-0DA6148C5D3C}"/>
    <cellStyle name="Normal 27 4" xfId="6756" xr:uid="{ED04CFB9-7BBD-4A2D-9727-084285AD3BCB}"/>
    <cellStyle name="Normal 27_Jurisdictional Study" xfId="9799" xr:uid="{8158EE33-0EB3-4EB8-922B-9AFF08FE97D8}"/>
    <cellStyle name="Normal 28" xfId="6757" xr:uid="{E351C593-4938-4239-BFA1-A006AC181138}"/>
    <cellStyle name="Normal 28 2" xfId="6758" xr:uid="{27524157-55E3-44ED-AFB4-0C480487092B}"/>
    <cellStyle name="Normal 28 2 2" xfId="6759" xr:uid="{62956092-0D1C-4D90-AE6D-14BEB857B7AC}"/>
    <cellStyle name="Normal 28 2 2 2" xfId="6760" xr:uid="{A98726CC-CBD7-4B3A-A35D-1EA6CE3711B9}"/>
    <cellStyle name="Normal 28 2 2_Jurisdictional Study" xfId="9805" xr:uid="{7CAA20C3-D15D-4DDF-A085-9FD2F1F12742}"/>
    <cellStyle name="Normal 28 2 3" xfId="6761" xr:uid="{193EEDB5-C718-4341-9253-AA8FD3B201DA}"/>
    <cellStyle name="Normal 28 2_Jurisdictional Study" xfId="9804" xr:uid="{B85DB5E4-E3BE-43D1-B6E7-EA7EA685FEBD}"/>
    <cellStyle name="Normal 28 3" xfId="6762" xr:uid="{6C5976A0-143E-47C5-AE16-761462350DD9}"/>
    <cellStyle name="Normal 28 3 2" xfId="6763" xr:uid="{727A0342-2639-4887-A946-C3063CD0F94A}"/>
    <cellStyle name="Normal 28 3_Jurisdictional Study" xfId="9806" xr:uid="{5847212A-5C76-4BC3-BEEF-62693DBAA275}"/>
    <cellStyle name="Normal 28 4" xfId="6764" xr:uid="{5E80CD5B-BCAE-4A16-A87E-3928F7EC182E}"/>
    <cellStyle name="Normal 28_Jurisdictional Study" xfId="9803" xr:uid="{1A99792B-D101-46B5-8268-9F50BA1492E2}"/>
    <cellStyle name="Normal 29" xfId="6765" xr:uid="{F0819AF5-B1DA-4A4C-8392-A22818A20E5A}"/>
    <cellStyle name="Normal 29 2" xfId="6766" xr:uid="{4B97C76C-3E6A-4786-9F8B-A4A4149737B6}"/>
    <cellStyle name="Normal 29 2 2" xfId="6767" xr:uid="{C74EF7BE-A5E9-4A13-95A3-C6B53D169395}"/>
    <cellStyle name="Normal 29 2_Jurisdictional Study" xfId="9808" xr:uid="{9F665369-F177-457F-B317-606458CCB5A4}"/>
    <cellStyle name="Normal 29 3" xfId="6768" xr:uid="{86AD9C34-E398-4D94-852A-CFD7B25BBCEF}"/>
    <cellStyle name="Normal 29_Jurisdictional Study" xfId="9807" xr:uid="{61DDF7CE-6139-4410-8918-611575AAFD05}"/>
    <cellStyle name="Normal 3" xfId="138" xr:uid="{10F513C5-DB61-4C0B-AB93-84EC55AF255F}"/>
    <cellStyle name="Normal 3 2" xfId="325" xr:uid="{4DBBB99A-120C-429D-A966-09BBC11D764B}"/>
    <cellStyle name="Normal 3 2 2" xfId="6770" xr:uid="{755EFF9D-E709-401D-BF5A-68D57269EB89}"/>
    <cellStyle name="Normal 3 2 5" xfId="8350" xr:uid="{2577BC6A-1967-4DCB-BD9E-EC3AE7D333A6}"/>
    <cellStyle name="Normal 3 2_Jurisdictional Study" xfId="9810" xr:uid="{9D335511-49F5-44B0-81F1-608C969CD345}"/>
    <cellStyle name="Normal 3 3" xfId="3242" xr:uid="{9B93EAD6-D0C7-4A96-A66B-F71BA82FA2D8}"/>
    <cellStyle name="Normal 3 4" xfId="6769" xr:uid="{7FBE291E-0E28-4018-A273-A6B3C8F0D3BF}"/>
    <cellStyle name="Normal 3 5" xfId="8339" xr:uid="{93F7CCDB-142D-4784-BFCB-76B653A6C96A}"/>
    <cellStyle name="Normal 3_Jurisdictional Study" xfId="9809" xr:uid="{78A0486D-7D1B-4DEC-B51E-BB550FBBDF69}"/>
    <cellStyle name="Normal 30" xfId="6771" xr:uid="{7575E57B-A831-412B-AA6D-A894BD54A03B}"/>
    <cellStyle name="Normal 30 2" xfId="6772" xr:uid="{071A8F21-9782-4851-9014-72456B45519D}"/>
    <cellStyle name="Normal 30_Jurisdictional Study" xfId="9811" xr:uid="{08511718-B084-41A3-83D5-93E843693F7E}"/>
    <cellStyle name="Normal 31" xfId="6773" xr:uid="{0C30A120-FE70-4B57-B0DF-BA8591F7DAB9}"/>
    <cellStyle name="Normal 31 2" xfId="6774" xr:uid="{46365186-6318-44E0-81DE-FA510F106E87}"/>
    <cellStyle name="Normal 31 2 2" xfId="6775" xr:uid="{D539E701-3EEA-47BB-ABBF-790F9DCCDF81}"/>
    <cellStyle name="Normal 31 2_Jurisdictional Study" xfId="9813" xr:uid="{FBCDA097-1B20-43ED-A8E4-B091EC7B7AC5}"/>
    <cellStyle name="Normal 31 3" xfId="6776" xr:uid="{E276208F-D640-4372-A352-D30C7C271C3C}"/>
    <cellStyle name="Normal 31_Jurisdictional Study" xfId="9812" xr:uid="{F51F06DA-2A25-4D43-ACFD-7C026EB31292}"/>
    <cellStyle name="Normal 32" xfId="6777" xr:uid="{A4FC2B69-5DB2-4A5C-A626-CDB39E1052C8}"/>
    <cellStyle name="Normal 32 2" xfId="6778" xr:uid="{2A978D7C-BB75-4254-8D5C-EC0804311765}"/>
    <cellStyle name="Normal 32_Jurisdictional Study" xfId="9814" xr:uid="{2EBAF639-50E0-4BA8-8A56-7691F2FFFA08}"/>
    <cellStyle name="Normal 33" xfId="6779" xr:uid="{C6C788A0-B17D-4150-8788-C2AFA6CD2BAF}"/>
    <cellStyle name="Normal 33 2" xfId="6780" xr:uid="{8BCD51AA-238B-4EB5-89E5-79B22D2E33FB}"/>
    <cellStyle name="Normal 33_Jurisdictional Study" xfId="9815" xr:uid="{CB9B39BB-59BB-461D-B295-E6E36194DD91}"/>
    <cellStyle name="Normal 34" xfId="6781" xr:uid="{27899AF0-0D3C-4D4D-B8BD-DC71CB3C6560}"/>
    <cellStyle name="Normal 34 2" xfId="6782" xr:uid="{AAD53682-05CA-45A9-AEC4-0C76EE2E62B7}"/>
    <cellStyle name="Normal 34_Jurisdictional Study" xfId="9816" xr:uid="{E8F00024-4B97-42D2-B63B-EA5C5930F4CF}"/>
    <cellStyle name="Normal 35" xfId="6783" xr:uid="{5EE20095-46CA-4F17-9301-C1B5F549E9B0}"/>
    <cellStyle name="Normal 35 2" xfId="6784" xr:uid="{00D4C4CC-9C52-4F64-B27B-A0950359969E}"/>
    <cellStyle name="Normal 35_Jurisdictional Study" xfId="9817" xr:uid="{66D5ABB2-1C94-4944-8564-8432E6517D6E}"/>
    <cellStyle name="Normal 36" xfId="6785" xr:uid="{27A6EC82-45B3-4360-8814-9A6B9ADDA5D2}"/>
    <cellStyle name="Normal 36 2" xfId="6786" xr:uid="{2F6DD891-315E-488C-98E6-6911BE0FC07F}"/>
    <cellStyle name="Normal 36_Jurisdictional Study" xfId="9818" xr:uid="{97FCF275-B985-4E07-9680-8369A5AFE8FC}"/>
    <cellStyle name="Normal 37" xfId="6787" xr:uid="{8C30B9B0-2CD3-4FBB-B262-088B3502ECE6}"/>
    <cellStyle name="Normal 37 2" xfId="6788" xr:uid="{7A8C7B58-F36A-4788-B93F-5B4FB206DFE0}"/>
    <cellStyle name="Normal 37_Jurisdictional Study" xfId="9819" xr:uid="{758732C6-82A8-4541-91C3-C2FB5BF23157}"/>
    <cellStyle name="Normal 38" xfId="6789" xr:uid="{00ABCA82-9850-4A53-920A-6F22597BEBC9}"/>
    <cellStyle name="Normal 38 2" xfId="6790" xr:uid="{C3BC747C-3288-4963-ABF3-90893F72314D}"/>
    <cellStyle name="Normal 38 2 2" xfId="6791" xr:uid="{9E2EDEEE-72CA-4FD3-93DC-8497E210E1CC}"/>
    <cellStyle name="Normal 38 2_Jurisdictional Study" xfId="9821" xr:uid="{8ED264E9-626C-4698-91ED-2F5CFAB8592E}"/>
    <cellStyle name="Normal 38 3" xfId="6792" xr:uid="{F267079D-FF39-4AC9-BCA2-8F75C3F6B852}"/>
    <cellStyle name="Normal 38_Jurisdictional Study" xfId="9820" xr:uid="{6A41CD68-B4A5-4580-8027-E83FF29FFAA2}"/>
    <cellStyle name="Normal 39" xfId="59" xr:uid="{00000000-0005-0000-0000-00003B000000}"/>
    <cellStyle name="Normal 39 2" xfId="6794" xr:uid="{8575A733-B3B8-4C17-931B-56809E448E4D}"/>
    <cellStyle name="Normal 39 3" xfId="6795" xr:uid="{6429BB07-923C-48E0-AB70-12BB9BF69E8A}"/>
    <cellStyle name="Normal 39 4" xfId="6793" xr:uid="{0AF32EA8-78AE-4036-93A7-939113A974F3}"/>
    <cellStyle name="Normal 39_Jurisdictional Study" xfId="9822" xr:uid="{3444AA52-1E61-449E-888D-173A9E329905}"/>
    <cellStyle name="Normal 4" xfId="165" xr:uid="{510CF9C8-A474-47F9-9334-47C2BEBC25F7}"/>
    <cellStyle name="Normal 4 2" xfId="6797" xr:uid="{7E5B8CDA-007F-4C38-9835-7A8730744EA3}"/>
    <cellStyle name="Normal 4 2 2" xfId="6798" xr:uid="{91ABF147-B78B-411C-A7F5-2469FBDC8C8B}"/>
    <cellStyle name="Normal 4 2 2 2" xfId="6799" xr:uid="{C5CCC1C5-A27B-4EC9-9BB3-FEA5870B62FA}"/>
    <cellStyle name="Normal 4 2 2 2 2" xfId="6800" xr:uid="{69F3FCB7-DA88-42C0-A074-91DDF57A5C9F}"/>
    <cellStyle name="Normal 4 2 2 2 2 2" xfId="6801" xr:uid="{468C1453-884D-4EDB-A381-6A979051630D}"/>
    <cellStyle name="Normal 4 2 2 2 2 2 2" xfId="6802" xr:uid="{F53208B1-D87C-4818-83E5-354762D6105F}"/>
    <cellStyle name="Normal 4 2 2 2 2 2_Jurisdictional Study" xfId="9828" xr:uid="{98AF4738-A1FC-484E-B4E9-4154FEC72CA2}"/>
    <cellStyle name="Normal 4 2 2 2 2 3" xfId="6803" xr:uid="{6EA4ECB6-5AD7-4171-8B85-6B7F5D979E21}"/>
    <cellStyle name="Normal 4 2 2 2 2_Jurisdictional Study" xfId="9827" xr:uid="{D6703A01-2ACA-4AED-93E8-22DDFEC37B70}"/>
    <cellStyle name="Normal 4 2 2 2 3" xfId="6804" xr:uid="{A73B8FA5-4EFA-48C7-ABEA-3296B0234BAC}"/>
    <cellStyle name="Normal 4 2 2 2 3 2" xfId="6805" xr:uid="{77B162F5-6DCA-4436-AB5C-BEE2288B2D1B}"/>
    <cellStyle name="Normal 4 2 2 2 3_Jurisdictional Study" xfId="9829" xr:uid="{DEF88136-D8AB-4526-9FAE-4201288E8C16}"/>
    <cellStyle name="Normal 4 2 2 2 4" xfId="6806" xr:uid="{9B190F54-679F-4082-A223-E1095E524CFD}"/>
    <cellStyle name="Normal 4 2 2 2_Jurisdictional Study" xfId="9826" xr:uid="{D3C51A15-3E44-4AC3-9103-B1D11E2FBA15}"/>
    <cellStyle name="Normal 4 2 2 3" xfId="6807" xr:uid="{649CE997-D5B6-4BDD-87D3-DCEFDD115BE1}"/>
    <cellStyle name="Normal 4 2 2 3 2" xfId="6808" xr:uid="{C94FA9EB-301E-4D5E-AC83-F304052E4B92}"/>
    <cellStyle name="Normal 4 2 2 3 2 2" xfId="6809" xr:uid="{B333F7B7-F1C1-4A9E-9998-D5C25D66CB87}"/>
    <cellStyle name="Normal 4 2 2 3 2_Jurisdictional Study" xfId="9831" xr:uid="{1AB9375F-F5A4-462B-BB75-6D7AF22F7F7F}"/>
    <cellStyle name="Normal 4 2 2 3 3" xfId="6810" xr:uid="{4FFF4F87-2EA1-45FD-B452-CBB423D5B03C}"/>
    <cellStyle name="Normal 4 2 2 3_Jurisdictional Study" xfId="9830" xr:uid="{3C1BABF8-816A-4CBD-819D-56496DCB1F90}"/>
    <cellStyle name="Normal 4 2 2 4" xfId="6811" xr:uid="{B274FAF7-D9CB-49BF-863B-A3353B77D526}"/>
    <cellStyle name="Normal 4 2 2 4 2" xfId="6812" xr:uid="{83301E42-E511-4F66-B8CF-3008C52D6793}"/>
    <cellStyle name="Normal 4 2 2 4_Jurisdictional Study" xfId="9832" xr:uid="{931824FA-89E5-4408-B287-BBD6B17575F5}"/>
    <cellStyle name="Normal 4 2 2 5" xfId="6813" xr:uid="{1A67C1A5-5382-423E-A1EF-992C8FB83718}"/>
    <cellStyle name="Normal 4 2 2_Jurisdictional Study" xfId="9825" xr:uid="{D3F03CE3-5852-47E3-9C06-0F72010A1AF0}"/>
    <cellStyle name="Normal 4 2 3" xfId="6814" xr:uid="{16444E5D-0D86-4349-B2D4-0B8F97A0212B}"/>
    <cellStyle name="Normal 4 2 3 2" xfId="6815" xr:uid="{7B69EB65-D1DD-4967-B3FD-16EE7FB1BADA}"/>
    <cellStyle name="Normal 4 2 3 2 2" xfId="6816" xr:uid="{60F879F9-8157-4A22-9286-4BDB67037C71}"/>
    <cellStyle name="Normal 4 2 3 2 2 2" xfId="6817" xr:uid="{0475A0E0-0FED-4F20-A184-C1DAEA37CBCD}"/>
    <cellStyle name="Normal 4 2 3 2 2_Jurisdictional Study" xfId="9835" xr:uid="{1875B270-F284-42D8-9320-F6A9A64FE40D}"/>
    <cellStyle name="Normal 4 2 3 2 3" xfId="6818" xr:uid="{E115500F-1116-4A18-AC59-52C7F6FD7242}"/>
    <cellStyle name="Normal 4 2 3 2_Jurisdictional Study" xfId="9834" xr:uid="{517E7247-C770-40E6-B59B-017E6299B329}"/>
    <cellStyle name="Normal 4 2 3 3" xfId="6819" xr:uid="{9C39F9D7-0691-4C04-BDF1-A87930A7E3FC}"/>
    <cellStyle name="Normal 4 2 3 3 2" xfId="6820" xr:uid="{FD13A00C-5CBC-4E01-845C-B99E33013D03}"/>
    <cellStyle name="Normal 4 2 3 3_Jurisdictional Study" xfId="9836" xr:uid="{C9B36280-5A8A-4534-8E83-4B513B4249BA}"/>
    <cellStyle name="Normal 4 2 3 4" xfId="6821" xr:uid="{D780E9AB-7B65-4F09-A91C-5EFA63417B71}"/>
    <cellStyle name="Normal 4 2 3_Jurisdictional Study" xfId="9833" xr:uid="{2A92E31A-D101-44DE-818B-E4C87CD9614C}"/>
    <cellStyle name="Normal 4 2 4" xfId="6822" xr:uid="{306860E0-57AF-48AD-BC74-272C6B5C6F1F}"/>
    <cellStyle name="Normal 4 2 4 2" xfId="6823" xr:uid="{52F6A6B7-9750-404C-B989-75F0C001126E}"/>
    <cellStyle name="Normal 4 2 4 2 2" xfId="6824" xr:uid="{DD66DAEC-884C-481D-9E12-D4A59298ABE9}"/>
    <cellStyle name="Normal 4 2 4 2_Jurisdictional Study" xfId="9838" xr:uid="{E5498AA1-83A2-46B8-BF51-49B89953A601}"/>
    <cellStyle name="Normal 4 2 4 3" xfId="6825" xr:uid="{C70E5318-BEC5-4557-A213-287F79C60B6D}"/>
    <cellStyle name="Normal 4 2 4_Jurisdictional Study" xfId="9837" xr:uid="{2BCEF4BB-8C6D-4B09-8667-48C7AACE0A75}"/>
    <cellStyle name="Normal 4 2 5" xfId="6826" xr:uid="{5776CC7A-04C3-4204-8914-91C9B18191C4}"/>
    <cellStyle name="Normal 4 2 5 2" xfId="6827" xr:uid="{FBA264AA-3133-4B8A-8211-DC37D404F69B}"/>
    <cellStyle name="Normal 4 2 5_Jurisdictional Study" xfId="9839" xr:uid="{59E5E516-3445-4910-A320-3EE8E0E20E6E}"/>
    <cellStyle name="Normal 4 2 6" xfId="6828" xr:uid="{23BC1A38-8617-4328-8730-3507AD9C3622}"/>
    <cellStyle name="Normal 4 2_Jurisdictional Study" xfId="9824" xr:uid="{410F1EBC-A6EE-481D-B6E7-4AEA8073A2CA}"/>
    <cellStyle name="Normal 4 3" xfId="6829" xr:uid="{7DA5893A-C7D0-4FF5-A204-63DF436DB951}"/>
    <cellStyle name="Normal 4 3 2" xfId="6830" xr:uid="{02C873BB-2F97-4C67-9C58-76FDCEDD74E6}"/>
    <cellStyle name="Normal 4 3 2 2" xfId="6831" xr:uid="{1E7EB2CB-E1C5-4CB5-AEFD-958BB725D92E}"/>
    <cellStyle name="Normal 4 3 2 2 2" xfId="6832" xr:uid="{EE95DC5D-2281-4138-B669-AA0BCD9B3E10}"/>
    <cellStyle name="Normal 4 3 2 2 2 2" xfId="6833" xr:uid="{A190A606-8064-472F-BFAD-92AAB1DBC534}"/>
    <cellStyle name="Normal 4 3 2 2 2_Jurisdictional Study" xfId="9843" xr:uid="{A9991A80-53CC-4B95-BC82-A7F796E89580}"/>
    <cellStyle name="Normal 4 3 2 2 3" xfId="6834" xr:uid="{14CF1D98-5F8E-4F0A-BD5D-526F0AA76E12}"/>
    <cellStyle name="Normal 4 3 2 2_Jurisdictional Study" xfId="9842" xr:uid="{2D2ED8ED-209C-4C0D-A65D-893E889D5254}"/>
    <cellStyle name="Normal 4 3 2 3" xfId="6835" xr:uid="{E24B7ECF-8EC8-4354-A21C-784561AC8F3F}"/>
    <cellStyle name="Normal 4 3 2 3 2" xfId="6836" xr:uid="{5CE7E24B-500C-4EAB-BF4B-1C4E731B5C6E}"/>
    <cellStyle name="Normal 4 3 2 3_Jurisdictional Study" xfId="9844" xr:uid="{1362651F-4EE0-4E28-8B11-8A8608EDDC5B}"/>
    <cellStyle name="Normal 4 3 2 4" xfId="6837" xr:uid="{BEE7627D-EEE9-4DAA-94D8-5A81CDAC491C}"/>
    <cellStyle name="Normal 4 3 2_Jurisdictional Study" xfId="9841" xr:uid="{BC05E160-4491-4FF5-A906-0F1EF817191B}"/>
    <cellStyle name="Normal 4 3 3" xfId="6838" xr:uid="{72F85E84-B7E5-4FBA-8E7B-EB7C9BC6621D}"/>
    <cellStyle name="Normal 4 3 3 2" xfId="6839" xr:uid="{1197C75D-3F61-4BD5-97C5-CD75E2CE5E95}"/>
    <cellStyle name="Normal 4 3 3 2 2" xfId="6840" xr:uid="{4F58F28C-48B7-495A-80C2-D69D6EE5BB30}"/>
    <cellStyle name="Normal 4 3 3 2_Jurisdictional Study" xfId="9846" xr:uid="{1558C767-6DB3-4538-AE5F-699E960FC9BB}"/>
    <cellStyle name="Normal 4 3 3 3" xfId="6841" xr:uid="{E3978BEB-CC48-4F69-B5EC-05756341A0D9}"/>
    <cellStyle name="Normal 4 3 3_Jurisdictional Study" xfId="9845" xr:uid="{31AD2207-B309-49D5-92F8-73E4BF5DC9E0}"/>
    <cellStyle name="Normal 4 3 4" xfId="6842" xr:uid="{B233E405-E8A6-4A6A-818D-91A03749C4DB}"/>
    <cellStyle name="Normal 4 3 4 2" xfId="6843" xr:uid="{FA8E2072-95F1-4745-A871-3F93BDA0C775}"/>
    <cellStyle name="Normal 4 3 4_Jurisdictional Study" xfId="9847" xr:uid="{0159AE90-8E51-42BC-A6A4-C5D6C6941930}"/>
    <cellStyle name="Normal 4 3 5" xfId="6844" xr:uid="{112E4695-D1EC-4C85-B82C-C4549D129C2F}"/>
    <cellStyle name="Normal 4 3_Jurisdictional Study" xfId="9840" xr:uid="{6747D685-9673-4FD0-96AA-A726636B2368}"/>
    <cellStyle name="Normal 4 4" xfId="6845" xr:uid="{024D52C6-A94E-478C-AF48-EEF058AC40BA}"/>
    <cellStyle name="Normal 4 4 2" xfId="6846" xr:uid="{F1B76C4C-3996-4FA2-9307-5C699FAFBBB2}"/>
    <cellStyle name="Normal 4 4 2 2" xfId="6847" xr:uid="{733D5338-FB67-4DF8-B9AF-31B9B3D34788}"/>
    <cellStyle name="Normal 4 4 2 2 2" xfId="6848" xr:uid="{AFA092DB-A05A-4D1D-881C-3BED93938A04}"/>
    <cellStyle name="Normal 4 4 2 2_Jurisdictional Study" xfId="9850" xr:uid="{94BCACF8-B108-4F43-8C32-E52031A223AB}"/>
    <cellStyle name="Normal 4 4 2 3" xfId="6849" xr:uid="{D3DB9E75-E331-4DC9-BF8B-6885829236F6}"/>
    <cellStyle name="Normal 4 4 2_Jurisdictional Study" xfId="9849" xr:uid="{1BAEC7C5-DD59-469F-8FEA-5F2CE2C07D50}"/>
    <cellStyle name="Normal 4 4 3" xfId="6850" xr:uid="{5E554528-492E-488E-B011-6354078EC08C}"/>
    <cellStyle name="Normal 4 4 3 2" xfId="6851" xr:uid="{7F57160B-E526-4980-9435-E6BC6C871306}"/>
    <cellStyle name="Normal 4 4 3_Jurisdictional Study" xfId="9851" xr:uid="{E945FFE6-2005-4142-9266-2DF9461495EA}"/>
    <cellStyle name="Normal 4 4 4" xfId="6852" xr:uid="{9EFBE16F-1052-49A7-BE17-CBF26A068C84}"/>
    <cellStyle name="Normal 4 4_Jurisdictional Study" xfId="9848" xr:uid="{34C7C4D5-77C3-416F-8B33-C3D25D81B72E}"/>
    <cellStyle name="Normal 4 5" xfId="6853" xr:uid="{4AEDCE8E-92D8-498C-92E7-33324B79914D}"/>
    <cellStyle name="Normal 4 5 2" xfId="6854" xr:uid="{D9D90913-1A17-401F-9531-A4DE17880C0A}"/>
    <cellStyle name="Normal 4 5 2 2" xfId="6855" xr:uid="{EE4AC331-7FF0-4B9D-8EB5-A88034CD1AE3}"/>
    <cellStyle name="Normal 4 5 2_Jurisdictional Study" xfId="9853" xr:uid="{FF6EBA40-36D4-4C64-BAE1-0D38637AAF60}"/>
    <cellStyle name="Normal 4 5 3" xfId="6856" xr:uid="{0C4A1B40-4C2F-4A80-89B5-BE1C3055B6F7}"/>
    <cellStyle name="Normal 4 5_Jurisdictional Study" xfId="9852" xr:uid="{F27265C1-53FD-432E-AF79-98469D8BA51D}"/>
    <cellStyle name="Normal 4 6" xfId="6857" xr:uid="{F99AEE6B-F85D-4274-B872-B10A90FA51DF}"/>
    <cellStyle name="Normal 4 6 2" xfId="6858" xr:uid="{D1BC9E01-601C-403C-B105-C30752B9643B}"/>
    <cellStyle name="Normal 4 6_Jurisdictional Study" xfId="9854" xr:uid="{32B01E32-073A-4BF6-B3F1-7553C85DBB19}"/>
    <cellStyle name="Normal 4 7" xfId="6859" xr:uid="{46FD547E-7760-47E0-91E7-D47F09281107}"/>
    <cellStyle name="Normal 4 8" xfId="6796" xr:uid="{399C9622-E86B-4AD5-AE18-51D0CE0BD602}"/>
    <cellStyle name="Normal 4_Jurisdictional Study" xfId="9823" xr:uid="{74153C5A-F152-4ADE-AFE0-03077ABAE7DE}"/>
    <cellStyle name="Normal 40" xfId="6860" xr:uid="{25FC8BF6-AA1F-4273-BA3C-8DAB0F437E26}"/>
    <cellStyle name="Normal 40 2" xfId="6861" xr:uid="{9B23D4CD-7362-4EAE-B752-4263E0043E87}"/>
    <cellStyle name="Normal 40_Jurisdictional Study" xfId="9855" xr:uid="{24E591B3-0B76-4E54-AF2E-15957EF79054}"/>
    <cellStyle name="Normal 41" xfId="6862" xr:uid="{6AADC7D2-73CD-40AF-98D6-58BAAA0ED22B}"/>
    <cellStyle name="Normal 41 2" xfId="6863" xr:uid="{9ED7BF94-1525-4C59-A7D2-778CB39B5278}"/>
    <cellStyle name="Normal 41_Jurisdictional Study" xfId="9856" xr:uid="{E50575A8-292D-4DC5-BE50-AE4130BA719D}"/>
    <cellStyle name="Normal 42" xfId="6864" xr:uid="{4893874A-4819-49DF-989C-542F123A8479}"/>
    <cellStyle name="Normal 43" xfId="6865" xr:uid="{0EBCF051-5180-45F3-B206-2037CB3B4707}"/>
    <cellStyle name="Normal 44" xfId="3243" xr:uid="{B6148BB2-B8D2-429E-8FE6-144B82DE6832}"/>
    <cellStyle name="Normal 45" xfId="8332" xr:uid="{F98C86D9-0DF5-4099-9D76-5AF644A26B19}"/>
    <cellStyle name="Normal 46" xfId="8341" xr:uid="{F00C2DAD-871F-40C1-8504-A1474E45917A}"/>
    <cellStyle name="Normal 46 2" xfId="8358" xr:uid="{23D0DE4D-E239-4094-9B8C-FB1CED690D98}"/>
    <cellStyle name="Normal 46 3" xfId="8361" xr:uid="{F794292B-E512-4997-B4D0-B2F17E4DFA25}"/>
    <cellStyle name="Normal 46_Jurisdictional Study" xfId="9857" xr:uid="{1FA923A1-5A6C-4BF6-A820-4A95B10F9631}"/>
    <cellStyle name="Normal 47" xfId="8343" xr:uid="{3D2E084C-7C27-40ED-972B-6DA345DC517B}"/>
    <cellStyle name="Normal 48" xfId="8347" xr:uid="{C7C4B218-D220-483D-8315-E19442C0C1EA}"/>
    <cellStyle name="Normal 48 2" xfId="8359" xr:uid="{79F57A13-17C4-46B7-A218-B4051D15EF5E}"/>
    <cellStyle name="Normal 48 3" xfId="8365" xr:uid="{9EB7CCE9-E06E-49AB-A7D4-F969BA3E8A9A}"/>
    <cellStyle name="Normal 48_Jurisdictional Study" xfId="9858" xr:uid="{7FBFE138-4787-44E5-ABE8-DA46C88AEC36}"/>
    <cellStyle name="Normal 49" xfId="8348" xr:uid="{959019A1-4E37-40D9-AC3C-A3C1A672D2A2}"/>
    <cellStyle name="Normal 49 2" xfId="8360" xr:uid="{7A6B8223-8A3D-4087-AFE7-46E72A8DD16B}"/>
    <cellStyle name="Normal 49 3" xfId="8367" xr:uid="{7844693F-C077-4578-9EB4-BBC0F75F119A}"/>
    <cellStyle name="Normal 49_Jurisdictional Study" xfId="9859" xr:uid="{1CAFADF7-A674-4631-A99A-004DA5CAD94D}"/>
    <cellStyle name="Normal 5" xfId="117" xr:uid="{E8005057-5607-4735-89B7-F73401575BC4}"/>
    <cellStyle name="Normal 5 10" xfId="6866" xr:uid="{F5C72CF1-3312-4B5C-8B3E-AE24AB52F0A3}"/>
    <cellStyle name="Normal 5 10 2" xfId="6867" xr:uid="{0BA7499F-75B7-4B16-83B6-7DE15D159B40}"/>
    <cellStyle name="Normal 5 10 2 2" xfId="6868" xr:uid="{94E382E1-30D4-48A4-99B8-53408377E71D}"/>
    <cellStyle name="Normal 5 10 2 2 2" xfId="6869" xr:uid="{0BFA1EAF-4237-4809-8559-A8F3DD347C1B}"/>
    <cellStyle name="Normal 5 10 2 2_Jurisdictional Study" xfId="9863" xr:uid="{212EDF37-2C8F-4F98-BD19-FE8C6ADA57C5}"/>
    <cellStyle name="Normal 5 10 2 3" xfId="6870" xr:uid="{5CE5AF5E-3DFA-4923-8465-87DC2918835F}"/>
    <cellStyle name="Normal 5 10 2_Jurisdictional Study" xfId="9862" xr:uid="{53D3E15F-13C2-4C51-A42B-20AF34B548E1}"/>
    <cellStyle name="Normal 5 10 3" xfId="6871" xr:uid="{319EE6B2-0110-418D-B2C3-EEB75E14EC9A}"/>
    <cellStyle name="Normal 5 10 3 2" xfId="6872" xr:uid="{6E9D8997-4E88-4159-AD9B-20B1D2C2EC8F}"/>
    <cellStyle name="Normal 5 10 3_Jurisdictional Study" xfId="9864" xr:uid="{055583DC-ED9A-406B-A950-49263CFB37AB}"/>
    <cellStyle name="Normal 5 10 4" xfId="6873" xr:uid="{7B4FD35F-1619-48D4-8B8B-C9870C213295}"/>
    <cellStyle name="Normal 5 10_Jurisdictional Study" xfId="9861" xr:uid="{DDE4C0EF-A264-4630-9DBB-B543C999462E}"/>
    <cellStyle name="Normal 5 11" xfId="6874" xr:uid="{01CDEE74-2DF1-49AD-89A4-9BC22FC01F98}"/>
    <cellStyle name="Normal 5 11 2" xfId="6875" xr:uid="{F6EB30E0-B58F-42E0-9C38-B1A5A4CE9CDC}"/>
    <cellStyle name="Normal 5 11 2 2" xfId="6876" xr:uid="{B8B2D9D8-5221-4749-B289-7BD8B066CCB0}"/>
    <cellStyle name="Normal 5 11 2_Jurisdictional Study" xfId="9866" xr:uid="{9DA5F355-C04C-4641-A4F9-FB15C2F92EA8}"/>
    <cellStyle name="Normal 5 11 3" xfId="6877" xr:uid="{F4EC4112-1C1E-4E14-BF7B-CB5F2D9EF76B}"/>
    <cellStyle name="Normal 5 11_Jurisdictional Study" xfId="9865" xr:uid="{736C03B8-BECA-4BB8-BC07-C8B4B10091BF}"/>
    <cellStyle name="Normal 5 12" xfId="6878" xr:uid="{03539D63-96FA-4873-A25B-3FB723F9FC52}"/>
    <cellStyle name="Normal 5 12 2" xfId="6879" xr:uid="{7578301D-A2A1-42B9-87E8-3A945374043E}"/>
    <cellStyle name="Normal 5 12_Jurisdictional Study" xfId="9867" xr:uid="{506F510E-E6E5-4B3A-ACA0-0D5ECC8D4C46}"/>
    <cellStyle name="Normal 5 2" xfId="326" xr:uid="{A1C98B9E-3F5D-4181-AF09-C876D0788802}"/>
    <cellStyle name="Normal 5 2 10" xfId="6880" xr:uid="{EC458355-25BD-4D1F-B41A-C1DEC540C1D0}"/>
    <cellStyle name="Normal 5 2 2" xfId="6881" xr:uid="{84DC8B02-0E71-4F2C-A84A-81A656EC0269}"/>
    <cellStyle name="Normal 5 2 2 2" xfId="6882" xr:uid="{20DB4B87-35B9-4EF7-A237-8BBC8106DB0D}"/>
    <cellStyle name="Normal 5 2 2 2 2" xfId="6883" xr:uid="{0A31CE54-93BA-4177-8D21-FCD5FA3D652D}"/>
    <cellStyle name="Normal 5 2 2 2 2 2" xfId="6884" xr:uid="{FC57D400-B331-4D38-BD07-4266483F8DEC}"/>
    <cellStyle name="Normal 5 2 2 2 2 2 2" xfId="6885" xr:uid="{6743D3D8-A9E1-4CF0-8B2F-F2FF10F6973F}"/>
    <cellStyle name="Normal 5 2 2 2 2 2 2 2" xfId="6886" xr:uid="{DDF4FE94-D7C4-46B0-A146-99040977A663}"/>
    <cellStyle name="Normal 5 2 2 2 2 2 2 2 2" xfId="6887" xr:uid="{A54972BA-5903-4383-9688-27F85EACB143}"/>
    <cellStyle name="Normal 5 2 2 2 2 2 2 2_Jurisdictional Study" xfId="9874" xr:uid="{B3315594-0F52-45CC-B0AE-11AD7A9FA169}"/>
    <cellStyle name="Normal 5 2 2 2 2 2 2 3" xfId="6888" xr:uid="{EA43B431-B180-47F4-A9D7-9F88BEF93DB0}"/>
    <cellStyle name="Normal 5 2 2 2 2 2 2_Jurisdictional Study" xfId="9873" xr:uid="{D5CF641C-E3CB-4FB3-B112-75FEF064E449}"/>
    <cellStyle name="Normal 5 2 2 2 2 2 3" xfId="6889" xr:uid="{07DE1E83-E941-447D-91D4-7C79DCF1B80B}"/>
    <cellStyle name="Normal 5 2 2 2 2 2 3 2" xfId="6890" xr:uid="{F3A45A38-961F-40D3-929B-2DDA1C4D74A9}"/>
    <cellStyle name="Normal 5 2 2 2 2 2 3_Jurisdictional Study" xfId="9875" xr:uid="{E863C5BE-93B8-4AC3-BE12-DDD7B1D611BB}"/>
    <cellStyle name="Normal 5 2 2 2 2 2 4" xfId="6891" xr:uid="{17DE7417-469C-4B84-8701-D9036B11313A}"/>
    <cellStyle name="Normal 5 2 2 2 2 2_Jurisdictional Study" xfId="9872" xr:uid="{C2B19E64-2607-423E-B8B6-679F33FAA7B7}"/>
    <cellStyle name="Normal 5 2 2 2 2 3" xfId="6892" xr:uid="{EE541AFE-9399-4341-BDB0-84167BAD9F43}"/>
    <cellStyle name="Normal 5 2 2 2 2 3 2" xfId="6893" xr:uid="{4927AD92-82F7-4022-A076-5D9C9088BA72}"/>
    <cellStyle name="Normal 5 2 2 2 2 3 2 2" xfId="6894" xr:uid="{60CC0EBF-CA03-4AC6-BF39-6B28AD3140EA}"/>
    <cellStyle name="Normal 5 2 2 2 2 3 2_Jurisdictional Study" xfId="9877" xr:uid="{B4B459DF-4B03-460C-9529-F3725128D659}"/>
    <cellStyle name="Normal 5 2 2 2 2 3 3" xfId="6895" xr:uid="{DC49D715-4A3E-4A97-A24C-583941F5496A}"/>
    <cellStyle name="Normal 5 2 2 2 2 3_Jurisdictional Study" xfId="9876" xr:uid="{1E2259FB-B387-42AC-AC11-A8FB8FC06992}"/>
    <cellStyle name="Normal 5 2 2 2 2 4" xfId="6896" xr:uid="{E27611C3-6593-41AA-A43B-21787472939A}"/>
    <cellStyle name="Normal 5 2 2 2 2 4 2" xfId="6897" xr:uid="{8BAD356F-3DBF-4FFA-89AB-05C38DC2DDFB}"/>
    <cellStyle name="Normal 5 2 2 2 2 4_Jurisdictional Study" xfId="9878" xr:uid="{84B58CBE-3DC9-4982-BBBA-466FCF11D1B5}"/>
    <cellStyle name="Normal 5 2 2 2 2 5" xfId="6898" xr:uid="{56BFB271-847C-4345-B06C-64EB22B4E133}"/>
    <cellStyle name="Normal 5 2 2 2 2_Jurisdictional Study" xfId="9871" xr:uid="{4B501A74-269B-4EC4-BB9C-0F3C18E7B0E1}"/>
    <cellStyle name="Normal 5 2 2 2 3" xfId="6899" xr:uid="{80C1F390-98CA-46A6-A29D-FE90950E84B6}"/>
    <cellStyle name="Normal 5 2 2 2 3 2" xfId="6900" xr:uid="{F2CFBEDC-AA64-4820-B651-BDE1E216EE32}"/>
    <cellStyle name="Normal 5 2 2 2 3 2 2" xfId="6901" xr:uid="{D15D7DDA-425E-4F7B-9ED8-63384AD89522}"/>
    <cellStyle name="Normal 5 2 2 2 3 2 2 2" xfId="6902" xr:uid="{35E99BF6-0C86-45EA-AFB4-FD5CCCA864A0}"/>
    <cellStyle name="Normal 5 2 2 2 3 2 2_Jurisdictional Study" xfId="9881" xr:uid="{F5472908-7735-4183-9BCC-E996344E1C33}"/>
    <cellStyle name="Normal 5 2 2 2 3 2 3" xfId="6903" xr:uid="{8E5ACAE7-4923-45FF-BF46-DE0F44FB5977}"/>
    <cellStyle name="Normal 5 2 2 2 3 2_Jurisdictional Study" xfId="9880" xr:uid="{CD82A6E1-3A96-4DBC-B3A5-732C95427D08}"/>
    <cellStyle name="Normal 5 2 2 2 3 3" xfId="6904" xr:uid="{788580ED-324E-45F3-8E12-3E1F0A3B5356}"/>
    <cellStyle name="Normal 5 2 2 2 3 3 2" xfId="6905" xr:uid="{1553B10D-EB76-41F4-B27E-7234F8BF6872}"/>
    <cellStyle name="Normal 5 2 2 2 3 3_Jurisdictional Study" xfId="9882" xr:uid="{44BECD65-4E12-46E1-886E-41D0C695A5BD}"/>
    <cellStyle name="Normal 5 2 2 2 3 4" xfId="6906" xr:uid="{B885986E-02C0-43C2-934E-65880C26BF86}"/>
    <cellStyle name="Normal 5 2 2 2 3_Jurisdictional Study" xfId="9879" xr:uid="{7CE09E9B-B20A-484B-B255-D692EAAF6D3F}"/>
    <cellStyle name="Normal 5 2 2 2 4" xfId="6907" xr:uid="{C4794166-1FE5-4AD7-BEAB-C7356487D8B9}"/>
    <cellStyle name="Normal 5 2 2 2 4 2" xfId="6908" xr:uid="{F517BFA2-6357-48BB-88B2-3902BFD01B79}"/>
    <cellStyle name="Normal 5 2 2 2 4 2 2" xfId="6909" xr:uid="{EAE241F9-0AC5-4B39-A950-A6F1A7C0DF5A}"/>
    <cellStyle name="Normal 5 2 2 2 4 2_Jurisdictional Study" xfId="9884" xr:uid="{88CD6FB5-1D3D-4522-8122-DCBEE59B8B9B}"/>
    <cellStyle name="Normal 5 2 2 2 4 3" xfId="6910" xr:uid="{31560489-C208-49E0-A8C6-4FFA0ECDF5C9}"/>
    <cellStyle name="Normal 5 2 2 2 4_Jurisdictional Study" xfId="9883" xr:uid="{3F5CE74E-4B43-4CBD-8436-1AA0E2583690}"/>
    <cellStyle name="Normal 5 2 2 2 5" xfId="6911" xr:uid="{BB2067B1-CCBB-4A22-84B2-7CD2E7A8D175}"/>
    <cellStyle name="Normal 5 2 2 2 5 2" xfId="6912" xr:uid="{F2D826A7-6C6A-4943-A0C1-AAC8A3562AA1}"/>
    <cellStyle name="Normal 5 2 2 2 5_Jurisdictional Study" xfId="9885" xr:uid="{82FDFE27-CEF5-4591-96BE-5BAC041A3013}"/>
    <cellStyle name="Normal 5 2 2 2 6" xfId="6913" xr:uid="{0BC3A3EE-93CA-4628-B7BD-90FD64B6C3A5}"/>
    <cellStyle name="Normal 5 2 2 2_Jurisdictional Study" xfId="9870" xr:uid="{E4DAD652-CD65-4A5B-BD26-05BDC383F892}"/>
    <cellStyle name="Normal 5 2 2 3" xfId="6914" xr:uid="{3492F91D-F52B-464E-9AE8-AFDEBD70CDF4}"/>
    <cellStyle name="Normal 5 2 2 3 2" xfId="6915" xr:uid="{D43AE5FB-4F3C-40E7-A899-BCBCD7AFE2B7}"/>
    <cellStyle name="Normal 5 2 2 3 2 2" xfId="6916" xr:uid="{7F4DA46C-75C2-48ED-98F4-2DA4B3E1149E}"/>
    <cellStyle name="Normal 5 2 2 3 2 2 2" xfId="6917" xr:uid="{ADA11014-0C74-4541-85CF-CA9DEBFD096E}"/>
    <cellStyle name="Normal 5 2 2 3 2 2 2 2" xfId="6918" xr:uid="{3125E3A7-8EA9-402E-970E-F4B8B55C45BA}"/>
    <cellStyle name="Normal 5 2 2 3 2 2 2_Jurisdictional Study" xfId="9889" xr:uid="{3F366DF1-BEC0-4990-8CCB-872537498D45}"/>
    <cellStyle name="Normal 5 2 2 3 2 2 3" xfId="6919" xr:uid="{8582F3AF-D22D-40CE-83D4-7B45660E5016}"/>
    <cellStyle name="Normal 5 2 2 3 2 2_Jurisdictional Study" xfId="9888" xr:uid="{FDA78A3F-5A06-4EFD-9F7F-D48E8E321C44}"/>
    <cellStyle name="Normal 5 2 2 3 2 3" xfId="6920" xr:uid="{D569DC34-CAF3-4BF5-97E0-D09EF2F63539}"/>
    <cellStyle name="Normal 5 2 2 3 2 3 2" xfId="6921" xr:uid="{5E6DFDD2-923E-482B-9585-13A6195C2688}"/>
    <cellStyle name="Normal 5 2 2 3 2 3_Jurisdictional Study" xfId="9890" xr:uid="{0B35688C-0C35-4A47-9D87-A8C1DC2163CE}"/>
    <cellStyle name="Normal 5 2 2 3 2 4" xfId="6922" xr:uid="{E2121E8E-DD3C-4867-BB90-E340D254262F}"/>
    <cellStyle name="Normal 5 2 2 3 2_Jurisdictional Study" xfId="9887" xr:uid="{926376E7-4485-4413-B816-59F70A784419}"/>
    <cellStyle name="Normal 5 2 2 3 3" xfId="6923" xr:uid="{026AECD8-1EF2-4863-8C69-C900544D4755}"/>
    <cellStyle name="Normal 5 2 2 3 3 2" xfId="6924" xr:uid="{8F417E57-D294-4644-8F67-739B004BF3FC}"/>
    <cellStyle name="Normal 5 2 2 3 3 2 2" xfId="6925" xr:uid="{3C31813B-1A34-4E3B-A2C4-3E6FC9E44B30}"/>
    <cellStyle name="Normal 5 2 2 3 3 2_Jurisdictional Study" xfId="9892" xr:uid="{78F1E229-506F-4EEB-A00E-F787CD87E908}"/>
    <cellStyle name="Normal 5 2 2 3 3 3" xfId="6926" xr:uid="{046D4D25-4886-4D64-9607-B4571D4CF198}"/>
    <cellStyle name="Normal 5 2 2 3 3_Jurisdictional Study" xfId="9891" xr:uid="{C9F7CABB-D598-4782-8B0F-11F30AF562CA}"/>
    <cellStyle name="Normal 5 2 2 3 4" xfId="6927" xr:uid="{4C7719D3-20E0-4D6A-B4FB-BB1F5CB8C793}"/>
    <cellStyle name="Normal 5 2 2 3 4 2" xfId="6928" xr:uid="{11486DB5-B6BB-4048-A398-2BF819969BAB}"/>
    <cellStyle name="Normal 5 2 2 3 4_Jurisdictional Study" xfId="9893" xr:uid="{F8C1212D-FBF9-4A22-A7A8-C1D8FD91DCC6}"/>
    <cellStyle name="Normal 5 2 2 3 5" xfId="6929" xr:uid="{B36896C4-93AE-4DEE-AD45-D30B6BBA9FF9}"/>
    <cellStyle name="Normal 5 2 2 3_Jurisdictional Study" xfId="9886" xr:uid="{BB03420A-D094-441C-803D-6F141965F7F8}"/>
    <cellStyle name="Normal 5 2 2 4" xfId="6930" xr:uid="{4EF796AC-FD94-4DD2-8AFD-470BB810DE67}"/>
    <cellStyle name="Normal 5 2 2 4 2" xfId="6931" xr:uid="{250ED822-EBBA-40A2-AEE6-27375F678927}"/>
    <cellStyle name="Normal 5 2 2 4 2 2" xfId="6932" xr:uid="{5BCB0D8E-EF8F-4A88-A88E-4A857E04FFB5}"/>
    <cellStyle name="Normal 5 2 2 4 2 2 2" xfId="6933" xr:uid="{848A6A36-169F-4844-9F1F-B949A57673B8}"/>
    <cellStyle name="Normal 5 2 2 4 2 2 2 2" xfId="6934" xr:uid="{363454C8-DA29-48C4-90B7-D8B9EC7D92B1}"/>
    <cellStyle name="Normal 5 2 2 4 2 2 2_Jurisdictional Study" xfId="9897" xr:uid="{52FEB482-DB56-4163-951A-5A86586C12D6}"/>
    <cellStyle name="Normal 5 2 2 4 2 2 3" xfId="6935" xr:uid="{1DC0A1FC-7010-4E1B-BB12-2C79E2BD4BF5}"/>
    <cellStyle name="Normal 5 2 2 4 2 2_Jurisdictional Study" xfId="9896" xr:uid="{32B6399B-18DB-4C4D-8D2F-BE5091B469DF}"/>
    <cellStyle name="Normal 5 2 2 4 2 3" xfId="6936" xr:uid="{4B00DED8-CD7A-4EB5-B788-716DB04B898D}"/>
    <cellStyle name="Normal 5 2 2 4 2 3 2" xfId="6937" xr:uid="{2387F03C-CC77-4CAC-A7E7-92CC945E29A2}"/>
    <cellStyle name="Normal 5 2 2 4 2 3_Jurisdictional Study" xfId="9898" xr:uid="{0282B329-EAF2-4F6B-98C7-260203B71FA0}"/>
    <cellStyle name="Normal 5 2 2 4 2 4" xfId="6938" xr:uid="{01663E93-A41A-493E-92DD-59D9F9F7184D}"/>
    <cellStyle name="Normal 5 2 2 4 2_Jurisdictional Study" xfId="9895" xr:uid="{6441CDBA-A975-440E-B863-BE694D52A130}"/>
    <cellStyle name="Normal 5 2 2 4 3" xfId="6939" xr:uid="{159ADE7D-8D6E-4F81-BAB2-777D701C7EB4}"/>
    <cellStyle name="Normal 5 2 2 4 3 2" xfId="6940" xr:uid="{E3BA997A-BAA2-45BD-BA8B-E0272998A6F3}"/>
    <cellStyle name="Normal 5 2 2 4 3 2 2" xfId="6941" xr:uid="{05083542-2353-47E4-9C68-60C8688408A1}"/>
    <cellStyle name="Normal 5 2 2 4 3 2_Jurisdictional Study" xfId="9900" xr:uid="{34D136B1-88E4-4E66-9D77-079A811BE769}"/>
    <cellStyle name="Normal 5 2 2 4 3 3" xfId="6942" xr:uid="{19E49FE6-AD97-4FCA-96D5-3D062D3CEAC5}"/>
    <cellStyle name="Normal 5 2 2 4 3_Jurisdictional Study" xfId="9899" xr:uid="{6661C8B4-4B47-4720-90EC-8E9A5A41F49B}"/>
    <cellStyle name="Normal 5 2 2 4 4" xfId="6943" xr:uid="{5DFF92EC-D16C-4395-A9CC-1B89C93DFF2A}"/>
    <cellStyle name="Normal 5 2 2 4 4 2" xfId="6944" xr:uid="{803F97D0-0CCF-4139-BEB8-EAEE64A3C5A7}"/>
    <cellStyle name="Normal 5 2 2 4 4_Jurisdictional Study" xfId="9901" xr:uid="{8CCEBB02-4104-4222-89F2-9505215D785F}"/>
    <cellStyle name="Normal 5 2 2 4 5" xfId="6945" xr:uid="{4B0D4ACD-52DF-477F-B527-87002E05FE0B}"/>
    <cellStyle name="Normal 5 2 2 4_Jurisdictional Study" xfId="9894" xr:uid="{0C01B344-DBC1-4D63-906D-E93A23D22098}"/>
    <cellStyle name="Normal 5 2 2 5" xfId="6946" xr:uid="{2EF76DCA-15DF-4EEC-A82C-E77D30A5CA32}"/>
    <cellStyle name="Normal 5 2 2 5 2" xfId="6947" xr:uid="{9FBDD3DF-6239-446A-B263-3898DC568DEB}"/>
    <cellStyle name="Normal 5 2 2 5 2 2" xfId="6948" xr:uid="{C1C46C98-AE4B-4D15-BC5A-D3B42541914C}"/>
    <cellStyle name="Normal 5 2 2 5 2 2 2" xfId="6949" xr:uid="{17F50A2A-AD2E-4893-9D1A-7F87E8BF196A}"/>
    <cellStyle name="Normal 5 2 2 5 2 2_Jurisdictional Study" xfId="9904" xr:uid="{FEB9CEA2-9203-46DB-A648-CE2AA5AB1EC3}"/>
    <cellStyle name="Normal 5 2 2 5 2 3" xfId="6950" xr:uid="{995357BB-5D9A-49E0-87B5-829048C87E68}"/>
    <cellStyle name="Normal 5 2 2 5 2_Jurisdictional Study" xfId="9903" xr:uid="{4A721C17-4E4C-467B-A51D-59BE09E112D3}"/>
    <cellStyle name="Normal 5 2 2 5 3" xfId="6951" xr:uid="{2A155BAB-688E-4124-B7F1-E0A74677F328}"/>
    <cellStyle name="Normal 5 2 2 5 3 2" xfId="6952" xr:uid="{16FE4D96-BC87-46EC-BDD6-D9281BAB817E}"/>
    <cellStyle name="Normal 5 2 2 5 3_Jurisdictional Study" xfId="9905" xr:uid="{E3C72FAE-48A4-4FBF-999A-23B7212AFEB8}"/>
    <cellStyle name="Normal 5 2 2 5 4" xfId="6953" xr:uid="{1104759D-9650-41B7-BE83-654E421D301F}"/>
    <cellStyle name="Normal 5 2 2 5_Jurisdictional Study" xfId="9902" xr:uid="{73F5B730-10CD-4D33-91F2-600CB1C47C08}"/>
    <cellStyle name="Normal 5 2 2 6" xfId="6954" xr:uid="{E127EDDC-7C4E-4F2C-B320-0C3F4733BE64}"/>
    <cellStyle name="Normal 5 2 2 6 2" xfId="6955" xr:uid="{B2200615-86B0-4FCA-A86C-9D1AA0FB8DEE}"/>
    <cellStyle name="Normal 5 2 2 6 2 2" xfId="6956" xr:uid="{92730CB6-9F7B-4134-836B-EA29E25E2BB9}"/>
    <cellStyle name="Normal 5 2 2 6 2_Jurisdictional Study" xfId="9907" xr:uid="{7359055E-23E1-4BE7-987B-A00A08ABCCF9}"/>
    <cellStyle name="Normal 5 2 2 6 3" xfId="6957" xr:uid="{4982149E-D82D-42C6-9B81-DB7BE05155AC}"/>
    <cellStyle name="Normal 5 2 2 6_Jurisdictional Study" xfId="9906" xr:uid="{EF7AE030-0FAE-4ED9-AA34-4333E412303A}"/>
    <cellStyle name="Normal 5 2 2 7" xfId="6958" xr:uid="{213D66DF-0F21-472B-8A27-E6E15DF60EBE}"/>
    <cellStyle name="Normal 5 2 2 7 2" xfId="6959" xr:uid="{B1BCC22E-910A-47C7-AAEA-9C8DEE30F20A}"/>
    <cellStyle name="Normal 5 2 2 7_Jurisdictional Study" xfId="9908" xr:uid="{E2240557-A8BA-4DB2-9D9A-1B2165496C67}"/>
    <cellStyle name="Normal 5 2 2 8" xfId="6960" xr:uid="{B1FED8A1-CE7C-4172-8E30-691C76D6BF7A}"/>
    <cellStyle name="Normal 5 2 2_Jurisdictional Study" xfId="9869" xr:uid="{A969294B-0553-4F11-A4E9-1C2DEBA54089}"/>
    <cellStyle name="Normal 5 2 3" xfId="6961" xr:uid="{88774E4B-8285-440F-B7B1-E7455489AF89}"/>
    <cellStyle name="Normal 5 2 3 2" xfId="6962" xr:uid="{855653B3-578E-49FC-A8F7-BD40ED0FB907}"/>
    <cellStyle name="Normal 5 2 3 2 2" xfId="6963" xr:uid="{1E02C51E-105B-46AF-97EE-314BA55ABE4C}"/>
    <cellStyle name="Normal 5 2 3 2 2 2" xfId="6964" xr:uid="{7E1B75A7-E4FD-494E-A8A2-D21A94CC8E1C}"/>
    <cellStyle name="Normal 5 2 3 2 2 2 2" xfId="6965" xr:uid="{271BEFEE-CE97-414E-83B8-CFC2F77867FD}"/>
    <cellStyle name="Normal 5 2 3 2 2 2 2 2" xfId="6966" xr:uid="{BB02A631-1CBD-4838-AFFA-DCA85AEDEBA0}"/>
    <cellStyle name="Normal 5 2 3 2 2 2 2_Jurisdictional Study" xfId="9913" xr:uid="{EAE2191D-3261-4D46-B446-D6A847165E2D}"/>
    <cellStyle name="Normal 5 2 3 2 2 2 3" xfId="6967" xr:uid="{98283245-A8BF-41C9-B879-C09277508A01}"/>
    <cellStyle name="Normal 5 2 3 2 2 2_Jurisdictional Study" xfId="9912" xr:uid="{4CD4BEBD-1545-4A39-8879-206DB738CA57}"/>
    <cellStyle name="Normal 5 2 3 2 2 3" xfId="6968" xr:uid="{2D4AC5FA-E458-4BEE-88CE-4649CD2E7DFE}"/>
    <cellStyle name="Normal 5 2 3 2 2 3 2" xfId="6969" xr:uid="{28CCE4F6-1C87-4151-87D3-333E38D8B079}"/>
    <cellStyle name="Normal 5 2 3 2 2 3_Jurisdictional Study" xfId="9914" xr:uid="{E4FF912E-95A5-4CB0-B370-F723C442CC8A}"/>
    <cellStyle name="Normal 5 2 3 2 2 4" xfId="6970" xr:uid="{841E9FC0-DA50-4249-9046-A1730EA60874}"/>
    <cellStyle name="Normal 5 2 3 2 2_Jurisdictional Study" xfId="9911" xr:uid="{23CF78DD-7279-464A-AC1A-A85D0815CEA1}"/>
    <cellStyle name="Normal 5 2 3 2 3" xfId="6971" xr:uid="{69D3E7F7-CAFB-486C-993C-368710841275}"/>
    <cellStyle name="Normal 5 2 3 2 3 2" xfId="6972" xr:uid="{67F8CAE4-3DE2-491E-AF6C-8DFE357D2054}"/>
    <cellStyle name="Normal 5 2 3 2 3 2 2" xfId="6973" xr:uid="{F0F5D7A5-79A7-44C6-A67D-3C3735E443D1}"/>
    <cellStyle name="Normal 5 2 3 2 3 2_Jurisdictional Study" xfId="9916" xr:uid="{BB5CC466-46FE-4E38-8B14-2B4D0D77EFB1}"/>
    <cellStyle name="Normal 5 2 3 2 3 3" xfId="6974" xr:uid="{8B9B77D5-3CB2-4849-B4C0-059D96DE6560}"/>
    <cellStyle name="Normal 5 2 3 2 3_Jurisdictional Study" xfId="9915" xr:uid="{D4BC9C57-E9D9-48C0-AA05-433DAE20859C}"/>
    <cellStyle name="Normal 5 2 3 2 4" xfId="6975" xr:uid="{FE390172-F6F2-4A62-BBA8-1E47D63479E4}"/>
    <cellStyle name="Normal 5 2 3 2 4 2" xfId="6976" xr:uid="{F2382A97-CCF6-4965-9EA9-604FC1B13940}"/>
    <cellStyle name="Normal 5 2 3 2 4_Jurisdictional Study" xfId="9917" xr:uid="{998B2B2D-4156-4685-B66C-7419B1D6F91B}"/>
    <cellStyle name="Normal 5 2 3 2 5" xfId="6977" xr:uid="{6070BF87-B104-4548-BAA2-97372AEB6AFE}"/>
    <cellStyle name="Normal 5 2 3 2_Jurisdictional Study" xfId="9910" xr:uid="{91141247-6A96-480B-BF16-7ACB1541A2DE}"/>
    <cellStyle name="Normal 5 2 3 3" xfId="6978" xr:uid="{78D320CC-8B08-4974-A63E-C0B803A7FE03}"/>
    <cellStyle name="Normal 5 2 3 3 2" xfId="6979" xr:uid="{8D6B649A-2D7C-4CBD-9FB2-C6357B9103E3}"/>
    <cellStyle name="Normal 5 2 3 3 2 2" xfId="6980" xr:uid="{45D8D7EB-3C05-4A87-AFC2-E2C5CB593EDB}"/>
    <cellStyle name="Normal 5 2 3 3 2 2 2" xfId="6981" xr:uid="{7947431B-42B1-4EEB-A276-FEEF1F829061}"/>
    <cellStyle name="Normal 5 2 3 3 2 2_Jurisdictional Study" xfId="9920" xr:uid="{40FB7535-1320-4D7A-A9E7-C6636122D8AF}"/>
    <cellStyle name="Normal 5 2 3 3 2 3" xfId="6982" xr:uid="{26D06D39-D2D2-4561-839E-32DCCD73DA93}"/>
    <cellStyle name="Normal 5 2 3 3 2_Jurisdictional Study" xfId="9919" xr:uid="{759047E0-4982-4C57-8FCD-9A1BAC2EC92B}"/>
    <cellStyle name="Normal 5 2 3 3 3" xfId="6983" xr:uid="{6447E2AA-CA7E-4F39-9B4D-A6FBAD5604DF}"/>
    <cellStyle name="Normal 5 2 3 3 3 2" xfId="6984" xr:uid="{A9D6765A-86FB-41AC-9BF4-F64F5BB1C37F}"/>
    <cellStyle name="Normal 5 2 3 3 3_Jurisdictional Study" xfId="9921" xr:uid="{0D5BCDC2-BBF7-43DD-AC5D-7E97072869D7}"/>
    <cellStyle name="Normal 5 2 3 3 4" xfId="6985" xr:uid="{C3885AA5-758F-4C31-9B72-78D212C2E513}"/>
    <cellStyle name="Normal 5 2 3 3_Jurisdictional Study" xfId="9918" xr:uid="{E9F62249-1676-455E-AE51-5B69D8F6E439}"/>
    <cellStyle name="Normal 5 2 3 4" xfId="6986" xr:uid="{42C82995-9E48-4E35-800E-ABE2ABDEC968}"/>
    <cellStyle name="Normal 5 2 3 4 2" xfId="6987" xr:uid="{C3C9CE35-BACB-48B9-92E0-1F2D51C0A0E7}"/>
    <cellStyle name="Normal 5 2 3 4 2 2" xfId="6988" xr:uid="{E6978123-5C62-46BC-B235-B00A4C293F37}"/>
    <cellStyle name="Normal 5 2 3 4 2_Jurisdictional Study" xfId="9923" xr:uid="{76267434-E502-44B8-82AD-BA38BB233FD0}"/>
    <cellStyle name="Normal 5 2 3 4 3" xfId="6989" xr:uid="{1A125BAA-66AA-4E48-BFD9-A2949383A4A0}"/>
    <cellStyle name="Normal 5 2 3 4_Jurisdictional Study" xfId="9922" xr:uid="{0F25AD1E-FE53-4B28-B647-0E6C25D0D2BE}"/>
    <cellStyle name="Normal 5 2 3 5" xfId="6990" xr:uid="{DE03D4CE-AD3E-40B4-BBF6-6D2F3614A5F2}"/>
    <cellStyle name="Normal 5 2 3 5 2" xfId="6991" xr:uid="{FE19B026-D896-46E4-8891-6543624D97B3}"/>
    <cellStyle name="Normal 5 2 3 5_Jurisdictional Study" xfId="9924" xr:uid="{000047DF-E71E-455A-8033-9C687284BA90}"/>
    <cellStyle name="Normal 5 2 3 6" xfId="6992" xr:uid="{1C793B61-C003-4147-8CD0-6FFC6EC4AE36}"/>
    <cellStyle name="Normal 5 2 3_Jurisdictional Study" xfId="9909" xr:uid="{905956C4-B60F-47FE-A7F0-726211FF34F6}"/>
    <cellStyle name="Normal 5 2 4" xfId="6993" xr:uid="{2EDCDA9B-5CB7-4B91-B355-BF05EEBFEE1C}"/>
    <cellStyle name="Normal 5 2 4 2" xfId="6994" xr:uid="{DE54D802-A01F-4A7E-82E0-EFC32F6ED736}"/>
    <cellStyle name="Normal 5 2 4 2 2" xfId="6995" xr:uid="{22C9DC38-E384-4523-9945-F971AE57BBFA}"/>
    <cellStyle name="Normal 5 2 4 2 2 2" xfId="6996" xr:uid="{0C3BFDBE-F5B2-4B50-B816-9431E71B6B4A}"/>
    <cellStyle name="Normal 5 2 4 2 2 2 2" xfId="6997" xr:uid="{393E82DA-BE0C-4A28-AA97-7912B5AB4DD3}"/>
    <cellStyle name="Normal 5 2 4 2 2 2_Jurisdictional Study" xfId="9928" xr:uid="{262568EE-FE46-49D8-BB63-B4980ABAE441}"/>
    <cellStyle name="Normal 5 2 4 2 2 3" xfId="6998" xr:uid="{EB523862-6C6C-41EF-881D-D4F741C690FE}"/>
    <cellStyle name="Normal 5 2 4 2 2_Jurisdictional Study" xfId="9927" xr:uid="{171FC749-0CE0-41D4-808E-3C16EE08409A}"/>
    <cellStyle name="Normal 5 2 4 2 3" xfId="6999" xr:uid="{765D497C-01E3-4794-BEED-D47BF54B7137}"/>
    <cellStyle name="Normal 5 2 4 2 3 2" xfId="7000" xr:uid="{8A6B7BD8-7ADD-413A-BF99-4770A73855B5}"/>
    <cellStyle name="Normal 5 2 4 2 3_Jurisdictional Study" xfId="9929" xr:uid="{460DF754-306B-4B60-BCDC-2661A44E0CF3}"/>
    <cellStyle name="Normal 5 2 4 2 4" xfId="7001" xr:uid="{A981A487-5222-4461-9D20-6A8ED400B92A}"/>
    <cellStyle name="Normal 5 2 4 2_Jurisdictional Study" xfId="9926" xr:uid="{111DD297-A9B3-42C6-BB6F-AAFDA2505872}"/>
    <cellStyle name="Normal 5 2 4 3" xfId="7002" xr:uid="{1AA4D4D5-07FD-422A-9A51-033C047831DC}"/>
    <cellStyle name="Normal 5 2 4 3 2" xfId="7003" xr:uid="{1A91E6B2-BDD2-48A7-9D33-4944FFE1D816}"/>
    <cellStyle name="Normal 5 2 4 3 2 2" xfId="7004" xr:uid="{637C76CD-F48E-45E1-8B8D-AB87A3709096}"/>
    <cellStyle name="Normal 5 2 4 3 2_Jurisdictional Study" xfId="9931" xr:uid="{E5EFE3D7-8903-4921-B17D-B6CD84AD3066}"/>
    <cellStyle name="Normal 5 2 4 3 3" xfId="7005" xr:uid="{3E21DAA3-7595-4367-BC07-5921E34D4DBF}"/>
    <cellStyle name="Normal 5 2 4 3_Jurisdictional Study" xfId="9930" xr:uid="{9C7BE992-5F78-4D3A-A528-17DACAA612C5}"/>
    <cellStyle name="Normal 5 2 4 4" xfId="7006" xr:uid="{EF889614-5590-479B-B912-8D3D7529F02C}"/>
    <cellStyle name="Normal 5 2 4 4 2" xfId="7007" xr:uid="{8F133A9C-F37C-4ABB-ADD0-E5C62493E25C}"/>
    <cellStyle name="Normal 5 2 4 4_Jurisdictional Study" xfId="9932" xr:uid="{E258BDE4-436D-4548-9257-892D520F5BAA}"/>
    <cellStyle name="Normal 5 2 4 5" xfId="7008" xr:uid="{C71301FD-23DD-4C8B-97BC-FA00A0FE1B33}"/>
    <cellStyle name="Normal 5 2 4_Jurisdictional Study" xfId="9925" xr:uid="{FC140A38-78C3-4983-8A24-230B091B3E33}"/>
    <cellStyle name="Normal 5 2 5" xfId="7009" xr:uid="{0AE39A94-9780-4B2C-B4B7-E8689E03A8CC}"/>
    <cellStyle name="Normal 5 2 5 2" xfId="7010" xr:uid="{E7888132-E72F-44E7-95DA-19720B1C28EA}"/>
    <cellStyle name="Normal 5 2 5 2 2" xfId="7011" xr:uid="{A3E82239-34AB-4DAC-A705-BA728C2AB530}"/>
    <cellStyle name="Normal 5 2 5 2 2 2" xfId="7012" xr:uid="{D8CC7882-357A-489B-8280-1CF459D16925}"/>
    <cellStyle name="Normal 5 2 5 2 2 2 2" xfId="7013" xr:uid="{64E6311F-ED33-4AC9-9CE6-62893710CE8B}"/>
    <cellStyle name="Normal 5 2 5 2 2 2_Jurisdictional Study" xfId="9936" xr:uid="{D889D535-E2D0-47DF-A083-7CF10E5A6DDF}"/>
    <cellStyle name="Normal 5 2 5 2 2 3" xfId="7014" xr:uid="{DB8CCF96-CF75-4D36-B5A5-561C4B70048A}"/>
    <cellStyle name="Normal 5 2 5 2 2_Jurisdictional Study" xfId="9935" xr:uid="{F2F0357C-337E-4558-978A-66D3EBF28BE1}"/>
    <cellStyle name="Normal 5 2 5 2 3" xfId="7015" xr:uid="{E264C874-18DA-413C-87E9-CDFD60E6FC79}"/>
    <cellStyle name="Normal 5 2 5 2 3 2" xfId="7016" xr:uid="{391D77B9-1064-47E8-AEF5-E11A8AC6A2EF}"/>
    <cellStyle name="Normal 5 2 5 2 3_Jurisdictional Study" xfId="9937" xr:uid="{75FD6A48-5E8A-46CD-BA5E-A9DA23C4DBFF}"/>
    <cellStyle name="Normal 5 2 5 2 4" xfId="7017" xr:uid="{B0CF058A-5501-4E9D-8BE1-E1F89D63B089}"/>
    <cellStyle name="Normal 5 2 5 2_Jurisdictional Study" xfId="9934" xr:uid="{6DD61561-791A-4C7C-82F0-CA885447B23E}"/>
    <cellStyle name="Normal 5 2 5 3" xfId="7018" xr:uid="{3F8DCAE3-B23B-4F42-9FE9-A99D829EE0CB}"/>
    <cellStyle name="Normal 5 2 5 3 2" xfId="7019" xr:uid="{ED788F41-C61A-47F2-A25F-A12331A94904}"/>
    <cellStyle name="Normal 5 2 5 3 2 2" xfId="7020" xr:uid="{37E0EA36-C33C-4AF4-9918-CF0D7FBF8FA1}"/>
    <cellStyle name="Normal 5 2 5 3 2_Jurisdictional Study" xfId="9939" xr:uid="{58139075-30D4-4046-81EB-A14A8E6DD1D7}"/>
    <cellStyle name="Normal 5 2 5 3 3" xfId="7021" xr:uid="{9A98D179-C41E-4850-B22A-99EA4F1D7EA2}"/>
    <cellStyle name="Normal 5 2 5 3_Jurisdictional Study" xfId="9938" xr:uid="{5328F527-653D-43A7-A2E5-70B4E8F21555}"/>
    <cellStyle name="Normal 5 2 5 4" xfId="7022" xr:uid="{950510FB-65E4-4DD4-AB87-5944E4D79609}"/>
    <cellStyle name="Normal 5 2 5 4 2" xfId="7023" xr:uid="{E6D1D65C-22F2-4E3B-93BD-3C3BD7157D17}"/>
    <cellStyle name="Normal 5 2 5 4_Jurisdictional Study" xfId="9940" xr:uid="{0A880C92-911B-4B2D-9FD2-250A168EDFCA}"/>
    <cellStyle name="Normal 5 2 5 5" xfId="7024" xr:uid="{E05C97A2-50E0-4CEA-8C08-1F417DF5F380}"/>
    <cellStyle name="Normal 5 2 5_Jurisdictional Study" xfId="9933" xr:uid="{C50E236B-EE22-47FA-A967-386FFA649ECC}"/>
    <cellStyle name="Normal 5 2 6" xfId="7025" xr:uid="{15286A89-51F7-4568-917E-42059C037F32}"/>
    <cellStyle name="Normal 5 2 6 2" xfId="7026" xr:uid="{50217429-9BA3-42E6-B29F-F806EC2357E8}"/>
    <cellStyle name="Normal 5 2 6 2 2" xfId="7027" xr:uid="{FCA9554F-C694-483F-AA44-68F54DAFF80E}"/>
    <cellStyle name="Normal 5 2 6 2 2 2" xfId="7028" xr:uid="{3F2BBEF0-D034-4BD2-A902-BDDD0FA306A0}"/>
    <cellStyle name="Normal 5 2 6 2 2_Jurisdictional Study" xfId="9943" xr:uid="{E91BCE97-32D1-419E-A15A-1B72A032B107}"/>
    <cellStyle name="Normal 5 2 6 2 3" xfId="7029" xr:uid="{AF68222D-DCD9-4BDF-BD71-452EE6B1BD18}"/>
    <cellStyle name="Normal 5 2 6 2_Jurisdictional Study" xfId="9942" xr:uid="{C25FD1AA-90E7-4994-99CB-2E261AEC032E}"/>
    <cellStyle name="Normal 5 2 6 3" xfId="7030" xr:uid="{7AE2C75C-0424-4504-9D41-D2CD6F5B4999}"/>
    <cellStyle name="Normal 5 2 6 3 2" xfId="7031" xr:uid="{215D2162-9C3B-4AAB-B0F0-2BC1A64C8790}"/>
    <cellStyle name="Normal 5 2 6 3_Jurisdictional Study" xfId="9944" xr:uid="{F536A050-AEC9-4469-9873-79F0FA32AA08}"/>
    <cellStyle name="Normal 5 2 6 4" xfId="7032" xr:uid="{BE6925AD-954B-4D10-8479-86BAB5F4750B}"/>
    <cellStyle name="Normal 5 2 6_Jurisdictional Study" xfId="9941" xr:uid="{D47619A6-326A-44FD-B287-C85D20CFB77E}"/>
    <cellStyle name="Normal 5 2 7" xfId="7033" xr:uid="{1A202EE8-463C-4FD5-AC46-B02E05B14E3B}"/>
    <cellStyle name="Normal 5 2 7 2" xfId="7034" xr:uid="{5BE45692-3674-4BD6-83F5-93B5CAE3D8CF}"/>
    <cellStyle name="Normal 5 2 7 2 2" xfId="7035" xr:uid="{EA5B82C4-AC82-44D9-AA28-1561F69C5571}"/>
    <cellStyle name="Normal 5 2 7 2_Jurisdictional Study" xfId="9946" xr:uid="{DFBB77A1-83D0-44F8-B097-4989EF4CA558}"/>
    <cellStyle name="Normal 5 2 7 3" xfId="7036" xr:uid="{54F8C5FF-4390-4CBC-B625-3C7461062B0E}"/>
    <cellStyle name="Normal 5 2 7_Jurisdictional Study" xfId="9945" xr:uid="{D0CB61FE-2A38-47B0-8027-46F3C86592D2}"/>
    <cellStyle name="Normal 5 2 8" xfId="7037" xr:uid="{4CC4CB89-989E-49ED-BACE-4831EE36C4EB}"/>
    <cellStyle name="Normal 5 2 8 2" xfId="7038" xr:uid="{D8EFDCCE-6ECB-40CC-A6D0-32CA4539BD78}"/>
    <cellStyle name="Normal 5 2 8_Jurisdictional Study" xfId="9947" xr:uid="{C97AE4F9-83F8-4A53-BD71-9C075AF76BE7}"/>
    <cellStyle name="Normal 5 2 9" xfId="7039" xr:uid="{A000B48F-F3F6-4B91-B811-053D0C7B44EE}"/>
    <cellStyle name="Normal 5 2_Jurisdictional Study" xfId="9868" xr:uid="{1E1C453E-88C5-4BC8-A841-F4467FA12C12}"/>
    <cellStyle name="Normal 5 3" xfId="327" xr:uid="{3EA48338-B919-4E57-9C6A-425E6DF492AA}"/>
    <cellStyle name="Normal 5 3 10" xfId="7040" xr:uid="{08FECC8B-C047-4F7F-A49D-DB3E1DD12A71}"/>
    <cellStyle name="Normal 5 3 2" xfId="7041" xr:uid="{5821C452-51F9-4DA2-9FFC-DFA9FA03F9EC}"/>
    <cellStyle name="Normal 5 3 2 2" xfId="7042" xr:uid="{AB03DDB9-45DC-414D-83D9-7ED5F5EADAA7}"/>
    <cellStyle name="Normal 5 3 2 2 2" xfId="7043" xr:uid="{0291C008-B47C-4021-A27C-74C890ED5169}"/>
    <cellStyle name="Normal 5 3 2 2 2 2" xfId="7044" xr:uid="{3C73B505-B18A-463B-8F45-00525F01C302}"/>
    <cellStyle name="Normal 5 3 2 2 2 2 2" xfId="7045" xr:uid="{C0EDB9BB-E67F-4082-8CAE-BB2FB3AC5F79}"/>
    <cellStyle name="Normal 5 3 2 2 2 2 2 2" xfId="7046" xr:uid="{390CA01D-6758-4DA0-9871-C9CD82248D91}"/>
    <cellStyle name="Normal 5 3 2 2 2 2 2 2 2" xfId="7047" xr:uid="{F3181EF6-167F-448F-B62F-8E5E48689EDB}"/>
    <cellStyle name="Normal 5 3 2 2 2 2 2 2_Jurisdictional Study" xfId="9954" xr:uid="{88169C6A-4732-43F3-B351-377E04D2189E}"/>
    <cellStyle name="Normal 5 3 2 2 2 2 2 3" xfId="7048" xr:uid="{899EB632-BB2E-4EF6-936C-FC4496B8191D}"/>
    <cellStyle name="Normal 5 3 2 2 2 2 2_Jurisdictional Study" xfId="9953" xr:uid="{3DFD72F5-C89E-41B5-90D2-89A0A90E82BB}"/>
    <cellStyle name="Normal 5 3 2 2 2 2 3" xfId="7049" xr:uid="{E64F30D3-D45F-40CC-B838-D8249F2533F0}"/>
    <cellStyle name="Normal 5 3 2 2 2 2 3 2" xfId="7050" xr:uid="{43B277F5-4F60-4840-84E0-F49B4D86B022}"/>
    <cellStyle name="Normal 5 3 2 2 2 2 3_Jurisdictional Study" xfId="9955" xr:uid="{B5D0D884-D5AE-4DE5-9409-94D1907773DA}"/>
    <cellStyle name="Normal 5 3 2 2 2 2 4" xfId="7051" xr:uid="{7883FDC8-9D44-40C8-9087-9857A8D2434E}"/>
    <cellStyle name="Normal 5 3 2 2 2 2_Jurisdictional Study" xfId="9952" xr:uid="{C5C64415-658E-4D83-8F47-A015DD53D6BF}"/>
    <cellStyle name="Normal 5 3 2 2 2 3" xfId="7052" xr:uid="{CD48EF9D-3A4C-41AF-BE25-3D8E83477C8B}"/>
    <cellStyle name="Normal 5 3 2 2 2 3 2" xfId="7053" xr:uid="{09A476B2-7AA6-4C13-B1F2-9007027F8294}"/>
    <cellStyle name="Normal 5 3 2 2 2 3 2 2" xfId="7054" xr:uid="{2205A2CC-FE9E-4737-A00A-5DB48042EDC3}"/>
    <cellStyle name="Normal 5 3 2 2 2 3 2_Jurisdictional Study" xfId="9957" xr:uid="{89FB4C83-7F59-4EC1-A066-441138943963}"/>
    <cellStyle name="Normal 5 3 2 2 2 3 3" xfId="7055" xr:uid="{D5619A00-2F59-42E2-AA95-E8F844F26BAE}"/>
    <cellStyle name="Normal 5 3 2 2 2 3_Jurisdictional Study" xfId="9956" xr:uid="{DA3006C5-5096-4B6C-8E3C-83FF84D7546B}"/>
    <cellStyle name="Normal 5 3 2 2 2 4" xfId="7056" xr:uid="{DFC99DAC-4BD8-4364-B45A-8CFB4899CAF2}"/>
    <cellStyle name="Normal 5 3 2 2 2 4 2" xfId="7057" xr:uid="{BC331297-F0EE-4126-A470-1336DBF99B7B}"/>
    <cellStyle name="Normal 5 3 2 2 2 4_Jurisdictional Study" xfId="9958" xr:uid="{786E1DE8-03CE-4748-B31B-DFF75E469DDD}"/>
    <cellStyle name="Normal 5 3 2 2 2 5" xfId="7058" xr:uid="{7E187B74-609F-43D0-A9FA-2E153D24C44E}"/>
    <cellStyle name="Normal 5 3 2 2 2_Jurisdictional Study" xfId="9951" xr:uid="{3246353B-AEBA-405F-8032-460C949B1E9A}"/>
    <cellStyle name="Normal 5 3 2 2 3" xfId="7059" xr:uid="{8AFF1336-9092-48B0-9412-F73EA3B83880}"/>
    <cellStyle name="Normal 5 3 2 2 3 2" xfId="7060" xr:uid="{87BFA215-77A1-4B2C-8DCF-3AD888DE51F2}"/>
    <cellStyle name="Normal 5 3 2 2 3 2 2" xfId="7061" xr:uid="{867C5D16-F0E6-44EF-AF01-163D82617E84}"/>
    <cellStyle name="Normal 5 3 2 2 3 2 2 2" xfId="7062" xr:uid="{64732440-9C6B-4C08-9CBA-E82A3DB9D2AD}"/>
    <cellStyle name="Normal 5 3 2 2 3 2 2_Jurisdictional Study" xfId="9961" xr:uid="{60304486-BA24-4F59-A4DA-DACA8FECE637}"/>
    <cellStyle name="Normal 5 3 2 2 3 2 3" xfId="7063" xr:uid="{6A8060E6-6EA4-471C-8D22-D401743D4F4E}"/>
    <cellStyle name="Normal 5 3 2 2 3 2_Jurisdictional Study" xfId="9960" xr:uid="{ED61DBCF-ABCC-4500-97EA-62BCF76C3203}"/>
    <cellStyle name="Normal 5 3 2 2 3 3" xfId="7064" xr:uid="{705E3C68-8398-4F72-AFD8-1570DF389500}"/>
    <cellStyle name="Normal 5 3 2 2 3 3 2" xfId="7065" xr:uid="{AA3D34E7-DDB5-4364-8A95-C792FFB2D17E}"/>
    <cellStyle name="Normal 5 3 2 2 3 3_Jurisdictional Study" xfId="9962" xr:uid="{D59D8676-A75C-4DA1-B3E4-9FA3C4AF8C18}"/>
    <cellStyle name="Normal 5 3 2 2 3 4" xfId="7066" xr:uid="{579A6EAC-9B51-4DC3-B8C9-08A9738B26B3}"/>
    <cellStyle name="Normal 5 3 2 2 3_Jurisdictional Study" xfId="9959" xr:uid="{257390DF-AAC7-4A62-A606-A15411D116C9}"/>
    <cellStyle name="Normal 5 3 2 2 4" xfId="7067" xr:uid="{0AC991F2-5C8F-46BA-B9DB-4C46CD75CD4B}"/>
    <cellStyle name="Normal 5 3 2 2 4 2" xfId="7068" xr:uid="{170FB471-32E0-4268-9CA4-79D3D2135F00}"/>
    <cellStyle name="Normal 5 3 2 2 4 2 2" xfId="7069" xr:uid="{098F1D1A-BCA5-44EA-9236-DEA568B3888D}"/>
    <cellStyle name="Normal 5 3 2 2 4 2_Jurisdictional Study" xfId="9964" xr:uid="{FA48618E-0992-4ED2-AD1E-CC87C3077E84}"/>
    <cellStyle name="Normal 5 3 2 2 4 3" xfId="7070" xr:uid="{CD8A6D24-AF31-4531-923E-9E69B20CB1B6}"/>
    <cellStyle name="Normal 5 3 2 2 4_Jurisdictional Study" xfId="9963" xr:uid="{1B4069E8-7CA1-4707-9884-AEE134D8FCEC}"/>
    <cellStyle name="Normal 5 3 2 2 5" xfId="7071" xr:uid="{275C1432-629D-4176-9C19-C5D3120D4C26}"/>
    <cellStyle name="Normal 5 3 2 2 5 2" xfId="7072" xr:uid="{44116EB5-C599-4ED2-B06E-4B9A4AB08F1D}"/>
    <cellStyle name="Normal 5 3 2 2 5_Jurisdictional Study" xfId="9965" xr:uid="{C3ECB5F5-A526-465C-AD0A-BB7FBE2207FC}"/>
    <cellStyle name="Normal 5 3 2 2 6" xfId="7073" xr:uid="{1BF911C0-CF8E-4A0F-8FE9-9392E4EF5A70}"/>
    <cellStyle name="Normal 5 3 2 2_Jurisdictional Study" xfId="9950" xr:uid="{DE379486-9857-44AF-A416-518A4154BC68}"/>
    <cellStyle name="Normal 5 3 2 3" xfId="7074" xr:uid="{6967D964-A54F-4D05-B2F7-82C77362F9E7}"/>
    <cellStyle name="Normal 5 3 2 3 2" xfId="7075" xr:uid="{D58BAFB6-14DE-4715-B00E-1CE96178E0C2}"/>
    <cellStyle name="Normal 5 3 2 3 2 2" xfId="7076" xr:uid="{838A5C04-6CE0-4B7D-9D43-76119FD43F7C}"/>
    <cellStyle name="Normal 5 3 2 3 2 2 2" xfId="7077" xr:uid="{BF173034-F6AB-46CF-A778-177E73A0BA7C}"/>
    <cellStyle name="Normal 5 3 2 3 2 2 2 2" xfId="7078" xr:uid="{B0623492-2ED9-43B2-9974-2EC418B45E0A}"/>
    <cellStyle name="Normal 5 3 2 3 2 2 2_Jurisdictional Study" xfId="9969" xr:uid="{BBF4DE39-43BB-4B92-B8EA-5EEFC103043B}"/>
    <cellStyle name="Normal 5 3 2 3 2 2 3" xfId="7079" xr:uid="{A904F4E4-38C0-48CD-895C-C30C9D66BA54}"/>
    <cellStyle name="Normal 5 3 2 3 2 2_Jurisdictional Study" xfId="9968" xr:uid="{BBBCA44D-304A-4AB8-81C2-DA54AB57F9E3}"/>
    <cellStyle name="Normal 5 3 2 3 2 3" xfId="7080" xr:uid="{4A6A9D49-86C3-4785-9FDC-E7174ADE9BAA}"/>
    <cellStyle name="Normal 5 3 2 3 2 3 2" xfId="7081" xr:uid="{F97E94E0-2401-4534-BCC1-60A917CCE49B}"/>
    <cellStyle name="Normal 5 3 2 3 2 3_Jurisdictional Study" xfId="9970" xr:uid="{78D46AFC-5CF6-47BE-8288-49112E75BCA1}"/>
    <cellStyle name="Normal 5 3 2 3 2 4" xfId="7082" xr:uid="{3C8D28C4-B0A3-4033-A765-783934410091}"/>
    <cellStyle name="Normal 5 3 2 3 2_Jurisdictional Study" xfId="9967" xr:uid="{AD30AAFD-082C-4F48-A4AA-76176B82F306}"/>
    <cellStyle name="Normal 5 3 2 3 3" xfId="7083" xr:uid="{936BAFA7-F437-48C8-97DA-D1BDBC6C4268}"/>
    <cellStyle name="Normal 5 3 2 3 3 2" xfId="7084" xr:uid="{9439A928-5EB0-4EA1-BEEC-48EB244B67F5}"/>
    <cellStyle name="Normal 5 3 2 3 3 2 2" xfId="7085" xr:uid="{9707D133-9AD0-4E34-A3F6-37BCAC710874}"/>
    <cellStyle name="Normal 5 3 2 3 3 2_Jurisdictional Study" xfId="9972" xr:uid="{B47A3A4F-555C-45DA-95DA-DAA45B6C079D}"/>
    <cellStyle name="Normal 5 3 2 3 3 3" xfId="7086" xr:uid="{E9ABE20E-A1F6-480F-9B19-2E69A59C654A}"/>
    <cellStyle name="Normal 5 3 2 3 3_Jurisdictional Study" xfId="9971" xr:uid="{C83FCF4B-4981-4ACC-98D5-F7CAD2B30A76}"/>
    <cellStyle name="Normal 5 3 2 3 4" xfId="7087" xr:uid="{2F3EACEB-84D3-4B5C-BDA1-786AC5164C86}"/>
    <cellStyle name="Normal 5 3 2 3 4 2" xfId="7088" xr:uid="{8942FFFB-F564-4E12-9B3C-E3AFE2EE4A4E}"/>
    <cellStyle name="Normal 5 3 2 3 4_Jurisdictional Study" xfId="9973" xr:uid="{4447E082-07C1-4226-90A4-F6B0ACC79CA3}"/>
    <cellStyle name="Normal 5 3 2 3 5" xfId="7089" xr:uid="{BC18D253-D521-4F7E-B5E8-C4DB3E68680B}"/>
    <cellStyle name="Normal 5 3 2 3_Jurisdictional Study" xfId="9966" xr:uid="{877F188C-D817-41D9-B10B-03FA51699DA7}"/>
    <cellStyle name="Normal 5 3 2 4" xfId="7090" xr:uid="{3BA46BEB-50E7-4E6C-9647-445B0BA2093C}"/>
    <cellStyle name="Normal 5 3 2 4 2" xfId="7091" xr:uid="{7B3A7CEA-7405-45A4-AF4E-218535C7D6FB}"/>
    <cellStyle name="Normal 5 3 2 4 2 2" xfId="7092" xr:uid="{9A1AC69B-E8A0-4143-916A-9FC014FA2892}"/>
    <cellStyle name="Normal 5 3 2 4 2 2 2" xfId="7093" xr:uid="{22D5F567-CB35-4B54-9B42-D066397322D9}"/>
    <cellStyle name="Normal 5 3 2 4 2 2 2 2" xfId="7094" xr:uid="{BFD089C2-FE6E-46A5-92A2-3AC75D5182E6}"/>
    <cellStyle name="Normal 5 3 2 4 2 2 2_Jurisdictional Study" xfId="9977" xr:uid="{F95D9313-7DDF-4A59-A1C9-F7A9DF402EB0}"/>
    <cellStyle name="Normal 5 3 2 4 2 2 3" xfId="7095" xr:uid="{F5147918-62BD-45E2-A611-4D53BF809F26}"/>
    <cellStyle name="Normal 5 3 2 4 2 2_Jurisdictional Study" xfId="9976" xr:uid="{EA87339C-DF65-401A-9419-8354A154A147}"/>
    <cellStyle name="Normal 5 3 2 4 2 3" xfId="7096" xr:uid="{D73779CB-7232-4DDB-93FB-4A1724F2FB01}"/>
    <cellStyle name="Normal 5 3 2 4 2 3 2" xfId="7097" xr:uid="{85C7A49F-98AD-41C3-B348-0C9ABE9865C4}"/>
    <cellStyle name="Normal 5 3 2 4 2 3_Jurisdictional Study" xfId="9978" xr:uid="{901E254D-00E9-4169-9B9B-FBD8DA1167EF}"/>
    <cellStyle name="Normal 5 3 2 4 2 4" xfId="7098" xr:uid="{5E4E278C-0D41-45EC-9DFC-E864A7FE6A22}"/>
    <cellStyle name="Normal 5 3 2 4 2_Jurisdictional Study" xfId="9975" xr:uid="{225832B5-2EFD-4DA3-B84C-DB32DD7A1803}"/>
    <cellStyle name="Normal 5 3 2 4 3" xfId="7099" xr:uid="{F2C19ADA-7D02-4558-8A23-71B3B434B6B6}"/>
    <cellStyle name="Normal 5 3 2 4 3 2" xfId="7100" xr:uid="{E920E718-E1ED-46C9-9E31-E7614536A66B}"/>
    <cellStyle name="Normal 5 3 2 4 3 2 2" xfId="7101" xr:uid="{4B0AEE13-CE67-4D8B-8C3D-3E6452EF24E0}"/>
    <cellStyle name="Normal 5 3 2 4 3 2_Jurisdictional Study" xfId="9980" xr:uid="{9031FC24-A670-4A4D-ABB0-F74260B7143C}"/>
    <cellStyle name="Normal 5 3 2 4 3 3" xfId="7102" xr:uid="{E24519EF-D5E4-48D1-9D4B-D1B47132102F}"/>
    <cellStyle name="Normal 5 3 2 4 3_Jurisdictional Study" xfId="9979" xr:uid="{38B30D5E-BF0E-4390-8E07-C464B8BA2CC7}"/>
    <cellStyle name="Normal 5 3 2 4 4" xfId="7103" xr:uid="{D0C86B14-38E9-4A03-AD2B-187501CFC69F}"/>
    <cellStyle name="Normal 5 3 2 4 4 2" xfId="7104" xr:uid="{19F0FDAB-78D4-41C9-B23F-4CC4FD90B04B}"/>
    <cellStyle name="Normal 5 3 2 4 4_Jurisdictional Study" xfId="9981" xr:uid="{E491BBB7-FB73-4E95-8353-06EBAD44B18C}"/>
    <cellStyle name="Normal 5 3 2 4 5" xfId="7105" xr:uid="{0F5E4FCE-D0D5-4DCD-936F-1D707592E00B}"/>
    <cellStyle name="Normal 5 3 2 4_Jurisdictional Study" xfId="9974" xr:uid="{B64C45B6-A827-405F-882A-ACE0CA2332F6}"/>
    <cellStyle name="Normal 5 3 2 5" xfId="7106" xr:uid="{E63DD3EA-C2FA-457F-943E-EDDFC9DF9F13}"/>
    <cellStyle name="Normal 5 3 2 5 2" xfId="7107" xr:uid="{77D15B47-A553-4ED0-8B3C-C265917F5289}"/>
    <cellStyle name="Normal 5 3 2 5 2 2" xfId="7108" xr:uid="{67AC9D6A-588B-4CEA-B6B5-7A939932A187}"/>
    <cellStyle name="Normal 5 3 2 5 2 2 2" xfId="7109" xr:uid="{854239EE-3EC5-440F-B75E-F65548783E91}"/>
    <cellStyle name="Normal 5 3 2 5 2 2_Jurisdictional Study" xfId="9984" xr:uid="{E21B83C3-0852-4250-ADAF-41A641FDBFEE}"/>
    <cellStyle name="Normal 5 3 2 5 2 3" xfId="7110" xr:uid="{84816E4B-BD6E-4D70-8563-B7A31D5A48E2}"/>
    <cellStyle name="Normal 5 3 2 5 2_Jurisdictional Study" xfId="9983" xr:uid="{197A190D-DB2E-4288-8C12-C900BF6D9551}"/>
    <cellStyle name="Normal 5 3 2 5 3" xfId="7111" xr:uid="{C7A0351A-1674-49FD-A7DF-699CD5BB5649}"/>
    <cellStyle name="Normal 5 3 2 5 3 2" xfId="7112" xr:uid="{4891C80C-FE87-49EB-9AF6-F3C0940F25C8}"/>
    <cellStyle name="Normal 5 3 2 5 3_Jurisdictional Study" xfId="9985" xr:uid="{1CDA4201-F603-4DE9-A6C7-B8AFF3BE3416}"/>
    <cellStyle name="Normal 5 3 2 5 4" xfId="7113" xr:uid="{872D0057-EDEA-414E-9521-BCB3E1CD682F}"/>
    <cellStyle name="Normal 5 3 2 5_Jurisdictional Study" xfId="9982" xr:uid="{850547D8-6840-437D-AA33-EEA04197BC81}"/>
    <cellStyle name="Normal 5 3 2 6" xfId="7114" xr:uid="{9B58887C-A9B8-4EDF-92D0-B9AB4AD33BE8}"/>
    <cellStyle name="Normal 5 3 2 6 2" xfId="7115" xr:uid="{178FC388-33D8-4385-AA67-F395E6815CA9}"/>
    <cellStyle name="Normal 5 3 2 6 2 2" xfId="7116" xr:uid="{5F6F5423-BB69-40C4-8B9F-E9A64B829AE5}"/>
    <cellStyle name="Normal 5 3 2 6 2_Jurisdictional Study" xfId="9987" xr:uid="{F5872978-A88D-4F91-960D-1855CF3B688E}"/>
    <cellStyle name="Normal 5 3 2 6 3" xfId="7117" xr:uid="{F3CD7CD4-3694-49E0-BD41-602067355A3E}"/>
    <cellStyle name="Normal 5 3 2 6_Jurisdictional Study" xfId="9986" xr:uid="{997E21E1-2927-40ED-9B16-C0696EED10E2}"/>
    <cellStyle name="Normal 5 3 2 7" xfId="7118" xr:uid="{BC3A76B2-508C-4A6C-88E6-786D994FB8EB}"/>
    <cellStyle name="Normal 5 3 2 7 2" xfId="7119" xr:uid="{76CBEC0C-7982-42E2-BB02-7C5A82A7D72D}"/>
    <cellStyle name="Normal 5 3 2 7_Jurisdictional Study" xfId="9988" xr:uid="{FC94E00B-FBE4-43A4-949E-8FC0984FFF3E}"/>
    <cellStyle name="Normal 5 3 2 8" xfId="7120" xr:uid="{7148197B-F0F7-4C83-BA72-B7E814F19128}"/>
    <cellStyle name="Normal 5 3 2_Jurisdictional Study" xfId="9949" xr:uid="{E658680F-C1B8-4181-83E5-8DCB4C8E523C}"/>
    <cellStyle name="Normal 5 3 3" xfId="7121" xr:uid="{21316B29-AAAB-4C94-B3F4-F5F38D7DA665}"/>
    <cellStyle name="Normal 5 3 3 2" xfId="7122" xr:uid="{7591B3EF-4584-4752-AC04-4F44C0E7CD97}"/>
    <cellStyle name="Normal 5 3 3 2 2" xfId="7123" xr:uid="{66F96370-1240-42EA-9B87-2428151E2823}"/>
    <cellStyle name="Normal 5 3 3 2 2 2" xfId="7124" xr:uid="{0636997F-590C-4900-9985-6839292085E5}"/>
    <cellStyle name="Normal 5 3 3 2 2 2 2" xfId="7125" xr:uid="{C92D2257-EFFA-4FE3-AAA2-4DA6D16CC7B7}"/>
    <cellStyle name="Normal 5 3 3 2 2 2 2 2" xfId="7126" xr:uid="{65E995D3-93A2-4ADE-B8FB-5A06C139A17A}"/>
    <cellStyle name="Normal 5 3 3 2 2 2 2_Jurisdictional Study" xfId="9993" xr:uid="{6CAB930E-8A47-4C99-A970-FE4E1620AF66}"/>
    <cellStyle name="Normal 5 3 3 2 2 2 3" xfId="7127" xr:uid="{7DCC370B-A0C0-4237-ADBD-3BD184E8231A}"/>
    <cellStyle name="Normal 5 3 3 2 2 2_Jurisdictional Study" xfId="9992" xr:uid="{3E7D9E96-43C4-426A-B7E6-CFD9FA7C8C1D}"/>
    <cellStyle name="Normal 5 3 3 2 2 3" xfId="7128" xr:uid="{DED7113B-1F0F-4DE0-B2D2-FA22F669588D}"/>
    <cellStyle name="Normal 5 3 3 2 2 3 2" xfId="7129" xr:uid="{B95A373D-28C0-4F40-A52E-1C62F3295484}"/>
    <cellStyle name="Normal 5 3 3 2 2 3_Jurisdictional Study" xfId="9994" xr:uid="{FC55A383-C396-4669-A83E-C2EAEFFFBEEC}"/>
    <cellStyle name="Normal 5 3 3 2 2 4" xfId="7130" xr:uid="{C9092394-2C45-4FB8-A56B-CF71DD49D05C}"/>
    <cellStyle name="Normal 5 3 3 2 2_Jurisdictional Study" xfId="9991" xr:uid="{E7F7019E-33AE-4536-B366-DF8F556B1775}"/>
    <cellStyle name="Normal 5 3 3 2 3" xfId="7131" xr:uid="{99CEF171-53F5-4106-8868-E9548511222E}"/>
    <cellStyle name="Normal 5 3 3 2 3 2" xfId="7132" xr:uid="{082768F1-8009-4A24-A782-A2AFAE9C67E6}"/>
    <cellStyle name="Normal 5 3 3 2 3 2 2" xfId="7133" xr:uid="{848F4225-AB8C-4FEA-87E2-06C44696314C}"/>
    <cellStyle name="Normal 5 3 3 2 3 2_Jurisdictional Study" xfId="9996" xr:uid="{98A9FB1B-4460-4929-A2F2-EB76451F4104}"/>
    <cellStyle name="Normal 5 3 3 2 3 3" xfId="7134" xr:uid="{148BAFB8-D815-4BDB-962A-05CABF240D6A}"/>
    <cellStyle name="Normal 5 3 3 2 3_Jurisdictional Study" xfId="9995" xr:uid="{D71D828B-C940-403D-9245-D06129B22767}"/>
    <cellStyle name="Normal 5 3 3 2 4" xfId="7135" xr:uid="{29F83F2A-8C98-4396-B32C-E6F84B2FBE20}"/>
    <cellStyle name="Normal 5 3 3 2 4 2" xfId="7136" xr:uid="{B5B247DF-6393-4FD6-AA23-945AACC95917}"/>
    <cellStyle name="Normal 5 3 3 2 4_Jurisdictional Study" xfId="9997" xr:uid="{86033C7F-8392-461A-B9A6-1D47FA05D926}"/>
    <cellStyle name="Normal 5 3 3 2 5" xfId="7137" xr:uid="{1F1C71D7-112D-4EAA-81B6-D3EFB0524BE8}"/>
    <cellStyle name="Normal 5 3 3 2_Jurisdictional Study" xfId="9990" xr:uid="{2F1CBC3B-98D5-4F84-94FA-5E465DD28E3C}"/>
    <cellStyle name="Normal 5 3 3 3" xfId="7138" xr:uid="{97E80AF8-1828-4A9D-A00B-DAF4D30B016D}"/>
    <cellStyle name="Normal 5 3 3 3 2" xfId="7139" xr:uid="{5BF653B7-0B92-4C10-A69B-C2FC9C63BD63}"/>
    <cellStyle name="Normal 5 3 3 3 2 2" xfId="7140" xr:uid="{CC216BE4-3280-41D1-873F-12F099FF4759}"/>
    <cellStyle name="Normal 5 3 3 3 2 2 2" xfId="7141" xr:uid="{6A920B8E-CAFE-4BBE-A0BC-4ABBBAF401C5}"/>
    <cellStyle name="Normal 5 3 3 3 2 2_Jurisdictional Study" xfId="10000" xr:uid="{961D3102-CD36-4AC6-A847-63CE9B1075E7}"/>
    <cellStyle name="Normal 5 3 3 3 2 3" xfId="7142" xr:uid="{F4C735D8-9D58-40E0-92B2-36D94DCE4D2D}"/>
    <cellStyle name="Normal 5 3 3 3 2_Jurisdictional Study" xfId="9999" xr:uid="{E73E91B7-06B7-4198-9BFC-7F6C459AD82F}"/>
    <cellStyle name="Normal 5 3 3 3 3" xfId="7143" xr:uid="{50140EFF-0137-46EE-B428-098E538F7654}"/>
    <cellStyle name="Normal 5 3 3 3 3 2" xfId="7144" xr:uid="{56C37AF5-BCB3-417C-9700-4F858CAA66A0}"/>
    <cellStyle name="Normal 5 3 3 3 3_Jurisdictional Study" xfId="10001" xr:uid="{4E7C05C9-7215-497D-83BC-A4D6EC4E46A0}"/>
    <cellStyle name="Normal 5 3 3 3 4" xfId="7145" xr:uid="{5DA5AA30-2481-447E-A73F-8E610EC1159B}"/>
    <cellStyle name="Normal 5 3 3 3_Jurisdictional Study" xfId="9998" xr:uid="{0A64F121-B564-4ADB-A222-B4065F1BCDF6}"/>
    <cellStyle name="Normal 5 3 3 4" xfId="7146" xr:uid="{E41D12E4-FC17-4B4D-B76C-7BD6B77C3E16}"/>
    <cellStyle name="Normal 5 3 3 4 2" xfId="7147" xr:uid="{96E16836-26F3-48B1-8415-5679D534BE19}"/>
    <cellStyle name="Normal 5 3 3 4 2 2" xfId="7148" xr:uid="{5F762B9C-DF69-4FF7-A6B3-88EED0BF76AD}"/>
    <cellStyle name="Normal 5 3 3 4 2_Jurisdictional Study" xfId="10003" xr:uid="{F519441F-3B24-4C4E-9B18-2BB565AE2663}"/>
    <cellStyle name="Normal 5 3 3 4 3" xfId="7149" xr:uid="{B451E0D2-8443-41C8-BE9B-5B327EF57965}"/>
    <cellStyle name="Normal 5 3 3 4_Jurisdictional Study" xfId="10002" xr:uid="{FA7A970A-C6EB-4490-83CC-D0179656C7E1}"/>
    <cellStyle name="Normal 5 3 3 5" xfId="7150" xr:uid="{94D2231A-6995-40AD-8F97-F631F4386C6C}"/>
    <cellStyle name="Normal 5 3 3 5 2" xfId="7151" xr:uid="{5E738E97-6737-4E42-8827-024775305152}"/>
    <cellStyle name="Normal 5 3 3 5_Jurisdictional Study" xfId="10004" xr:uid="{5D2CDCDF-ECD8-48A9-A90F-4D6CB7DEE901}"/>
    <cellStyle name="Normal 5 3 3 6" xfId="7152" xr:uid="{A75A0BE3-7AE4-4F96-94C4-27F50869BAA7}"/>
    <cellStyle name="Normal 5 3 3_Jurisdictional Study" xfId="9989" xr:uid="{A0865C66-F4E6-4BF7-B02A-D901B9980F95}"/>
    <cellStyle name="Normal 5 3 4" xfId="7153" xr:uid="{C357616A-FB21-4685-96E5-EF3AEDE2D14B}"/>
    <cellStyle name="Normal 5 3 4 2" xfId="7154" xr:uid="{24CCEEB9-8BDF-4903-BAED-BF80648571FB}"/>
    <cellStyle name="Normal 5 3 4 2 2" xfId="7155" xr:uid="{B294E0B8-888E-417F-B75D-4648CE995AA6}"/>
    <cellStyle name="Normal 5 3 4 2 2 2" xfId="7156" xr:uid="{AF8C6295-BAD1-44AF-8338-4D939ED45298}"/>
    <cellStyle name="Normal 5 3 4 2 2 2 2" xfId="7157" xr:uid="{F9D25B05-5CFC-4276-85C3-F7F55FC27BD9}"/>
    <cellStyle name="Normal 5 3 4 2 2 2_Jurisdictional Study" xfId="10008" xr:uid="{D3546957-ADD0-40B2-A8C8-87B60AD2A7B1}"/>
    <cellStyle name="Normal 5 3 4 2 2 3" xfId="7158" xr:uid="{46DEFC46-8669-4F8F-9AD5-E8B860F299CD}"/>
    <cellStyle name="Normal 5 3 4 2 2_Jurisdictional Study" xfId="10007" xr:uid="{E83A7BE0-846D-4A73-B0A9-7F9FD5D5F684}"/>
    <cellStyle name="Normal 5 3 4 2 3" xfId="7159" xr:uid="{2F9BB696-043A-41B6-992B-79421D458C75}"/>
    <cellStyle name="Normal 5 3 4 2 3 2" xfId="7160" xr:uid="{ECBE074D-9E67-48CE-B106-C1A67143F034}"/>
    <cellStyle name="Normal 5 3 4 2 3_Jurisdictional Study" xfId="10009" xr:uid="{86F5FB66-7255-4D0D-9240-EC62D028964A}"/>
    <cellStyle name="Normal 5 3 4 2 4" xfId="7161" xr:uid="{C58B11E4-7D92-4DD7-8E5A-588A648CF6C5}"/>
    <cellStyle name="Normal 5 3 4 2_Jurisdictional Study" xfId="10006" xr:uid="{C20B36E8-7AFF-4916-8C26-75C9D852B6D4}"/>
    <cellStyle name="Normal 5 3 4 3" xfId="7162" xr:uid="{13E3D0D1-4A7E-4F06-9E4F-BBAF4A5B3F4B}"/>
    <cellStyle name="Normal 5 3 4 3 2" xfId="7163" xr:uid="{515DFB77-6228-47C9-80E9-5678E12319B4}"/>
    <cellStyle name="Normal 5 3 4 3 2 2" xfId="7164" xr:uid="{99265B7B-C3CA-4AE4-88DD-E86FFC524E17}"/>
    <cellStyle name="Normal 5 3 4 3 2_Jurisdictional Study" xfId="10011" xr:uid="{2D9C324E-825A-4C82-9453-4C26936BA346}"/>
    <cellStyle name="Normal 5 3 4 3 3" xfId="7165" xr:uid="{4F9B5659-E66C-40FA-80B3-359CD2475237}"/>
    <cellStyle name="Normal 5 3 4 3_Jurisdictional Study" xfId="10010" xr:uid="{67D439B8-F642-4497-A9F4-78DEE844DFA4}"/>
    <cellStyle name="Normal 5 3 4 4" xfId="7166" xr:uid="{3A5A9E8F-CF9A-45D6-AA92-61F1C50881C0}"/>
    <cellStyle name="Normal 5 3 4 4 2" xfId="7167" xr:uid="{678C3954-1440-42D0-B813-881DA2B07530}"/>
    <cellStyle name="Normal 5 3 4 4_Jurisdictional Study" xfId="10012" xr:uid="{B492B2D8-6715-459A-AB1D-AD003A8B4320}"/>
    <cellStyle name="Normal 5 3 4 5" xfId="7168" xr:uid="{FC9126DF-0CA1-4B3D-8BB7-B7E2B8825F73}"/>
    <cellStyle name="Normal 5 3 4_Jurisdictional Study" xfId="10005" xr:uid="{D17259CF-09CF-4F70-81D8-E5D2D519A37F}"/>
    <cellStyle name="Normal 5 3 5" xfId="7169" xr:uid="{457A7F93-D946-487E-B63D-27FD5F45BE4F}"/>
    <cellStyle name="Normal 5 3 5 2" xfId="7170" xr:uid="{A24CEFBB-F999-49BD-8F5B-DEC1ED5DD89E}"/>
    <cellStyle name="Normal 5 3 5 2 2" xfId="7171" xr:uid="{EDC2E50A-ACA3-49F7-AD3C-D38B28C4D107}"/>
    <cellStyle name="Normal 5 3 5 2 2 2" xfId="7172" xr:uid="{616A73D0-6166-46E7-BA22-1C602EC6C556}"/>
    <cellStyle name="Normal 5 3 5 2 2 2 2" xfId="7173" xr:uid="{B3647AD2-F364-43B0-BF2C-9A45EF4BB215}"/>
    <cellStyle name="Normal 5 3 5 2 2 2_Jurisdictional Study" xfId="10016" xr:uid="{89C23D3D-34D7-43DC-A1D0-860D761C54B7}"/>
    <cellStyle name="Normal 5 3 5 2 2 3" xfId="7174" xr:uid="{9F503710-BBE9-4721-89BC-214D350FB3DE}"/>
    <cellStyle name="Normal 5 3 5 2 2_Jurisdictional Study" xfId="10015" xr:uid="{65E76FDD-C021-43FD-83E3-DA01608A4168}"/>
    <cellStyle name="Normal 5 3 5 2 3" xfId="7175" xr:uid="{EF2EFD00-19F7-4317-AA19-3F27F39C4B6D}"/>
    <cellStyle name="Normal 5 3 5 2 3 2" xfId="7176" xr:uid="{F2D9C5FA-96E3-4A1E-8660-B42EE33181E0}"/>
    <cellStyle name="Normal 5 3 5 2 3_Jurisdictional Study" xfId="10017" xr:uid="{3D9434FC-B310-44C9-B7B7-D4C469E92B7D}"/>
    <cellStyle name="Normal 5 3 5 2 4" xfId="7177" xr:uid="{A8977698-6112-4C82-8757-497A90FCEF95}"/>
    <cellStyle name="Normal 5 3 5 2_Jurisdictional Study" xfId="10014" xr:uid="{06BA0553-3897-4293-B4F6-B188D3D1BCDC}"/>
    <cellStyle name="Normal 5 3 5 3" xfId="7178" xr:uid="{49B1FDA9-CD47-424D-ADC1-F9AB16A69C6D}"/>
    <cellStyle name="Normal 5 3 5 3 2" xfId="7179" xr:uid="{2B31BE2C-257E-4896-9FC5-98543585F1A9}"/>
    <cellStyle name="Normal 5 3 5 3 2 2" xfId="7180" xr:uid="{EF04EDE0-B2BA-402E-97D3-305EE5214F17}"/>
    <cellStyle name="Normal 5 3 5 3 2_Jurisdictional Study" xfId="10019" xr:uid="{4131BE69-1BC6-4431-B44F-D771BCE578B6}"/>
    <cellStyle name="Normal 5 3 5 3 3" xfId="7181" xr:uid="{E1780883-0A3D-457E-ADAB-3E11934EDFD9}"/>
    <cellStyle name="Normal 5 3 5 3_Jurisdictional Study" xfId="10018" xr:uid="{6A232A6E-05D2-4EAB-8999-E12CE7A2EBDD}"/>
    <cellStyle name="Normal 5 3 5 4" xfId="7182" xr:uid="{B18112FA-9F83-4002-BD2C-A9A593EB8781}"/>
    <cellStyle name="Normal 5 3 5 4 2" xfId="7183" xr:uid="{0D32F9EB-4EE3-4B50-A4C9-BCA480425619}"/>
    <cellStyle name="Normal 5 3 5 4_Jurisdictional Study" xfId="10020" xr:uid="{A11AD6F2-B694-4074-B92F-DF1EB5B16E84}"/>
    <cellStyle name="Normal 5 3 5 5" xfId="7184" xr:uid="{B5A93AF8-74ED-4D3E-A639-7205F9B19A2C}"/>
    <cellStyle name="Normal 5 3 5_Jurisdictional Study" xfId="10013" xr:uid="{BB32E1EF-D278-418E-A067-084E2B337E4E}"/>
    <cellStyle name="Normal 5 3 6" xfId="7185" xr:uid="{C3BC3BE5-31FA-4FCE-9ADC-7C321E72DB73}"/>
    <cellStyle name="Normal 5 3 6 2" xfId="7186" xr:uid="{36429C57-E562-4118-B9B7-DE89AD124CA0}"/>
    <cellStyle name="Normal 5 3 6 2 2" xfId="7187" xr:uid="{86722D48-9AD9-447E-93C0-AEBE1B610D99}"/>
    <cellStyle name="Normal 5 3 6 2 2 2" xfId="7188" xr:uid="{98C2EE60-760A-4D8A-8F7C-8C19A3B74AAC}"/>
    <cellStyle name="Normal 5 3 6 2 2_Jurisdictional Study" xfId="10023" xr:uid="{6886A66B-7E83-4018-B423-BB9CBE5F1157}"/>
    <cellStyle name="Normal 5 3 6 2 3" xfId="7189" xr:uid="{D9D1A574-BC0C-47B7-A4A2-8AEF193CA944}"/>
    <cellStyle name="Normal 5 3 6 2_Jurisdictional Study" xfId="10022" xr:uid="{05895CF4-796D-41BA-B5D4-413CC8883A0A}"/>
    <cellStyle name="Normal 5 3 6 3" xfId="7190" xr:uid="{C6DF012F-C458-4935-A062-794495018F08}"/>
    <cellStyle name="Normal 5 3 6 3 2" xfId="7191" xr:uid="{1734639A-7BF9-4438-A4E5-115F51B6684D}"/>
    <cellStyle name="Normal 5 3 6 3_Jurisdictional Study" xfId="10024" xr:uid="{DBD8A05B-93AA-4DAD-B5C7-9DC86A1A3EAE}"/>
    <cellStyle name="Normal 5 3 6 4" xfId="7192" xr:uid="{8B59D851-8F66-45C8-9927-BBF79101DD56}"/>
    <cellStyle name="Normal 5 3 6_Jurisdictional Study" xfId="10021" xr:uid="{B3A8ECCF-7350-4AF9-A60F-81E9B2D2C913}"/>
    <cellStyle name="Normal 5 3 7" xfId="7193" xr:uid="{0F356AD8-AB0E-4FD2-B781-9F0A32685D44}"/>
    <cellStyle name="Normal 5 3 7 2" xfId="7194" xr:uid="{EA2007DA-4868-4CE6-9D28-924BAC5CBA78}"/>
    <cellStyle name="Normal 5 3 7 2 2" xfId="7195" xr:uid="{14DF9B40-061C-42D2-B0BA-6A5632570546}"/>
    <cellStyle name="Normal 5 3 7 2_Jurisdictional Study" xfId="10026" xr:uid="{493FBCC6-972F-40D6-8B25-F93CEC3AEE16}"/>
    <cellStyle name="Normal 5 3 7 3" xfId="7196" xr:uid="{C58DB7BE-6F09-48B6-8DE1-BEAEACDCC1D8}"/>
    <cellStyle name="Normal 5 3 7_Jurisdictional Study" xfId="10025" xr:uid="{8FC5DC37-3B30-4280-88B6-BEAEBE0682C1}"/>
    <cellStyle name="Normal 5 3 8" xfId="7197" xr:uid="{8C287D18-700E-4F3B-B689-47428357763D}"/>
    <cellStyle name="Normal 5 3 8 2" xfId="7198" xr:uid="{AEC5EC1F-5078-4BC0-BC53-FA3D1A199FF3}"/>
    <cellStyle name="Normal 5 3 8_Jurisdictional Study" xfId="10027" xr:uid="{0710F8A8-8B49-4FE8-8D30-55F4017B48D3}"/>
    <cellStyle name="Normal 5 3 9" xfId="7199" xr:uid="{C6995E8A-D993-40F4-88F3-840597F11902}"/>
    <cellStyle name="Normal 5 3_Jurisdictional Study" xfId="9948" xr:uid="{34603B8E-779A-44E0-BB73-AE0E72146802}"/>
    <cellStyle name="Normal 5 4" xfId="166" xr:uid="{E6E490D1-703C-4E57-8293-006D49094D0D}"/>
    <cellStyle name="Normal 5 4 10" xfId="7200" xr:uid="{AB41C66D-6DD7-48DB-A0BA-BF783C4464C6}"/>
    <cellStyle name="Normal 5 4 2" xfId="7201" xr:uid="{33AB06D0-DA37-40F2-8728-EBB686441449}"/>
    <cellStyle name="Normal 5 4 2 2" xfId="7202" xr:uid="{CF9FE49E-F583-4405-A9EB-97B76648F3D5}"/>
    <cellStyle name="Normal 5 4 2 2 2" xfId="7203" xr:uid="{37CD9D37-8FF6-4A2C-A04C-9D3139493AB4}"/>
    <cellStyle name="Normal 5 4 2 2 2 2" xfId="7204" xr:uid="{5FFA2336-D9E1-4090-82A8-883B403F0C38}"/>
    <cellStyle name="Normal 5 4 2 2 2 2 2" xfId="7205" xr:uid="{865DE9FD-F487-4EC2-BFF7-0428C43E0036}"/>
    <cellStyle name="Normal 5 4 2 2 2 2 2 2" xfId="7206" xr:uid="{4C4DA0E0-0A5E-4D33-8CBC-D5E1B5F09E77}"/>
    <cellStyle name="Normal 5 4 2 2 2 2 2_Jurisdictional Study" xfId="10033" xr:uid="{51A7D6F8-22BF-40F4-B1BA-CD022FC2EABA}"/>
    <cellStyle name="Normal 5 4 2 2 2 2 3" xfId="7207" xr:uid="{5B058F45-67ED-4524-AF3A-CD9E0D3F23EF}"/>
    <cellStyle name="Normal 5 4 2 2 2 2_Jurisdictional Study" xfId="10032" xr:uid="{43BA0F2C-0F6A-49E5-8773-0B38A30C9308}"/>
    <cellStyle name="Normal 5 4 2 2 2 3" xfId="7208" xr:uid="{A3591B37-6F05-45D9-8A4F-6DB063C1B8C7}"/>
    <cellStyle name="Normal 5 4 2 2 2 3 2" xfId="7209" xr:uid="{46748D24-D011-4A2E-A8B7-AE454CF3B93D}"/>
    <cellStyle name="Normal 5 4 2 2 2 3_Jurisdictional Study" xfId="10034" xr:uid="{A4699D92-DF19-4C2D-A848-612FF6FC6C88}"/>
    <cellStyle name="Normal 5 4 2 2 2 4" xfId="7210" xr:uid="{CE2C03CD-0E6A-4C1D-BC20-BC9F04BA226D}"/>
    <cellStyle name="Normal 5 4 2 2 2_Jurisdictional Study" xfId="10031" xr:uid="{124587E7-E21B-4C22-B37B-67C81C3D8989}"/>
    <cellStyle name="Normal 5 4 2 2 3" xfId="7211" xr:uid="{820A6F99-70D5-49DF-9359-FEFE0F67AC45}"/>
    <cellStyle name="Normal 5 4 2 2 3 2" xfId="7212" xr:uid="{E961B7DC-5544-4AEC-8AF7-3FBED667FB9F}"/>
    <cellStyle name="Normal 5 4 2 2 3 2 2" xfId="7213" xr:uid="{72C7348F-2836-4A3F-B1B4-5735E7370837}"/>
    <cellStyle name="Normal 5 4 2 2 3 2_Jurisdictional Study" xfId="10036" xr:uid="{C14FA5D3-2113-40D0-9B40-4E186259D417}"/>
    <cellStyle name="Normal 5 4 2 2 3 3" xfId="7214" xr:uid="{9AA7933C-AD20-4BF8-AF97-5EE4FD3FD22A}"/>
    <cellStyle name="Normal 5 4 2 2 3_Jurisdictional Study" xfId="10035" xr:uid="{1ECC6EB0-0165-4E1B-99DF-C03483E3F085}"/>
    <cellStyle name="Normal 5 4 2 2 4" xfId="7215" xr:uid="{E3509D47-2195-4614-A90D-E48E49A99A94}"/>
    <cellStyle name="Normal 5 4 2 2 4 2" xfId="7216" xr:uid="{C852B264-B5E7-4C18-ADA9-ED90E4783ED3}"/>
    <cellStyle name="Normal 5 4 2 2 4_Jurisdictional Study" xfId="10037" xr:uid="{90F6D90A-F4C9-4EE2-9E41-5D74E9CF4D6B}"/>
    <cellStyle name="Normal 5 4 2 2 5" xfId="7217" xr:uid="{0497FB84-CA35-432D-9443-8BB46816A45B}"/>
    <cellStyle name="Normal 5 4 2 2_Jurisdictional Study" xfId="10030" xr:uid="{D7AA4CDB-C315-4F79-A772-478C8CA197EC}"/>
    <cellStyle name="Normal 5 4 2 3" xfId="7218" xr:uid="{8E75ADA6-AD0D-42D0-A53A-80AEFA09044A}"/>
    <cellStyle name="Normal 5 4 2 3 2" xfId="7219" xr:uid="{F2059AB7-565B-4736-86D1-9ECBDEFA5D24}"/>
    <cellStyle name="Normal 5 4 2 3 2 2" xfId="7220" xr:uid="{EC87702F-56C0-4C6E-8118-BACB1DB8F793}"/>
    <cellStyle name="Normal 5 4 2 3 2 2 2" xfId="7221" xr:uid="{FAD499F4-EAAF-42A8-989E-F64BB0AE727F}"/>
    <cellStyle name="Normal 5 4 2 3 2 2 2 2" xfId="7222" xr:uid="{AD2A0A04-2F46-4A56-9F05-D051EC59200C}"/>
    <cellStyle name="Normal 5 4 2 3 2 2 2_Jurisdictional Study" xfId="10041" xr:uid="{A8F72031-51A6-4C8D-8E38-9C68A2480D1B}"/>
    <cellStyle name="Normal 5 4 2 3 2 2 3" xfId="7223" xr:uid="{64F5C6CB-D0BF-454C-B67C-FB2DFCCDDB5B}"/>
    <cellStyle name="Normal 5 4 2 3 2 2_Jurisdictional Study" xfId="10040" xr:uid="{B27B2898-0F6D-41D0-A2B1-3E5B76E8BF98}"/>
    <cellStyle name="Normal 5 4 2 3 2 3" xfId="7224" xr:uid="{868F25F6-86D8-476D-8824-D928FDDE3FC1}"/>
    <cellStyle name="Normal 5 4 2 3 2 3 2" xfId="7225" xr:uid="{D2366306-EA6B-481A-AE37-E858D65C514C}"/>
    <cellStyle name="Normal 5 4 2 3 2 3_Jurisdictional Study" xfId="10042" xr:uid="{5FB4E9E4-33C9-4908-BDD6-F5F9DB7A30A4}"/>
    <cellStyle name="Normal 5 4 2 3 2 4" xfId="7226" xr:uid="{10D5732F-FB31-46FC-9ABD-52D6EC516A8F}"/>
    <cellStyle name="Normal 5 4 2 3 2_Jurisdictional Study" xfId="10039" xr:uid="{0F2DF699-A2EF-4CA5-B897-B6BF6C48BC16}"/>
    <cellStyle name="Normal 5 4 2 3 3" xfId="7227" xr:uid="{80389059-0A95-40A3-B1A7-049A8FD1A35B}"/>
    <cellStyle name="Normal 5 4 2 3 3 2" xfId="7228" xr:uid="{1AB429A4-52C1-4684-8C45-1A02CEEDF0BF}"/>
    <cellStyle name="Normal 5 4 2 3 3 2 2" xfId="7229" xr:uid="{A2F9EE32-C3C8-4598-8698-76035BAD3700}"/>
    <cellStyle name="Normal 5 4 2 3 3 2_Jurisdictional Study" xfId="10044" xr:uid="{1D6B1C8B-55EA-4E99-88A5-DB4575BE180D}"/>
    <cellStyle name="Normal 5 4 2 3 3 3" xfId="7230" xr:uid="{03FCE332-9116-4557-8B4C-71DA638D85F8}"/>
    <cellStyle name="Normal 5 4 2 3 3_Jurisdictional Study" xfId="10043" xr:uid="{920CEAA9-44A7-43C2-BB18-85B8F795E495}"/>
    <cellStyle name="Normal 5 4 2 3 4" xfId="7231" xr:uid="{467297C0-CAF7-4FEB-AD32-FC47B7D60F98}"/>
    <cellStyle name="Normal 5 4 2 3 4 2" xfId="7232" xr:uid="{BFF4FD02-E7BB-4AE2-903D-797A83F64CD5}"/>
    <cellStyle name="Normal 5 4 2 3 4_Jurisdictional Study" xfId="10045" xr:uid="{3F65D0EF-5BE9-4BA4-A5D9-D720688DB85B}"/>
    <cellStyle name="Normal 5 4 2 3 5" xfId="7233" xr:uid="{6DFBC276-7350-44A7-958E-3F7D1F187D43}"/>
    <cellStyle name="Normal 5 4 2 3_Jurisdictional Study" xfId="10038" xr:uid="{FB793E96-4F57-4449-97BA-5474452C2C46}"/>
    <cellStyle name="Normal 5 4 2 4" xfId="7234" xr:uid="{2DCFE634-3289-4906-A240-8D496BDA2372}"/>
    <cellStyle name="Normal 5 4 2 4 2" xfId="7235" xr:uid="{BEBE1B72-B484-4420-A727-9927E7DED07B}"/>
    <cellStyle name="Normal 5 4 2 4 2 2" xfId="7236" xr:uid="{FE92814D-8F0C-4326-94CF-D830194ABAC6}"/>
    <cellStyle name="Normal 5 4 2 4 2 2 2" xfId="7237" xr:uid="{F8DCC6F8-98C1-4ECA-9164-76CB4EBEE309}"/>
    <cellStyle name="Normal 5 4 2 4 2 2_Jurisdictional Study" xfId="10048" xr:uid="{C7B0F567-C627-4E00-86FE-D555F9ABD52F}"/>
    <cellStyle name="Normal 5 4 2 4 2 3" xfId="7238" xr:uid="{1E72DA15-F96F-494D-8FFF-F99F077C1092}"/>
    <cellStyle name="Normal 5 4 2 4 2_Jurisdictional Study" xfId="10047" xr:uid="{C544D468-B473-4250-B070-71E61D56D71B}"/>
    <cellStyle name="Normal 5 4 2 4 3" xfId="7239" xr:uid="{88B8965C-D37B-445B-BF6C-CFEA72242F37}"/>
    <cellStyle name="Normal 5 4 2 4 3 2" xfId="7240" xr:uid="{8A752D04-26F8-4F68-BA14-C0AA14CED00D}"/>
    <cellStyle name="Normal 5 4 2 4 3_Jurisdictional Study" xfId="10049" xr:uid="{65D3D854-23CC-4CE8-AFE9-4093285D8804}"/>
    <cellStyle name="Normal 5 4 2 4 4" xfId="7241" xr:uid="{4D602F9A-0569-4D4A-9FF4-2A3C07EC1EFB}"/>
    <cellStyle name="Normal 5 4 2 4_Jurisdictional Study" xfId="10046" xr:uid="{58381D47-AD09-436A-B280-95E9820A8C27}"/>
    <cellStyle name="Normal 5 4 2 5" xfId="7242" xr:uid="{91F70893-D2B9-4185-A645-B039696356E3}"/>
    <cellStyle name="Normal 5 4 2 5 2" xfId="7243" xr:uid="{4D3D830A-C94F-4FD5-9DC5-3A6238493F82}"/>
    <cellStyle name="Normal 5 4 2 5 2 2" xfId="7244" xr:uid="{10BF9C5E-A38E-47B4-B4DE-04A5B7006AA4}"/>
    <cellStyle name="Normal 5 4 2 5 2_Jurisdictional Study" xfId="10051" xr:uid="{408A1678-E171-408A-95F5-ADACAB52DAB0}"/>
    <cellStyle name="Normal 5 4 2 5 3" xfId="7245" xr:uid="{DA568B3D-5DB5-47E7-8D7A-B40C79B279C1}"/>
    <cellStyle name="Normal 5 4 2 5_Jurisdictional Study" xfId="10050" xr:uid="{F8902D7A-B8C0-4630-90E2-0FEF3649B572}"/>
    <cellStyle name="Normal 5 4 2 6" xfId="7246" xr:uid="{81C3FE52-6C22-432E-B35B-A91B550265DF}"/>
    <cellStyle name="Normal 5 4 2 6 2" xfId="7247" xr:uid="{A0D38F4E-D915-4114-8E23-4F29ED0F5F19}"/>
    <cellStyle name="Normal 5 4 2 6_Jurisdictional Study" xfId="10052" xr:uid="{4767ADCA-6857-4864-AC54-E06271D834AE}"/>
    <cellStyle name="Normal 5 4 2 7" xfId="7248" xr:uid="{63DC216D-B27A-4E68-A293-C30B4BDBB27D}"/>
    <cellStyle name="Normal 5 4 2_Jurisdictional Study" xfId="10029" xr:uid="{B9C6F00D-5806-4D74-B847-214933353D37}"/>
    <cellStyle name="Normal 5 4 3" xfId="7249" xr:uid="{C313E4C3-6F3D-424A-BB0D-EB4D82E9B5D4}"/>
    <cellStyle name="Normal 5 4 3 2" xfId="7250" xr:uid="{AA3D1A07-008F-464B-BD7A-CAB967CA04CA}"/>
    <cellStyle name="Normal 5 4 3 2 2" xfId="7251" xr:uid="{34638479-1113-4960-8ED0-98CD11D401E8}"/>
    <cellStyle name="Normal 5 4 3 2 2 2" xfId="7252" xr:uid="{068E81E5-FF51-4D10-AF52-7096B95C6277}"/>
    <cellStyle name="Normal 5 4 3 2 2 2 2" xfId="7253" xr:uid="{1AF5B1A6-579F-4C97-B980-854EDA8D6C57}"/>
    <cellStyle name="Normal 5 4 3 2 2 2 2 2" xfId="7254" xr:uid="{38E64DAC-85EE-4107-A36E-E085B8E5ECD9}"/>
    <cellStyle name="Normal 5 4 3 2 2 2 2_Jurisdictional Study" xfId="10057" xr:uid="{F2997261-E14A-45A7-A08D-E4637C6EC32C}"/>
    <cellStyle name="Normal 5 4 3 2 2 2 3" xfId="7255" xr:uid="{57EB8E09-AB9E-43F7-9063-F1B8971ACEF7}"/>
    <cellStyle name="Normal 5 4 3 2 2 2_Jurisdictional Study" xfId="10056" xr:uid="{63FADB8B-4E7C-4974-914A-1D5BA1B21F24}"/>
    <cellStyle name="Normal 5 4 3 2 2 3" xfId="7256" xr:uid="{C6AFD52C-2E5D-47E1-8DA0-EA49FAFD0E6E}"/>
    <cellStyle name="Normal 5 4 3 2 2 3 2" xfId="7257" xr:uid="{F24D49A4-2193-41AA-94DA-DF002C880D84}"/>
    <cellStyle name="Normal 5 4 3 2 2 3_Jurisdictional Study" xfId="10058" xr:uid="{36A5F37E-AD50-4AF3-8F8B-467D1659F988}"/>
    <cellStyle name="Normal 5 4 3 2 2 4" xfId="7258" xr:uid="{7039FA74-44D5-415F-9F98-27BD793C09CC}"/>
    <cellStyle name="Normal 5 4 3 2 2_Jurisdictional Study" xfId="10055" xr:uid="{5C986C38-5946-4376-B026-E6EA615CCD25}"/>
    <cellStyle name="Normal 5 4 3 2 3" xfId="7259" xr:uid="{82BB4A2A-4E5F-4E18-B0E7-A95A373DA56F}"/>
    <cellStyle name="Normal 5 4 3 2 3 2" xfId="7260" xr:uid="{0A6B5B9C-4BB6-47C0-AACE-31271DAA0C99}"/>
    <cellStyle name="Normal 5 4 3 2 3 2 2" xfId="7261" xr:uid="{2E28C532-D039-43F3-B128-A69C70191548}"/>
    <cellStyle name="Normal 5 4 3 2 3 2_Jurisdictional Study" xfId="10060" xr:uid="{A904E8D3-07F6-433B-850C-CE04B1B5CBFD}"/>
    <cellStyle name="Normal 5 4 3 2 3 3" xfId="7262" xr:uid="{5BF69BF4-2AD2-4AD9-8A24-0E20CE134D5E}"/>
    <cellStyle name="Normal 5 4 3 2 3_Jurisdictional Study" xfId="10059" xr:uid="{2D1EDA00-E06A-44C6-902D-B48AAB67DCE7}"/>
    <cellStyle name="Normal 5 4 3 2 4" xfId="7263" xr:uid="{5E721B32-CF55-4A8C-982C-CD18A6CA9676}"/>
    <cellStyle name="Normal 5 4 3 2 4 2" xfId="7264" xr:uid="{8B39DEDA-4A3E-4F2C-8BF8-2ED955C401DB}"/>
    <cellStyle name="Normal 5 4 3 2 4_Jurisdictional Study" xfId="10061" xr:uid="{0E563AAB-7536-4091-BB4B-59D289ACD3A0}"/>
    <cellStyle name="Normal 5 4 3 2 5" xfId="7265" xr:uid="{9193BC15-9611-4778-8DDE-E02C3C4B765A}"/>
    <cellStyle name="Normal 5 4 3 2_Jurisdictional Study" xfId="10054" xr:uid="{5AEF656C-AA04-4F4F-9DEB-AD0419AFD2A1}"/>
    <cellStyle name="Normal 5 4 3 3" xfId="7266" xr:uid="{2A00FB16-BB6A-47A0-B68D-B1AB086EA5CB}"/>
    <cellStyle name="Normal 5 4 3 3 2" xfId="7267" xr:uid="{8302CEB8-1C72-438B-9373-80C9E3C07489}"/>
    <cellStyle name="Normal 5 4 3 3 2 2" xfId="7268" xr:uid="{E3CDFBE1-6AD7-4BD7-A93A-2ECEFAC458AC}"/>
    <cellStyle name="Normal 5 4 3 3 2 2 2" xfId="7269" xr:uid="{EF0AC854-7E47-487A-B6E2-8A0420E76AB2}"/>
    <cellStyle name="Normal 5 4 3 3 2 2_Jurisdictional Study" xfId="10064" xr:uid="{D05484C1-FCDC-4ABA-B415-2CD36E13B400}"/>
    <cellStyle name="Normal 5 4 3 3 2 3" xfId="7270" xr:uid="{B9B60406-94D5-4FEB-B13C-81E9BD7A337C}"/>
    <cellStyle name="Normal 5 4 3 3 2_Jurisdictional Study" xfId="10063" xr:uid="{0AB4AF8A-26D3-476C-8D86-3191EC3E82CD}"/>
    <cellStyle name="Normal 5 4 3 3 3" xfId="7271" xr:uid="{A406AF5F-D458-4D61-A7FE-840CD3EA7533}"/>
    <cellStyle name="Normal 5 4 3 3 3 2" xfId="7272" xr:uid="{9B39629B-A44A-4B70-8DC3-1581DCA557FC}"/>
    <cellStyle name="Normal 5 4 3 3 3_Jurisdictional Study" xfId="10065" xr:uid="{A6214A13-FD57-497D-B0BE-CD54F819C0F2}"/>
    <cellStyle name="Normal 5 4 3 3 4" xfId="7273" xr:uid="{5CB0235D-AADE-4DBB-A9D6-920C673FC993}"/>
    <cellStyle name="Normal 5 4 3 3_Jurisdictional Study" xfId="10062" xr:uid="{1EB56210-9AC7-4363-8652-5B10AB5F426A}"/>
    <cellStyle name="Normal 5 4 3 4" xfId="7274" xr:uid="{AE71B0A9-3BF5-4F25-91A1-6136D33381D5}"/>
    <cellStyle name="Normal 5 4 3 4 2" xfId="7275" xr:uid="{50FAEEA2-3175-48E0-A7C2-CD64A77D0327}"/>
    <cellStyle name="Normal 5 4 3 4 2 2" xfId="7276" xr:uid="{CB850138-EEA4-48FF-9EC2-4D3B91FC5274}"/>
    <cellStyle name="Normal 5 4 3 4 2_Jurisdictional Study" xfId="10067" xr:uid="{3C0D5997-E7A9-4D87-8DF0-F73EF9BD9942}"/>
    <cellStyle name="Normal 5 4 3 4 3" xfId="7277" xr:uid="{3645CEE3-D06B-4543-B7B7-2F6991F41D9F}"/>
    <cellStyle name="Normal 5 4 3 4_Jurisdictional Study" xfId="10066" xr:uid="{8C1FF687-74C7-42F8-BC98-0E4A3FAE4015}"/>
    <cellStyle name="Normal 5 4 3 5" xfId="7278" xr:uid="{9DA9EE81-63A0-495A-9EFA-BA96035AD4E5}"/>
    <cellStyle name="Normal 5 4 3 5 2" xfId="7279" xr:uid="{4833A245-ED22-466C-B480-72B8DC76B175}"/>
    <cellStyle name="Normal 5 4 3 5_Jurisdictional Study" xfId="10068" xr:uid="{BC899333-F49C-4F47-BD0B-249941C47ED9}"/>
    <cellStyle name="Normal 5 4 3 6" xfId="7280" xr:uid="{0BD52913-A424-468D-B968-2FCE930FB200}"/>
    <cellStyle name="Normal 5 4 3_Jurisdictional Study" xfId="10053" xr:uid="{970D9555-4884-4D39-B523-5DF5B4111A61}"/>
    <cellStyle name="Normal 5 4 4" xfId="7281" xr:uid="{A7AC6881-BFE9-4402-95CD-91A94D10C878}"/>
    <cellStyle name="Normal 5 4 4 2" xfId="7282" xr:uid="{24B0A9F2-2D02-4ACA-9243-76AE5953508F}"/>
    <cellStyle name="Normal 5 4 4 2 2" xfId="7283" xr:uid="{9466D998-AD5A-493C-AC51-6F254849F7EF}"/>
    <cellStyle name="Normal 5 4 4 2 2 2" xfId="7284" xr:uid="{2D97AC95-C117-4CC9-90C1-09DBD3546D8C}"/>
    <cellStyle name="Normal 5 4 4 2 2 2 2" xfId="7285" xr:uid="{7F62AE3E-771C-4EDC-86B6-2AF886EF9798}"/>
    <cellStyle name="Normal 5 4 4 2 2 2_Jurisdictional Study" xfId="10072" xr:uid="{B3ED497C-FC6F-4A58-B8CB-D6C28DDEDB25}"/>
    <cellStyle name="Normal 5 4 4 2 2 3" xfId="7286" xr:uid="{2F7DBEFD-7199-4C89-9648-F7C7887A4F5D}"/>
    <cellStyle name="Normal 5 4 4 2 2_Jurisdictional Study" xfId="10071" xr:uid="{77689279-0254-4472-A1F9-5FF1C8633D56}"/>
    <cellStyle name="Normal 5 4 4 2 3" xfId="7287" xr:uid="{A2147410-43D7-4E6A-B63F-7CACF504A88B}"/>
    <cellStyle name="Normal 5 4 4 2 3 2" xfId="7288" xr:uid="{22310EF8-F8E6-4D0E-BABA-0E0325876887}"/>
    <cellStyle name="Normal 5 4 4 2 3_Jurisdictional Study" xfId="10073" xr:uid="{55101B49-350E-41C2-A7AE-1608CD429D3A}"/>
    <cellStyle name="Normal 5 4 4 2 4" xfId="7289" xr:uid="{6681D0E5-B99D-4CE2-B94A-E26AFA6A09D2}"/>
    <cellStyle name="Normal 5 4 4 2_Jurisdictional Study" xfId="10070" xr:uid="{CA2DE58E-BA17-4A50-BECB-22CC14DDD790}"/>
    <cellStyle name="Normal 5 4 4 3" xfId="7290" xr:uid="{20A1B5F8-4075-41A8-8A82-FADB54D05408}"/>
    <cellStyle name="Normal 5 4 4 3 2" xfId="7291" xr:uid="{14E41AF1-2852-45F8-8D0B-86A8C650EE31}"/>
    <cellStyle name="Normal 5 4 4 3 2 2" xfId="7292" xr:uid="{80B7C7EF-9247-4D8B-8702-3638B633B59D}"/>
    <cellStyle name="Normal 5 4 4 3 2_Jurisdictional Study" xfId="10075" xr:uid="{566A0C98-4F1D-4283-B39A-39FFB7C40FCF}"/>
    <cellStyle name="Normal 5 4 4 3 3" xfId="7293" xr:uid="{8D5D0D03-2B31-4ADB-BA73-8DC2238BDDF2}"/>
    <cellStyle name="Normal 5 4 4 3_Jurisdictional Study" xfId="10074" xr:uid="{E050836F-59C3-4CC1-960F-CB1E57349722}"/>
    <cellStyle name="Normal 5 4 4 4" xfId="7294" xr:uid="{C5ACA438-BB35-4EFB-8428-ECC4409F1AA8}"/>
    <cellStyle name="Normal 5 4 4 4 2" xfId="7295" xr:uid="{B988408B-CBDC-4BCC-AD2C-F5F9CE922C46}"/>
    <cellStyle name="Normal 5 4 4 4_Jurisdictional Study" xfId="10076" xr:uid="{6574136B-5725-46CC-9565-9D2FDAD81376}"/>
    <cellStyle name="Normal 5 4 4 5" xfId="7296" xr:uid="{F11F70A6-81B2-46F3-9DCC-2481449A9398}"/>
    <cellStyle name="Normal 5 4 4_Jurisdictional Study" xfId="10069" xr:uid="{1E49980F-9E90-44A8-9CAC-DE6CBCF97E3F}"/>
    <cellStyle name="Normal 5 4 5" xfId="7297" xr:uid="{5A8998AC-0618-4608-956F-67933B9BAC07}"/>
    <cellStyle name="Normal 5 4 5 2" xfId="7298" xr:uid="{853D3E45-6FEA-4D3D-9699-CE0982EA3651}"/>
    <cellStyle name="Normal 5 4 5 2 2" xfId="7299" xr:uid="{D2F00296-343B-483A-82E0-D81B071CB2F4}"/>
    <cellStyle name="Normal 5 4 5 2 2 2" xfId="7300" xr:uid="{70FF5F22-C445-4D38-AFB8-843D3C1BD62E}"/>
    <cellStyle name="Normal 5 4 5 2 2 2 2" xfId="7301" xr:uid="{9901E6BF-28FD-4F9B-9489-D70B1B2A7FF4}"/>
    <cellStyle name="Normal 5 4 5 2 2 2_Jurisdictional Study" xfId="10080" xr:uid="{B834E7E3-E46E-4328-812F-2061446C76A6}"/>
    <cellStyle name="Normal 5 4 5 2 2 3" xfId="7302" xr:uid="{D35C15E2-212F-4AD9-9D9E-28CEE7AEA65E}"/>
    <cellStyle name="Normal 5 4 5 2 2_Jurisdictional Study" xfId="10079" xr:uid="{E1556839-6F93-4D24-8F14-8E850DBF0CAD}"/>
    <cellStyle name="Normal 5 4 5 2 3" xfId="7303" xr:uid="{804A9449-2126-4A2C-A940-20E8D57ADD50}"/>
    <cellStyle name="Normal 5 4 5 2 3 2" xfId="7304" xr:uid="{E66195B0-B3A6-4AE4-8472-F038943B5AB2}"/>
    <cellStyle name="Normal 5 4 5 2 3_Jurisdictional Study" xfId="10081" xr:uid="{DDE883BD-5EB4-4EBF-BC8D-D1A3A4855D78}"/>
    <cellStyle name="Normal 5 4 5 2 4" xfId="7305" xr:uid="{D1DF8FBE-727A-4234-BC85-B6C8CD47C27E}"/>
    <cellStyle name="Normal 5 4 5 2_Jurisdictional Study" xfId="10078" xr:uid="{D31528BE-D5E1-43A5-9B08-6B9A2D7C669E}"/>
    <cellStyle name="Normal 5 4 5 3" xfId="7306" xr:uid="{71A8C717-9B67-47BD-9265-AA5D34C92CC7}"/>
    <cellStyle name="Normal 5 4 5 3 2" xfId="7307" xr:uid="{5BA1EAE0-02CC-4169-9D60-E2F894712402}"/>
    <cellStyle name="Normal 5 4 5 3 2 2" xfId="7308" xr:uid="{FF16BA08-A495-4593-A1A8-46396C441232}"/>
    <cellStyle name="Normal 5 4 5 3 2_Jurisdictional Study" xfId="10083" xr:uid="{8C74628E-733D-42A6-A86E-F70CCD6C6398}"/>
    <cellStyle name="Normal 5 4 5 3 3" xfId="7309" xr:uid="{E4E73F01-3393-4FDF-A7E5-AC4365074B01}"/>
    <cellStyle name="Normal 5 4 5 3_Jurisdictional Study" xfId="10082" xr:uid="{E52F3ECC-AE01-4B12-9EE9-EB4371C57E35}"/>
    <cellStyle name="Normal 5 4 5 4" xfId="7310" xr:uid="{E9A6CF8B-56E2-4A7E-AD48-7926AA4310EC}"/>
    <cellStyle name="Normal 5 4 5 4 2" xfId="7311" xr:uid="{1BC78D34-1F47-4180-A435-39D26B496C6C}"/>
    <cellStyle name="Normal 5 4 5 4_Jurisdictional Study" xfId="10084" xr:uid="{D47A971A-96A3-4262-A977-B9A37699DD61}"/>
    <cellStyle name="Normal 5 4 5 5" xfId="7312" xr:uid="{14279257-7FAC-4DCF-816D-265D2A31700F}"/>
    <cellStyle name="Normal 5 4 5_Jurisdictional Study" xfId="10077" xr:uid="{6B078A49-CAB6-449C-9AC5-5AAEF326538B}"/>
    <cellStyle name="Normal 5 4 6" xfId="7313" xr:uid="{2B63D320-05B2-463D-BFA3-D4A0DE817ADD}"/>
    <cellStyle name="Normal 5 4 6 2" xfId="7314" xr:uid="{7BBA5D28-08DD-49DC-A94B-4E99F1A2A051}"/>
    <cellStyle name="Normal 5 4 6 2 2" xfId="7315" xr:uid="{9220EF2A-5EEC-4E0B-874E-2D1D43173639}"/>
    <cellStyle name="Normal 5 4 6 2 2 2" xfId="7316" xr:uid="{60ABC010-6C3A-44ED-9E17-B9FE37993C7C}"/>
    <cellStyle name="Normal 5 4 6 2 2_Jurisdictional Study" xfId="10087" xr:uid="{31061A70-C364-4086-B05F-610E0E55EDF2}"/>
    <cellStyle name="Normal 5 4 6 2 3" xfId="7317" xr:uid="{93CAF1B6-8A47-4BC2-B250-6CD45F136B69}"/>
    <cellStyle name="Normal 5 4 6 2_Jurisdictional Study" xfId="10086" xr:uid="{D2C6729B-19B6-4DF5-A96C-78A1AC4541FB}"/>
    <cellStyle name="Normal 5 4 6 3" xfId="7318" xr:uid="{890234C5-0CD0-4E9F-AE9C-59FB87D1077C}"/>
    <cellStyle name="Normal 5 4 6 3 2" xfId="7319" xr:uid="{3EF3D4B8-3698-4754-89F3-E4FCDDE549C9}"/>
    <cellStyle name="Normal 5 4 6 3_Jurisdictional Study" xfId="10088" xr:uid="{945728E9-AA2A-4925-A491-FC54170BE3CB}"/>
    <cellStyle name="Normal 5 4 6 4" xfId="7320" xr:uid="{950A2120-598D-41BC-B36E-5390040F2271}"/>
    <cellStyle name="Normal 5 4 6_Jurisdictional Study" xfId="10085" xr:uid="{3C8307FE-F470-4ACA-AD90-DF1C5C07C409}"/>
    <cellStyle name="Normal 5 4 7" xfId="7321" xr:uid="{3E22D818-169D-4B04-8877-304317353A1C}"/>
    <cellStyle name="Normal 5 4 7 2" xfId="7322" xr:uid="{9F839012-456A-4030-9DB7-A06BF61C72AE}"/>
    <cellStyle name="Normal 5 4 7 2 2" xfId="7323" xr:uid="{3F9F0B98-B5D4-4662-8932-64827DD3B4AF}"/>
    <cellStyle name="Normal 5 4 7 2_Jurisdictional Study" xfId="10090" xr:uid="{32620713-CE5D-4E51-910D-1F9D1AABE3A8}"/>
    <cellStyle name="Normal 5 4 7 3" xfId="7324" xr:uid="{87CD331A-0AC8-4D58-A719-9B213FCC443E}"/>
    <cellStyle name="Normal 5 4 7_Jurisdictional Study" xfId="10089" xr:uid="{48184EDF-3E9D-4125-863C-EB04A3B754DE}"/>
    <cellStyle name="Normal 5 4 8" xfId="7325" xr:uid="{09F61463-7985-4A79-898E-2D8433CF46B4}"/>
    <cellStyle name="Normal 5 4 8 2" xfId="7326" xr:uid="{5F1A3656-4D02-4B93-A38A-8E7325A9FA0C}"/>
    <cellStyle name="Normal 5 4 8_Jurisdictional Study" xfId="10091" xr:uid="{5FB731FA-100F-47AB-9571-FD260F6B1779}"/>
    <cellStyle name="Normal 5 4 9" xfId="7327" xr:uid="{62D34BE3-5689-4F54-B994-1D2274379B38}"/>
    <cellStyle name="Normal 5 4_Jurisdictional Study" xfId="10028" xr:uid="{15512D2A-E729-48FF-A1AA-A872B988BEBF}"/>
    <cellStyle name="Normal 5 5" xfId="7328" xr:uid="{332B1A21-F27A-4998-A9DB-3F5AD8FFE912}"/>
    <cellStyle name="Normal 5 5 2" xfId="7329" xr:uid="{DB3300DF-7E0D-451B-A639-AAFBBAF894EA}"/>
    <cellStyle name="Normal 5 5 2 2" xfId="7330" xr:uid="{69849189-2D36-4F5E-9533-87CE3D1F64F5}"/>
    <cellStyle name="Normal 5 5 2 2 2" xfId="7331" xr:uid="{FC1B0083-DA5F-4530-8C37-33287C7A527F}"/>
    <cellStyle name="Normal 5 5 2 2 2 2" xfId="7332" xr:uid="{CF760C76-A19C-4742-B5B1-CB9249BB62D6}"/>
    <cellStyle name="Normal 5 5 2 2 2 2 2" xfId="7333" xr:uid="{AD79FF26-3E7A-4BAF-9355-DA1BB6ACA1EA}"/>
    <cellStyle name="Normal 5 5 2 2 2 2_Jurisdictional Study" xfId="10096" xr:uid="{D427CF06-DF91-453B-B2F8-3A5905249D24}"/>
    <cellStyle name="Normal 5 5 2 2 2 3" xfId="7334" xr:uid="{79F5EB2D-F1FE-4778-8895-136E8F85C2B8}"/>
    <cellStyle name="Normal 5 5 2 2 2_Jurisdictional Study" xfId="10095" xr:uid="{93106820-517D-4916-A663-5C6DFA7909D0}"/>
    <cellStyle name="Normal 5 5 2 2 3" xfId="7335" xr:uid="{63E5EF52-3DAC-49D8-8658-E80ED7A45ABF}"/>
    <cellStyle name="Normal 5 5 2 2 3 2" xfId="7336" xr:uid="{ED7E20CB-1D53-4D53-AEF0-02CCFC7594A8}"/>
    <cellStyle name="Normal 5 5 2 2 3_Jurisdictional Study" xfId="10097" xr:uid="{D1989979-AF8B-4AD7-994E-6A008EA1C205}"/>
    <cellStyle name="Normal 5 5 2 2 4" xfId="7337" xr:uid="{77A893F4-FD62-41ED-BF41-41958CFF8E27}"/>
    <cellStyle name="Normal 5 5 2 2_Jurisdictional Study" xfId="10094" xr:uid="{6A78078A-1967-4DE1-87E6-571BD92FD3AC}"/>
    <cellStyle name="Normal 5 5 2 3" xfId="7338" xr:uid="{B9C50A73-6A0A-4560-ABC2-B1175A1F2F48}"/>
    <cellStyle name="Normal 5 5 2 3 2" xfId="7339" xr:uid="{4FAFAC4E-E41D-4731-94DA-007DE6529FD2}"/>
    <cellStyle name="Normal 5 5 2 3 2 2" xfId="7340" xr:uid="{CAC30A18-0E44-4E60-9D93-4D2CF1F93F28}"/>
    <cellStyle name="Normal 5 5 2 3 2_Jurisdictional Study" xfId="10099" xr:uid="{7A38262B-039B-49BF-8746-E123F1FC619E}"/>
    <cellStyle name="Normal 5 5 2 3 3" xfId="7341" xr:uid="{35C42DEF-67F8-41C2-987F-FCF27BF065FD}"/>
    <cellStyle name="Normal 5 5 2 3_Jurisdictional Study" xfId="10098" xr:uid="{BFFA8D72-7334-46B1-807F-C16A6368C089}"/>
    <cellStyle name="Normal 5 5 2 4" xfId="7342" xr:uid="{5737F7D2-BA55-4E15-BD1E-FF9E5A8763B9}"/>
    <cellStyle name="Normal 5 5 2 4 2" xfId="7343" xr:uid="{6E9B6B4F-308B-4D0F-A141-8F9532EDA1FD}"/>
    <cellStyle name="Normal 5 5 2 4_Jurisdictional Study" xfId="10100" xr:uid="{D7EC5C80-E441-42C8-9FCB-7F09C9B6EE5A}"/>
    <cellStyle name="Normal 5 5 2 5" xfId="7344" xr:uid="{1B687AA5-FA08-4A65-B830-8691F3753FD2}"/>
    <cellStyle name="Normal 5 5 2_Jurisdictional Study" xfId="10093" xr:uid="{0722DE84-6D0A-4E9E-8500-09A8EDAEA865}"/>
    <cellStyle name="Normal 5 5 3" xfId="7345" xr:uid="{C67F43FE-84F3-4538-A20C-BC3CA0E90D3B}"/>
    <cellStyle name="Normal 5 5 3 2" xfId="7346" xr:uid="{ED5F84D6-44D8-4704-B245-CEEF25CC164F}"/>
    <cellStyle name="Normal 5 5 3 2 2" xfId="7347" xr:uid="{A5BC63D3-536C-481B-A27F-9C33AC6CBF6A}"/>
    <cellStyle name="Normal 5 5 3 2 2 2" xfId="7348" xr:uid="{0CF9C322-115C-4ADB-B27B-70311DB2DE31}"/>
    <cellStyle name="Normal 5 5 3 2 2 2 2" xfId="7349" xr:uid="{72C32D7C-07CF-4D13-9105-A2352C3A5E22}"/>
    <cellStyle name="Normal 5 5 3 2 2 2_Jurisdictional Study" xfId="10104" xr:uid="{4FFE5AA2-12C4-495C-8493-F578B24A5C1B}"/>
    <cellStyle name="Normal 5 5 3 2 2 3" xfId="7350" xr:uid="{F825C019-CDE8-4BE3-91F1-43AE13B73713}"/>
    <cellStyle name="Normal 5 5 3 2 2_Jurisdictional Study" xfId="10103" xr:uid="{4FA16DCA-0BCD-4FD8-A216-5ECCC046AA53}"/>
    <cellStyle name="Normal 5 5 3 2 3" xfId="7351" xr:uid="{8B8AB621-DB26-40C4-9969-30F1FF35DC5F}"/>
    <cellStyle name="Normal 5 5 3 2 3 2" xfId="7352" xr:uid="{732576D4-BF9E-44E1-BC7B-4D59EE3EC766}"/>
    <cellStyle name="Normal 5 5 3 2 3_Jurisdictional Study" xfId="10105" xr:uid="{E029D16C-ED00-4D08-9132-E7808909C417}"/>
    <cellStyle name="Normal 5 5 3 2 4" xfId="7353" xr:uid="{4F3C673F-916C-4404-A11B-5CAE131035F1}"/>
    <cellStyle name="Normal 5 5 3 2_Jurisdictional Study" xfId="10102" xr:uid="{E52FBB70-C29B-4FE6-94A5-E579706A42D7}"/>
    <cellStyle name="Normal 5 5 3 3" xfId="7354" xr:uid="{3AAE6120-D9B0-4C7F-9E32-941003DEF345}"/>
    <cellStyle name="Normal 5 5 3 3 2" xfId="7355" xr:uid="{B234DD44-B09F-4E6D-9697-BDB78F9023EA}"/>
    <cellStyle name="Normal 5 5 3 3 2 2" xfId="7356" xr:uid="{E13C9FDC-26A8-4FEB-96C0-8728EB02EEC2}"/>
    <cellStyle name="Normal 5 5 3 3 2_Jurisdictional Study" xfId="10107" xr:uid="{77C52EFC-C4A5-4AB1-8F67-1AA4CE56E4B0}"/>
    <cellStyle name="Normal 5 5 3 3 3" xfId="7357" xr:uid="{9F7D41E6-F755-41D4-B16A-194A015DB993}"/>
    <cellStyle name="Normal 5 5 3 3_Jurisdictional Study" xfId="10106" xr:uid="{5EB55FE7-B5FC-4250-8104-3994BD4CF492}"/>
    <cellStyle name="Normal 5 5 3 4" xfId="7358" xr:uid="{4200FD13-63F8-4244-9094-841D484CA889}"/>
    <cellStyle name="Normal 5 5 3 4 2" xfId="7359" xr:uid="{A321AC22-8B71-4B60-937C-458045838087}"/>
    <cellStyle name="Normal 5 5 3 4_Jurisdictional Study" xfId="10108" xr:uid="{6E8F5500-673C-4D26-891C-644F85D917BF}"/>
    <cellStyle name="Normal 5 5 3 5" xfId="7360" xr:uid="{FA11FF9F-DB05-4685-8946-DAA599A7F56D}"/>
    <cellStyle name="Normal 5 5 3_Jurisdictional Study" xfId="10101" xr:uid="{C5918C73-7952-4777-B898-7EE73F11A211}"/>
    <cellStyle name="Normal 5 5 4" xfId="7361" xr:uid="{02FC3A08-13C0-46AD-B3A0-EB3F91F24864}"/>
    <cellStyle name="Normal 5 5 4 2" xfId="7362" xr:uid="{0EE4B5CC-5E18-43EA-90B2-1B581EFFED16}"/>
    <cellStyle name="Normal 5 5 4 2 2" xfId="7363" xr:uid="{379B2A10-5D4E-49AE-BD85-F990197C6FF6}"/>
    <cellStyle name="Normal 5 5 4 2 2 2" xfId="7364" xr:uid="{2C81C79A-D4AD-4972-A665-90743B340838}"/>
    <cellStyle name="Normal 5 5 4 2 2_Jurisdictional Study" xfId="10111" xr:uid="{BE1C0E47-EB85-4E67-90B9-7421F847B029}"/>
    <cellStyle name="Normal 5 5 4 2 3" xfId="7365" xr:uid="{DCB00DEB-56B2-40EE-B942-9EB8E04F1F0D}"/>
    <cellStyle name="Normal 5 5 4 2_Jurisdictional Study" xfId="10110" xr:uid="{4AF1536B-766E-498B-9A0E-440676D59587}"/>
    <cellStyle name="Normal 5 5 4 3" xfId="7366" xr:uid="{F38F385A-C590-4C86-A011-DFD93412BA7C}"/>
    <cellStyle name="Normal 5 5 4 3 2" xfId="7367" xr:uid="{63E25B5C-3A14-4B9E-864E-01480CDE040C}"/>
    <cellStyle name="Normal 5 5 4 3_Jurisdictional Study" xfId="10112" xr:uid="{C396B2B4-8E74-429C-AD1D-3EA36A991F34}"/>
    <cellStyle name="Normal 5 5 4 4" xfId="7368" xr:uid="{F0A3E7AB-E3C0-4B64-BDB2-80B28843619C}"/>
    <cellStyle name="Normal 5 5 4_Jurisdictional Study" xfId="10109" xr:uid="{720C8E33-4E3C-4930-A582-273FEAF1D665}"/>
    <cellStyle name="Normal 5 5 5" xfId="7369" xr:uid="{B7458468-76BD-4333-AAE4-7B84A8E60F91}"/>
    <cellStyle name="Normal 5 5 5 2" xfId="7370" xr:uid="{54FCDD93-713E-49A2-945A-BCD87036E39E}"/>
    <cellStyle name="Normal 5 5 5 2 2" xfId="7371" xr:uid="{7F8D309F-9E0C-4D4A-BF3A-85BC95C560CE}"/>
    <cellStyle name="Normal 5 5 5 2_Jurisdictional Study" xfId="10114" xr:uid="{5362900A-92D7-4E23-9082-2C30A7CC73FB}"/>
    <cellStyle name="Normal 5 5 5 3" xfId="7372" xr:uid="{EE672ACF-6039-42A0-BB43-62F3A6B91634}"/>
    <cellStyle name="Normal 5 5 5_Jurisdictional Study" xfId="10113" xr:uid="{A9C02BBD-86AD-462B-908E-2D733B8C47AE}"/>
    <cellStyle name="Normal 5 5 6" xfId="7373" xr:uid="{06FB0F37-3B4C-4F07-BB8A-D0FEEABC6AD0}"/>
    <cellStyle name="Normal 5 5 6 2" xfId="7374" xr:uid="{BA1E01C3-1D63-45F6-ACCB-997E416567A6}"/>
    <cellStyle name="Normal 5 5 6_Jurisdictional Study" xfId="10115" xr:uid="{B1BD09A7-5188-4A67-A38D-DE37ACB95182}"/>
    <cellStyle name="Normal 5 5 7" xfId="7375" xr:uid="{4ABBFDCD-3BD9-4828-88BB-C76D94193567}"/>
    <cellStyle name="Normal 5 5_Jurisdictional Study" xfId="10092" xr:uid="{3B4DE683-CDDD-4FEB-B4BF-28FCFB315423}"/>
    <cellStyle name="Normal 5 6" xfId="7376" xr:uid="{246B91C3-E999-40B8-B538-913C92E876E3}"/>
    <cellStyle name="Normal 5 6 2" xfId="7377" xr:uid="{80109FCD-A76E-43B5-AEE3-8888A9A039E3}"/>
    <cellStyle name="Normal 5 6 2 2" xfId="7378" xr:uid="{6E851DF6-C159-47F0-95B5-AFB5AF3426B3}"/>
    <cellStyle name="Normal 5 6 2 2 2" xfId="7379" xr:uid="{302481A2-3CD3-4E85-8426-A5BCA9D7B962}"/>
    <cellStyle name="Normal 5 6 2 2 2 2" xfId="7380" xr:uid="{D7A28045-4244-4648-93C7-098D3A7B9950}"/>
    <cellStyle name="Normal 5 6 2 2 2 2 2" xfId="7381" xr:uid="{D2A784BC-2BA5-45BE-82BC-7D8F77210F4E}"/>
    <cellStyle name="Normal 5 6 2 2 2 2_Jurisdictional Study" xfId="10120" xr:uid="{E90FD439-A3FA-49DB-B3E1-F81006A59E7C}"/>
    <cellStyle name="Normal 5 6 2 2 2 3" xfId="7382" xr:uid="{34A90F06-BC29-4E4E-8E29-2E5F7436790C}"/>
    <cellStyle name="Normal 5 6 2 2 2_Jurisdictional Study" xfId="10119" xr:uid="{0E0771B2-14E9-45B9-8A2F-590EB373CDE4}"/>
    <cellStyle name="Normal 5 6 2 2 3" xfId="7383" xr:uid="{56515217-1AC3-4910-A6FE-93B834D16B98}"/>
    <cellStyle name="Normal 5 6 2 2 3 2" xfId="7384" xr:uid="{DC450434-41C2-455F-870D-1C02D5008D08}"/>
    <cellStyle name="Normal 5 6 2 2 3_Jurisdictional Study" xfId="10121" xr:uid="{E89BB281-8845-4A86-AB0F-4702710258DB}"/>
    <cellStyle name="Normal 5 6 2 2 4" xfId="7385" xr:uid="{7D219167-1D79-4DFF-9B79-13D09E2DB32D}"/>
    <cellStyle name="Normal 5 6 2 2_Jurisdictional Study" xfId="10118" xr:uid="{C7AA7608-8E27-42E1-882E-1E1058CDF6CF}"/>
    <cellStyle name="Normal 5 6 2 3" xfId="7386" xr:uid="{DEF37120-1387-4D46-AAE1-30D1718C6436}"/>
    <cellStyle name="Normal 5 6 2 3 2" xfId="7387" xr:uid="{E6FBAEFF-7EC5-408E-936D-5ADFF57258B4}"/>
    <cellStyle name="Normal 5 6 2 3 2 2" xfId="7388" xr:uid="{94AEEC2F-BE34-4E09-AD98-8664F221076E}"/>
    <cellStyle name="Normal 5 6 2 3 2_Jurisdictional Study" xfId="10123" xr:uid="{2C0D7026-CD0F-47E2-A7A5-3DF2B7B2DBEC}"/>
    <cellStyle name="Normal 5 6 2 3 3" xfId="7389" xr:uid="{6AFDF697-0464-49A9-B386-9C651F63F812}"/>
    <cellStyle name="Normal 5 6 2 3_Jurisdictional Study" xfId="10122" xr:uid="{34E0CA61-9D12-4927-A0EF-1FBCA2BA8F6A}"/>
    <cellStyle name="Normal 5 6 2 4" xfId="7390" xr:uid="{4EE94852-72CA-43F9-8DC7-49087BF03A6A}"/>
    <cellStyle name="Normal 5 6 2 4 2" xfId="7391" xr:uid="{6EED1B1C-6F83-49DD-94C1-DEE758EFD9EC}"/>
    <cellStyle name="Normal 5 6 2 4_Jurisdictional Study" xfId="10124" xr:uid="{D387B17F-709F-43AD-98D6-429989BF999F}"/>
    <cellStyle name="Normal 5 6 2 5" xfId="7392" xr:uid="{3D6C82F1-E9B5-442F-99F6-E3B1E9A05223}"/>
    <cellStyle name="Normal 5 6 2_Jurisdictional Study" xfId="10117" xr:uid="{33E52D66-D6D5-40AB-851B-416D93287D1F}"/>
    <cellStyle name="Normal 5 6 3" xfId="7393" xr:uid="{42EFBE02-D649-46F3-A5A9-D76188AE16C3}"/>
    <cellStyle name="Normal 5 6 3 2" xfId="7394" xr:uid="{F99A45E2-2987-4E51-8D3A-769FD73E8EEA}"/>
    <cellStyle name="Normal 5 6 3 2 2" xfId="7395" xr:uid="{6CF25F05-E60C-4CF3-9FCD-C23745DB6041}"/>
    <cellStyle name="Normal 5 6 3 2 2 2" xfId="7396" xr:uid="{EB6F9F8F-190F-4134-AB63-A4823F714BA3}"/>
    <cellStyle name="Normal 5 6 3 2 2_Jurisdictional Study" xfId="10127" xr:uid="{41F3367B-29AC-4856-A715-4DA81CC42E53}"/>
    <cellStyle name="Normal 5 6 3 2 3" xfId="7397" xr:uid="{EFF64425-E786-405F-83D5-3FA47F256DE2}"/>
    <cellStyle name="Normal 5 6 3 2_Jurisdictional Study" xfId="10126" xr:uid="{3A0889B3-972E-40EB-9919-D2C214D9991F}"/>
    <cellStyle name="Normal 5 6 3 3" xfId="7398" xr:uid="{7FF414CF-D537-4A1D-9E75-A709B9067217}"/>
    <cellStyle name="Normal 5 6 3 3 2" xfId="7399" xr:uid="{B9540A36-E56C-485F-A0A5-476F4D0C2315}"/>
    <cellStyle name="Normal 5 6 3 3_Jurisdictional Study" xfId="10128" xr:uid="{E4F66E4D-A26A-4BFD-A604-1A200198EF7C}"/>
    <cellStyle name="Normal 5 6 3 4" xfId="7400" xr:uid="{09290F10-0ADC-4FE6-A156-F6649AA99210}"/>
    <cellStyle name="Normal 5 6 3_Jurisdictional Study" xfId="10125" xr:uid="{AB04DC22-9201-447B-AA40-D5E9579A0CD4}"/>
    <cellStyle name="Normal 5 6 4" xfId="7401" xr:uid="{312EA413-3E46-4D36-B97B-31FD518C9493}"/>
    <cellStyle name="Normal 5 6 4 2" xfId="7402" xr:uid="{61BAB3BD-B888-4FE9-B404-71E681E59090}"/>
    <cellStyle name="Normal 5 6 4 2 2" xfId="7403" xr:uid="{FCFAF985-0776-4DDF-BA03-14E7F3819AB2}"/>
    <cellStyle name="Normal 5 6 4 2_Jurisdictional Study" xfId="10130" xr:uid="{EEC05401-91C3-4C99-9915-AD7996ED9BFB}"/>
    <cellStyle name="Normal 5 6 4 3" xfId="7404" xr:uid="{1A2554A4-1D89-4251-891B-A55339B614C6}"/>
    <cellStyle name="Normal 5 6 4_Jurisdictional Study" xfId="10129" xr:uid="{D6BED6A0-68D8-48EC-B87E-46B98EE0D421}"/>
    <cellStyle name="Normal 5 6 5" xfId="7405" xr:uid="{1E537C33-8164-4D3E-A3CA-FFA5ECD50C11}"/>
    <cellStyle name="Normal 5 6 5 2" xfId="7406" xr:uid="{18DE3D2D-5A5D-4DC1-ABAF-CAF1D30FE3C3}"/>
    <cellStyle name="Normal 5 6 5_Jurisdictional Study" xfId="10131" xr:uid="{D4E80C0C-C97F-4ED2-ABE6-15B0EAF395CD}"/>
    <cellStyle name="Normal 5 6 6" xfId="7407" xr:uid="{BD578C00-C8DD-4215-B868-B66418933EC4}"/>
    <cellStyle name="Normal 5 6_Jurisdictional Study" xfId="10116" xr:uid="{A3A9D0BB-463D-4EBC-97EE-F2EA52FCB861}"/>
    <cellStyle name="Normal 5 7" xfId="7408" xr:uid="{E861E74E-A987-4AAA-8C6F-7BDC5A123369}"/>
    <cellStyle name="Normal 5 7 2" xfId="7409" xr:uid="{852FFAAF-17DF-4C0D-B57D-28DBC76E67D9}"/>
    <cellStyle name="Normal 5 7 2 2" xfId="7410" xr:uid="{832E360A-9126-4A83-AB70-AF1DFD0FBC5C}"/>
    <cellStyle name="Normal 5 7 2 2 2" xfId="7411" xr:uid="{786CA930-BE19-4BA0-91F0-4DD3C6352169}"/>
    <cellStyle name="Normal 5 7 2 2 2 2" xfId="7412" xr:uid="{76EE2D94-261A-4830-9CE5-B7B83DE96FD9}"/>
    <cellStyle name="Normal 5 7 2 2 2_Jurisdictional Study" xfId="10135" xr:uid="{BB1C6F38-2FBD-4255-BDF6-9B9F47FB0357}"/>
    <cellStyle name="Normal 5 7 2 2 3" xfId="7413" xr:uid="{2D8F9959-4A36-4861-ABD3-219133839453}"/>
    <cellStyle name="Normal 5 7 2 2_Jurisdictional Study" xfId="10134" xr:uid="{49C165FD-EF21-4BC7-ADEA-D5138277F9B8}"/>
    <cellStyle name="Normal 5 7 2 3" xfId="7414" xr:uid="{596AA92A-48B1-46EB-8F1A-2854AB327FB4}"/>
    <cellStyle name="Normal 5 7 2 3 2" xfId="7415" xr:uid="{470FECAB-C400-4230-826C-9B855C24BCDA}"/>
    <cellStyle name="Normal 5 7 2 3_Jurisdictional Study" xfId="10136" xr:uid="{9F67CBEC-AE09-4C3E-8A5C-CB53FDF7D3D6}"/>
    <cellStyle name="Normal 5 7 2 4" xfId="7416" xr:uid="{0272BC26-2EB2-4199-9AB2-4F3BED5FA054}"/>
    <cellStyle name="Normal 5 7 2_Jurisdictional Study" xfId="10133" xr:uid="{5D3BDA91-FF61-4892-950C-C980FD8442F6}"/>
    <cellStyle name="Normal 5 7 3" xfId="7417" xr:uid="{48FDA9CE-0EC0-45DA-BD4B-4FCBE5D33B9C}"/>
    <cellStyle name="Normal 5 7 3 2" xfId="7418" xr:uid="{EE7E02CD-ACE3-4B4A-912F-C29920C056D8}"/>
    <cellStyle name="Normal 5 7 3 2 2" xfId="7419" xr:uid="{0032E78B-DA77-469C-9309-3044BE2C0E46}"/>
    <cellStyle name="Normal 5 7 3 2_Jurisdictional Study" xfId="10138" xr:uid="{2BA40A08-85BB-480E-B355-D50622898677}"/>
    <cellStyle name="Normal 5 7 3 3" xfId="7420" xr:uid="{781F2441-5201-4F54-B117-E4E24AA3FF4B}"/>
    <cellStyle name="Normal 5 7 3_Jurisdictional Study" xfId="10137" xr:uid="{0DD395C9-5882-453E-B550-343844DA6F26}"/>
    <cellStyle name="Normal 5 7 4" xfId="7421" xr:uid="{67F1CEF5-2186-466F-A642-4C7EB93D7595}"/>
    <cellStyle name="Normal 5 7 4 2" xfId="7422" xr:uid="{9CCDB2C1-D017-4689-8479-5652068BB497}"/>
    <cellStyle name="Normal 5 7 4_Jurisdictional Study" xfId="10139" xr:uid="{932AC1FD-0A74-4D45-9618-8D9706F8979B}"/>
    <cellStyle name="Normal 5 7 5" xfId="7423" xr:uid="{45D7C650-AE55-45FA-A1B1-D921F1CEE511}"/>
    <cellStyle name="Normal 5 7_Jurisdictional Study" xfId="10132" xr:uid="{4EFEAE68-5CC3-43D0-A9C9-F0A435F57A16}"/>
    <cellStyle name="Normal 5 8" xfId="7424" xr:uid="{BFF90397-DDF3-40CB-A344-446C09320B15}"/>
    <cellStyle name="Normal 5 8 2" xfId="7425" xr:uid="{7F26C16B-BFC3-43AF-8A9B-75EA157B5739}"/>
    <cellStyle name="Normal 5 8 2 2" xfId="7426" xr:uid="{EE2ADA5F-D399-4A2E-B9C8-871D1D291321}"/>
    <cellStyle name="Normal 5 8 2 2 2" xfId="7427" xr:uid="{ED9812EC-2559-4523-9E68-A1AB9645EE9C}"/>
    <cellStyle name="Normal 5 8 2 2 2 2" xfId="7428" xr:uid="{2E44CB5B-160D-439A-8437-3889C48F1835}"/>
    <cellStyle name="Normal 5 8 2 2 2_Jurisdictional Study" xfId="10143" xr:uid="{F3876664-B723-4D5B-B965-2D44DF4ED95C}"/>
    <cellStyle name="Normal 5 8 2 2 3" xfId="7429" xr:uid="{0B684762-D089-4ED3-B015-130078D468BE}"/>
    <cellStyle name="Normal 5 8 2 2_Jurisdictional Study" xfId="10142" xr:uid="{289A52B1-6D11-4A80-B23E-0F12F9663D61}"/>
    <cellStyle name="Normal 5 8 2 3" xfId="7430" xr:uid="{96E7E246-718D-40C4-A823-C6F527236B8A}"/>
    <cellStyle name="Normal 5 8 2 3 2" xfId="7431" xr:uid="{7CF9D045-7F4B-4596-B502-E35D20477BE6}"/>
    <cellStyle name="Normal 5 8 2 3_Jurisdictional Study" xfId="10144" xr:uid="{A64B415A-ED71-41B3-8C93-CE8CDF7050C3}"/>
    <cellStyle name="Normal 5 8 2 4" xfId="7432" xr:uid="{518D71F3-D259-4CA7-8858-2CA83608FD01}"/>
    <cellStyle name="Normal 5 8 2_Jurisdictional Study" xfId="10141" xr:uid="{2F1B9572-7C0E-4630-97E0-1A7D54BEB390}"/>
    <cellStyle name="Normal 5 8 3" xfId="7433" xr:uid="{395A755D-B0EA-44A9-9D1D-582A46F7E81E}"/>
    <cellStyle name="Normal 5 8 3 2" xfId="7434" xr:uid="{B76C4D58-1328-43EC-87ED-30054A01C11F}"/>
    <cellStyle name="Normal 5 8 3 2 2" xfId="7435" xr:uid="{86E41898-5642-463F-ABC5-D74C11F85A8B}"/>
    <cellStyle name="Normal 5 8 3 2_Jurisdictional Study" xfId="10146" xr:uid="{85A96722-D6C0-4FB4-900A-4BAAE0859CE1}"/>
    <cellStyle name="Normal 5 8 3 3" xfId="7436" xr:uid="{A12CA4DA-4579-4309-8C9B-7984CFCE1C17}"/>
    <cellStyle name="Normal 5 8 3_Jurisdictional Study" xfId="10145" xr:uid="{6C723486-9D85-4836-BB04-EC8E0D0C80A7}"/>
    <cellStyle name="Normal 5 8 4" xfId="7437" xr:uid="{AC9BDA76-8806-4083-9C99-F4937D73DF5B}"/>
    <cellStyle name="Normal 5 8 4 2" xfId="7438" xr:uid="{8E0EB719-91DD-42B9-91D7-53DDFD45C995}"/>
    <cellStyle name="Normal 5 8 4_Jurisdictional Study" xfId="10147" xr:uid="{C396EB75-3128-49D5-8F76-F0F5E28871DE}"/>
    <cellStyle name="Normal 5 8 5" xfId="7439" xr:uid="{C0C948E3-E84C-474E-AE51-AF7B9CBE7A4A}"/>
    <cellStyle name="Normal 5 8_Jurisdictional Study" xfId="10140" xr:uid="{89823885-9E72-4365-B5DE-6CAC65C269B2}"/>
    <cellStyle name="Normal 5 9" xfId="7440" xr:uid="{72680432-A7E0-4369-833E-4DA9DB49B511}"/>
    <cellStyle name="Normal 5 9 2" xfId="7441" xr:uid="{3F520955-B367-4267-9CFB-3E4705C9EB22}"/>
    <cellStyle name="Normal 5 9 2 2" xfId="7442" xr:uid="{55B86D8B-21C7-4CBA-9587-102C788C28B8}"/>
    <cellStyle name="Normal 5 9 2 2 2" xfId="7443" xr:uid="{66DE1E8B-5A03-4C76-A7F7-673526D8890C}"/>
    <cellStyle name="Normal 5 9 2 2_Jurisdictional Study" xfId="10150" xr:uid="{E0039A4F-2739-402F-B7D5-5C0DE2A69C8D}"/>
    <cellStyle name="Normal 5 9 2 3" xfId="7444" xr:uid="{5C8E3B7A-CE9A-41D0-9FCE-DF17D31A8F8D}"/>
    <cellStyle name="Normal 5 9 2_Jurisdictional Study" xfId="10149" xr:uid="{BA140214-36B9-46DA-BF4B-D0331F333ED4}"/>
    <cellStyle name="Normal 5 9 3" xfId="7445" xr:uid="{42A09F2E-F407-42A6-BFB2-B1218852F725}"/>
    <cellStyle name="Normal 5 9 3 2" xfId="7446" xr:uid="{D1F90F41-CD3C-4DFC-9567-14E9C2FD23AD}"/>
    <cellStyle name="Normal 5 9 3_Jurisdictional Study" xfId="10151" xr:uid="{959556AF-DD09-430B-8EE5-47BB89D9F123}"/>
    <cellStyle name="Normal 5 9 4" xfId="7447" xr:uid="{1670DD95-1ECB-4EFA-A005-2A99546C9191}"/>
    <cellStyle name="Normal 5 9_Jurisdictional Study" xfId="10148" xr:uid="{5F5259BD-6BCF-4359-9C94-95BB13105CBE}"/>
    <cellStyle name="Normal 5_Jurisdictional Study" xfId="9860" xr:uid="{90896631-B8C3-4B38-8EAF-51D4D289938A}"/>
    <cellStyle name="Normal 50" xfId="8354" xr:uid="{5D56D3F1-2E8C-4D4F-9283-D531D7F1F224}"/>
    <cellStyle name="Normal 51" xfId="8366" xr:uid="{35AA42A9-07DA-4962-A8E9-68B588372C43}"/>
    <cellStyle name="Normal 52" xfId="8370" xr:uid="{77E5667F-6E10-42C6-9912-05A577E227EC}"/>
    <cellStyle name="Normal 53" xfId="95" xr:uid="{89958619-4CD0-4123-985F-2B3721889AAC}"/>
    <cellStyle name="Normal 6" xfId="244" xr:uid="{E8F369DB-F62C-40FA-81F1-688DF40AEAAF}"/>
    <cellStyle name="Normal 6 2" xfId="302" xr:uid="{E3E35639-4D3E-4663-A646-64CF42F123E1}"/>
    <cellStyle name="Normal 6 2 2" xfId="7450" xr:uid="{DCA9E710-8743-4331-A0F3-1CD416ADFC9C}"/>
    <cellStyle name="Normal 6 2 2 2" xfId="7451" xr:uid="{EFA14CB3-2342-411C-A4A0-D2F7CF80BC12}"/>
    <cellStyle name="Normal 6 2 2 2 2" xfId="7452" xr:uid="{62C383DE-28FF-4D51-86A2-020DD9792BE7}"/>
    <cellStyle name="Normal 6 2 2 2 2 2" xfId="7453" xr:uid="{608CAFB1-31AD-4105-95CD-AEF62694CE01}"/>
    <cellStyle name="Normal 6 2 2 2 2 2 2" xfId="7454" xr:uid="{3FDB6393-41F6-4B71-BBE2-AE00AB1AA201}"/>
    <cellStyle name="Normal 6 2 2 2 2 2_Jurisdictional Study" xfId="10157" xr:uid="{3E3155D4-CDC6-47A9-B5AF-D04B395DB0D8}"/>
    <cellStyle name="Normal 6 2 2 2 2 3" xfId="7455" xr:uid="{701657FC-7DDD-4615-8934-0C7393D95437}"/>
    <cellStyle name="Normal 6 2 2 2 2_Jurisdictional Study" xfId="10156" xr:uid="{C15210AE-FF2E-4AE7-92BA-34A287CB4F6A}"/>
    <cellStyle name="Normal 6 2 2 2 3" xfId="7456" xr:uid="{19E5FB60-C3C1-4BD1-A672-D4FD5EFFAD2F}"/>
    <cellStyle name="Normal 6 2 2 2 3 2" xfId="7457" xr:uid="{209EBF59-FCF3-47C7-84AF-3DAB31DEE23D}"/>
    <cellStyle name="Normal 6 2 2 2 3_Jurisdictional Study" xfId="10158" xr:uid="{5B5096C1-9555-41AF-8405-4B8997BEE938}"/>
    <cellStyle name="Normal 6 2 2 2 4" xfId="7458" xr:uid="{AF9E544B-27E3-4CDD-B401-3072D73A2185}"/>
    <cellStyle name="Normal 6 2 2 2_Jurisdictional Study" xfId="10155" xr:uid="{12733047-7805-461A-A7F4-5718F7E21C79}"/>
    <cellStyle name="Normal 6 2 2 3" xfId="7459" xr:uid="{4C38E9C8-C647-4D5F-8E87-F57D493F3194}"/>
    <cellStyle name="Normal 6 2 2 3 2" xfId="7460" xr:uid="{5A68D924-174A-4323-ADB0-14311442D502}"/>
    <cellStyle name="Normal 6 2 2 3 2 2" xfId="7461" xr:uid="{B684B3E2-1F2B-4419-91A4-E35E35B83C3B}"/>
    <cellStyle name="Normal 6 2 2 3 2_Jurisdictional Study" xfId="10160" xr:uid="{2A94F93E-2CD3-4E97-B756-10405E187B25}"/>
    <cellStyle name="Normal 6 2 2 3 3" xfId="7462" xr:uid="{906B8F2B-923E-4BC3-9363-3280973CEE19}"/>
    <cellStyle name="Normal 6 2 2 3_Jurisdictional Study" xfId="10159" xr:uid="{15FB0646-925A-46E5-8F12-288EBF7BA81F}"/>
    <cellStyle name="Normal 6 2 2 4" xfId="7463" xr:uid="{560254BA-B481-47FA-B1FA-302258000D1E}"/>
    <cellStyle name="Normal 6 2 2 4 2" xfId="7464" xr:uid="{8F917BB5-D92F-4744-BA2B-F15963D05105}"/>
    <cellStyle name="Normal 6 2 2 4_Jurisdictional Study" xfId="10161" xr:uid="{E95DF9D8-EDA5-40AF-97D3-BA5DCBB5253F}"/>
    <cellStyle name="Normal 6 2 2 5" xfId="7465" xr:uid="{14CB69F6-F707-407B-AF67-B4D24B828B5F}"/>
    <cellStyle name="Normal 6 2 2_Jurisdictional Study" xfId="10154" xr:uid="{32C0001C-E23D-4FF0-A080-919C2B6641D0}"/>
    <cellStyle name="Normal 6 2 3" xfId="7466" xr:uid="{0883CB89-A78B-4444-B67A-CE9397C44B45}"/>
    <cellStyle name="Normal 6 2 3 2" xfId="7467" xr:uid="{9D1330AD-D8F2-43DF-B55A-530D7CE8E1F5}"/>
    <cellStyle name="Normal 6 2 3 2 2" xfId="7468" xr:uid="{20A01D5E-3341-41FF-AB62-52C1016FEC61}"/>
    <cellStyle name="Normal 6 2 3 2 2 2" xfId="7469" xr:uid="{8A268F46-A277-43BE-921B-FAC208DEB056}"/>
    <cellStyle name="Normal 6 2 3 2 2_Jurisdictional Study" xfId="10164" xr:uid="{66080EFB-B009-461E-A2C6-9DC189974A91}"/>
    <cellStyle name="Normal 6 2 3 2 3" xfId="7470" xr:uid="{402B7CE4-E65F-4657-9A97-480C3E247B84}"/>
    <cellStyle name="Normal 6 2 3 2_Jurisdictional Study" xfId="10163" xr:uid="{5FBC25FE-7BA7-4709-92DE-5EAA38D64012}"/>
    <cellStyle name="Normal 6 2 3 3" xfId="7471" xr:uid="{3A298FFF-64BC-4FA1-BDA7-211E568C97DB}"/>
    <cellStyle name="Normal 6 2 3 3 2" xfId="7472" xr:uid="{B092FAF1-1BD8-4D2C-B000-FC890AA73BE7}"/>
    <cellStyle name="Normal 6 2 3 3_Jurisdictional Study" xfId="10165" xr:uid="{BF5D15A0-9C9D-491F-8CD7-DAC920B15744}"/>
    <cellStyle name="Normal 6 2 3 4" xfId="7473" xr:uid="{C52AF737-34E1-4667-9457-CC600F9AED20}"/>
    <cellStyle name="Normal 6 2 3_Jurisdictional Study" xfId="10162" xr:uid="{E7C2B2FB-2804-4206-BBC5-77638730D2B8}"/>
    <cellStyle name="Normal 6 2 4" xfId="7474" xr:uid="{B2C61C6D-9EE0-4846-9F58-EE963BE8C61A}"/>
    <cellStyle name="Normal 6 2 4 2" xfId="7475" xr:uid="{D071F27D-C575-41A0-A3EC-4439151FD42F}"/>
    <cellStyle name="Normal 6 2 4 2 2" xfId="7476" xr:uid="{BE00FF71-F389-4FD5-88AE-6F89AF5AE81F}"/>
    <cellStyle name="Normal 6 2 4 2_Jurisdictional Study" xfId="10167" xr:uid="{8BCEA187-CCC8-4DD1-AF63-C2208C93188F}"/>
    <cellStyle name="Normal 6 2 4 3" xfId="7477" xr:uid="{195A3798-11BE-459D-AB87-5CF3F0D362F2}"/>
    <cellStyle name="Normal 6 2 4_Jurisdictional Study" xfId="10166" xr:uid="{F091C9A4-D5D0-4EC2-AED7-A702B0A062F8}"/>
    <cellStyle name="Normal 6 2 5" xfId="7478" xr:uid="{E2A7926F-93DF-46BD-81DE-F36541283E3F}"/>
    <cellStyle name="Normal 6 2 5 2" xfId="7479" xr:uid="{E96DE4E3-0656-4935-BEC0-ABF9CAADDC8C}"/>
    <cellStyle name="Normal 6 2 5_Jurisdictional Study" xfId="10168" xr:uid="{0F86D31C-3EB5-4B35-ADCC-2CE130FDD371}"/>
    <cellStyle name="Normal 6 2 6" xfId="7480" xr:uid="{596D5B5C-1ABE-417E-AC8F-1F176289EDA9}"/>
    <cellStyle name="Normal 6 2 7" xfId="7449" xr:uid="{3D9B7DE5-D546-4C93-8341-18783C2C8368}"/>
    <cellStyle name="Normal 6 2_Jurisdictional Study" xfId="10153" xr:uid="{E0FC5C84-0031-4EBF-9DDE-A6030C4334BA}"/>
    <cellStyle name="Normal 6 3" xfId="328" xr:uid="{BD43DF62-7D07-4552-8736-75548E48641D}"/>
    <cellStyle name="Normal 6 3 2" xfId="7482" xr:uid="{680D7C3A-46A4-46D6-BB3E-F0347D5D3DAA}"/>
    <cellStyle name="Normal 6 3 2 2" xfId="7483" xr:uid="{2820B343-D2AA-4304-8D34-E893836B5092}"/>
    <cellStyle name="Normal 6 3 2 2 2" xfId="7484" xr:uid="{0D0F858E-7257-400A-A530-7E9E9459941A}"/>
    <cellStyle name="Normal 6 3 2 2 2 2" xfId="7485" xr:uid="{31A5BF6B-79B3-49F6-A038-79089688C693}"/>
    <cellStyle name="Normal 6 3 2 2 2_Jurisdictional Study" xfId="10172" xr:uid="{FCB767C8-2836-472D-A094-6FD047F5F37F}"/>
    <cellStyle name="Normal 6 3 2 2 3" xfId="7486" xr:uid="{BE2653E1-B2D8-4BDD-BCDF-F9DEEFF7F9B8}"/>
    <cellStyle name="Normal 6 3 2 2_Jurisdictional Study" xfId="10171" xr:uid="{5335C517-3AFC-4E23-BDE3-F607742D84B8}"/>
    <cellStyle name="Normal 6 3 2 3" xfId="7487" xr:uid="{E264390A-1CED-4D14-B115-D261362DDB61}"/>
    <cellStyle name="Normal 6 3 2 3 2" xfId="7488" xr:uid="{CECA50F6-B448-45EE-BEC3-0F1482C4F822}"/>
    <cellStyle name="Normal 6 3 2 3_Jurisdictional Study" xfId="10173" xr:uid="{81A236AC-B1C3-4769-B446-B89F4B0D50D5}"/>
    <cellStyle name="Normal 6 3 2 4" xfId="7489" xr:uid="{543F4C54-09E2-415F-8883-9DA392D0D49F}"/>
    <cellStyle name="Normal 6 3 2_Jurisdictional Study" xfId="10170" xr:uid="{EB63B957-99DC-4FD5-A587-12AB7583114A}"/>
    <cellStyle name="Normal 6 3 3" xfId="7490" xr:uid="{EA3E97FD-22EB-4BB6-AE8B-EFA9DA6C8EE3}"/>
    <cellStyle name="Normal 6 3 3 2" xfId="7491" xr:uid="{CBFAD1CF-22BA-4908-84DF-37A6CE1C00CC}"/>
    <cellStyle name="Normal 6 3 3 2 2" xfId="7492" xr:uid="{1B29105F-CB13-4010-A223-B23C9829422A}"/>
    <cellStyle name="Normal 6 3 3 2_Jurisdictional Study" xfId="10175" xr:uid="{7B55F20C-5569-43DB-B0BC-EA9018F29729}"/>
    <cellStyle name="Normal 6 3 3 3" xfId="7493" xr:uid="{ADAB229C-81A7-4419-8237-9821378707D5}"/>
    <cellStyle name="Normal 6 3 3_Jurisdictional Study" xfId="10174" xr:uid="{F666C8CD-4933-425F-A682-74C7D4D995C4}"/>
    <cellStyle name="Normal 6 3 4" xfId="7494" xr:uid="{78644D39-D4B3-45C7-B74A-E8C50A8595B3}"/>
    <cellStyle name="Normal 6 3 4 2" xfId="7495" xr:uid="{652D6FE4-1110-40DD-BB9A-D0311B2ED033}"/>
    <cellStyle name="Normal 6 3 4_Jurisdictional Study" xfId="10176" xr:uid="{EA11B59A-51B0-4F18-A560-8E6C75FA3915}"/>
    <cellStyle name="Normal 6 3 5" xfId="7496" xr:uid="{F2EFEF9D-BF39-4179-96F9-B409F5D4EB14}"/>
    <cellStyle name="Normal 6 3 6" xfId="7481" xr:uid="{D2B6F8DB-5BC6-43FB-8018-FB214DC01383}"/>
    <cellStyle name="Normal 6 3_Jurisdictional Study" xfId="10169" xr:uid="{E8E40ED9-500A-4029-A35C-7D824FBFE444}"/>
    <cellStyle name="Normal 6 4" xfId="329" xr:uid="{5F786EDD-DCD5-42C2-AE60-244440E3CFA5}"/>
    <cellStyle name="Normal 6 4 2" xfId="7498" xr:uid="{BD275526-F42D-4BEC-8DFB-830EA129AAD6}"/>
    <cellStyle name="Normal 6 4 2 2" xfId="7499" xr:uid="{33B7A5AD-E917-4719-B729-6999364A70D2}"/>
    <cellStyle name="Normal 6 4 2 2 2" xfId="7500" xr:uid="{FB829256-AE82-4423-A841-08739C668FE3}"/>
    <cellStyle name="Normal 6 4 2 2_Jurisdictional Study" xfId="10179" xr:uid="{3478F244-71DF-4053-B4D7-D892DCA554F0}"/>
    <cellStyle name="Normal 6 4 2 3" xfId="7501" xr:uid="{3FC4CA02-2423-40D5-BE70-6DC774D306F3}"/>
    <cellStyle name="Normal 6 4 2_Jurisdictional Study" xfId="10178" xr:uid="{DCEFADD3-BE6D-4CD7-9CAE-8A64E84772A1}"/>
    <cellStyle name="Normal 6 4 3" xfId="7502" xr:uid="{0D17870C-1C0F-4929-A802-6A8F16E5B391}"/>
    <cellStyle name="Normal 6 4 3 2" xfId="7503" xr:uid="{4F67F441-1968-4551-B757-58096C736701}"/>
    <cellStyle name="Normal 6 4 3_Jurisdictional Study" xfId="10180" xr:uid="{A6FB507E-9468-4AD6-A1B7-81037CE9D3F2}"/>
    <cellStyle name="Normal 6 4 4" xfId="7504" xr:uid="{8855E1B5-97CC-4514-98D1-8BB1B170587B}"/>
    <cellStyle name="Normal 6 4 5" xfId="7497" xr:uid="{2E307A0B-D92C-43C5-AAD5-D0A3C0655F0D}"/>
    <cellStyle name="Normal 6 4_Jurisdictional Study" xfId="10177" xr:uid="{E46880EA-6480-4842-A342-E9886471E709}"/>
    <cellStyle name="Normal 6 5" xfId="7505" xr:uid="{8BB9B123-7835-4DC0-A69B-3F3E698E34FC}"/>
    <cellStyle name="Normal 6 5 2" xfId="7506" xr:uid="{C2C9CDCD-E0C1-4A12-9EBB-713405DD0C0D}"/>
    <cellStyle name="Normal 6 5 2 2" xfId="7507" xr:uid="{E1B18FE2-5618-4B5D-9B80-80F37D32373B}"/>
    <cellStyle name="Normal 6 5 2_Jurisdictional Study" xfId="10182" xr:uid="{C669FCDC-F451-4ED7-A93B-77104BEC4683}"/>
    <cellStyle name="Normal 6 5 3" xfId="7508" xr:uid="{7929945C-AE1E-443D-94D3-370A9972271A}"/>
    <cellStyle name="Normal 6 5_Jurisdictional Study" xfId="10181" xr:uid="{1D1281B0-D163-41B5-8220-790E0B0A43BF}"/>
    <cellStyle name="Normal 6 6" xfId="7509" xr:uid="{E814E2F1-F31B-491F-936F-D977FED7F9AE}"/>
    <cellStyle name="Normal 6 6 2" xfId="7510" xr:uid="{9C904E59-99D2-4C3D-866D-CDD261ACDD75}"/>
    <cellStyle name="Normal 6 6_Jurisdictional Study" xfId="10183" xr:uid="{D4894C98-2F2E-4E9D-8252-F644191F5193}"/>
    <cellStyle name="Normal 6 7" xfId="7511" xr:uid="{2F056FBA-4A42-4E90-84D4-0741C84858F8}"/>
    <cellStyle name="Normal 6 8" xfId="7448" xr:uid="{52A8E510-86B7-4C3E-B6C3-4ABD0BCF3DBF}"/>
    <cellStyle name="Normal 6_Jurisdictional Study" xfId="10152" xr:uid="{E1137FC8-7C0D-4929-B266-C730650C7C42}"/>
    <cellStyle name="Normal 7" xfId="300" xr:uid="{665E7554-D21C-4879-ABA5-947F5B7C9CDA}"/>
    <cellStyle name="Normal 7 10" xfId="7513" xr:uid="{4BF3E4DA-100E-4B9C-91AD-DD31EA46F583}"/>
    <cellStyle name="Normal 7 11" xfId="7512" xr:uid="{C92E96B6-8564-42B0-B0B9-3ED12536A9BF}"/>
    <cellStyle name="Normal 7 2" xfId="7514" xr:uid="{D0ED1AA0-A217-4146-830C-C7976246D249}"/>
    <cellStyle name="Normal 7 2 2" xfId="7515" xr:uid="{AB82FF9E-8AC5-4DF6-AC11-84C49634DBC6}"/>
    <cellStyle name="Normal 7 2 2 2" xfId="7516" xr:uid="{24F7D8DA-B80A-45A4-BFD3-3C65AAEC4F7C}"/>
    <cellStyle name="Normal 7 2 2 2 2" xfId="7517" xr:uid="{0C9BA1A0-1123-428A-A837-E2581483CB4A}"/>
    <cellStyle name="Normal 7 2 2 2 2 2" xfId="7518" xr:uid="{1A9A1741-336C-42A6-AAFA-11B53D9E81FA}"/>
    <cellStyle name="Normal 7 2 2 2 2 2 2" xfId="7519" xr:uid="{B97137CC-3452-42FC-B21B-A4E0738B1974}"/>
    <cellStyle name="Normal 7 2 2 2 2 2 2 2" xfId="7520" xr:uid="{886C3531-D90D-41A6-ACB9-58DEE143DE23}"/>
    <cellStyle name="Normal 7 2 2 2 2 2 2_Jurisdictional Study" xfId="10190" xr:uid="{21625719-FB86-4C2D-B2EB-C219C19642BA}"/>
    <cellStyle name="Normal 7 2 2 2 2 2 3" xfId="7521" xr:uid="{EF470339-02A6-47DC-B9BC-469734FEE34C}"/>
    <cellStyle name="Normal 7 2 2 2 2 2_Jurisdictional Study" xfId="10189" xr:uid="{4BE2BBFC-2DC3-4107-8BB7-25EB9ED14E16}"/>
    <cellStyle name="Normal 7 2 2 2 2 3" xfId="7522" xr:uid="{EF1DDD2E-174F-49BE-B283-4583470E5163}"/>
    <cellStyle name="Normal 7 2 2 2 2 3 2" xfId="7523" xr:uid="{313AF0B4-BCBB-439F-ACE0-59B7B7ED7EB7}"/>
    <cellStyle name="Normal 7 2 2 2 2 3_Jurisdictional Study" xfId="10191" xr:uid="{04FC2D55-EC0A-4FB5-B49E-6D53AEE29551}"/>
    <cellStyle name="Normal 7 2 2 2 2 4" xfId="7524" xr:uid="{087E63E3-1F97-4BDD-9874-4519C7D43B9F}"/>
    <cellStyle name="Normal 7 2 2 2 2_Jurisdictional Study" xfId="10188" xr:uid="{4912799B-BF71-4D32-8441-BD8A7B67932A}"/>
    <cellStyle name="Normal 7 2 2 2 3" xfId="7525" xr:uid="{BA264E5C-592D-4C00-8D27-D9924B307FAA}"/>
    <cellStyle name="Normal 7 2 2 2 3 2" xfId="7526" xr:uid="{C359F43F-14C4-4159-9322-CFDF24030537}"/>
    <cellStyle name="Normal 7 2 2 2 3 2 2" xfId="7527" xr:uid="{E9A23534-2DDD-4B19-8657-A39EFD786281}"/>
    <cellStyle name="Normal 7 2 2 2 3 2_Jurisdictional Study" xfId="10193" xr:uid="{699B74CA-F7DB-4DD3-BF7E-26B7A5B43CC8}"/>
    <cellStyle name="Normal 7 2 2 2 3 3" xfId="7528" xr:uid="{264A0C31-FDB1-43DE-B2A7-FA5A4514B574}"/>
    <cellStyle name="Normal 7 2 2 2 3_Jurisdictional Study" xfId="10192" xr:uid="{5706D754-98C7-4E02-A8D0-B5D42243858E}"/>
    <cellStyle name="Normal 7 2 2 2 4" xfId="7529" xr:uid="{B2336FF0-1087-433B-8B0A-66DB8D3DA60C}"/>
    <cellStyle name="Normal 7 2 2 2 4 2" xfId="7530" xr:uid="{AF571FA8-C1CE-4601-9821-FE403DFE9000}"/>
    <cellStyle name="Normal 7 2 2 2 4_Jurisdictional Study" xfId="10194" xr:uid="{D90BD658-3489-4BD1-9658-62C934B886E5}"/>
    <cellStyle name="Normal 7 2 2 2 5" xfId="7531" xr:uid="{780BC2F9-F87D-42C0-8E0A-E3A1364BD525}"/>
    <cellStyle name="Normal 7 2 2 2_Jurisdictional Study" xfId="10187" xr:uid="{E771979D-A5CD-492B-86D1-C69C66DE84D6}"/>
    <cellStyle name="Normal 7 2 2 3" xfId="7532" xr:uid="{CE142E4D-1622-4BA7-844E-B63F7C6F49F6}"/>
    <cellStyle name="Normal 7 2 2 3 2" xfId="7533" xr:uid="{CA83A2E7-EA89-404C-9FF3-D6FFBFEA791F}"/>
    <cellStyle name="Normal 7 2 2 3 2 2" xfId="7534" xr:uid="{1C37A7C3-6030-4DA0-A4BE-444A3DBC8DF9}"/>
    <cellStyle name="Normal 7 2 2 3 2 2 2" xfId="7535" xr:uid="{F4B9ABC1-D007-442D-9ABB-76D6D474FF02}"/>
    <cellStyle name="Normal 7 2 2 3 2 2_Jurisdictional Study" xfId="10197" xr:uid="{0283D4D6-426C-425C-A49E-F202C2269BAF}"/>
    <cellStyle name="Normal 7 2 2 3 2 3" xfId="7536" xr:uid="{3B99FF8B-A20D-4E54-BF0E-F864AC1C115F}"/>
    <cellStyle name="Normal 7 2 2 3 2_Jurisdictional Study" xfId="10196" xr:uid="{FE63304F-D6BD-4936-8D75-F80B1CCF4C3D}"/>
    <cellStyle name="Normal 7 2 2 3 3" xfId="7537" xr:uid="{D4AE064E-2E7E-4C6D-9A16-6154C68BA52D}"/>
    <cellStyle name="Normal 7 2 2 3 3 2" xfId="7538" xr:uid="{6E521A61-BABF-4D75-88D6-D29F1BE1B903}"/>
    <cellStyle name="Normal 7 2 2 3 3_Jurisdictional Study" xfId="10198" xr:uid="{FCC24507-78A7-4A64-8BB7-10A07B6AB59A}"/>
    <cellStyle name="Normal 7 2 2 3 4" xfId="7539" xr:uid="{13A4AD98-984F-4A19-A187-872FFD476C97}"/>
    <cellStyle name="Normal 7 2 2 3_Jurisdictional Study" xfId="10195" xr:uid="{62AE6E09-BCD7-4408-AC69-26B173F15F1F}"/>
    <cellStyle name="Normal 7 2 2 4" xfId="7540" xr:uid="{39932E58-9CBE-487C-9428-E30D9B52B516}"/>
    <cellStyle name="Normal 7 2 2 4 2" xfId="7541" xr:uid="{5E591044-2E78-46BC-9FFA-E579F8578878}"/>
    <cellStyle name="Normal 7 2 2 4 2 2" xfId="7542" xr:uid="{FEA4633A-A958-40D8-9799-C0E14720C270}"/>
    <cellStyle name="Normal 7 2 2 4 2_Jurisdictional Study" xfId="10200" xr:uid="{6171911D-A28F-4372-8E3F-A172ADA81C26}"/>
    <cellStyle name="Normal 7 2 2 4 3" xfId="7543" xr:uid="{7EB9D2BB-3C7A-4759-9298-35DAC9A0E7BD}"/>
    <cellStyle name="Normal 7 2 2 4_Jurisdictional Study" xfId="10199" xr:uid="{EE902C3D-C410-47F2-89D5-7D098D210B03}"/>
    <cellStyle name="Normal 7 2 2 5" xfId="7544" xr:uid="{1AE3599F-7C15-48A0-BDB6-48C7E6B5BA62}"/>
    <cellStyle name="Normal 7 2 2 5 2" xfId="7545" xr:uid="{779913F2-D45B-4C54-8AF4-3639546E4A19}"/>
    <cellStyle name="Normal 7 2 2 5_Jurisdictional Study" xfId="10201" xr:uid="{D640225A-F88B-43A6-9E5B-C6C307FA49E7}"/>
    <cellStyle name="Normal 7 2 2 6" xfId="7546" xr:uid="{5C490F9D-3051-4024-82C6-EA8D710A1800}"/>
    <cellStyle name="Normal 7 2 2_Jurisdictional Study" xfId="10186" xr:uid="{AE752BD2-E328-4CD6-B5D9-65B2249F7A2D}"/>
    <cellStyle name="Normal 7 2 3" xfId="7547" xr:uid="{5CF29E16-8D9F-46AE-AFD2-74261383FC3B}"/>
    <cellStyle name="Normal 7 2 3 2" xfId="7548" xr:uid="{A54FDEC2-46CE-4829-BF72-82B96F49E239}"/>
    <cellStyle name="Normal 7 2 3 2 2" xfId="7549" xr:uid="{FDE323F8-786E-4518-B195-5EE6302686A0}"/>
    <cellStyle name="Normal 7 2 3 2 2 2" xfId="7550" xr:uid="{2015A9A5-A592-4140-9686-53740B6E2E6B}"/>
    <cellStyle name="Normal 7 2 3 2 2 2 2" xfId="7551" xr:uid="{C85500EB-6731-421F-9948-8BE766DBE25C}"/>
    <cellStyle name="Normal 7 2 3 2 2 2_Jurisdictional Study" xfId="10205" xr:uid="{0FE44B8B-E636-40F4-88AA-B5E7E597C72E}"/>
    <cellStyle name="Normal 7 2 3 2 2 3" xfId="7552" xr:uid="{544663C7-77CF-41FA-AC12-26996DD7B1EA}"/>
    <cellStyle name="Normal 7 2 3 2 2_Jurisdictional Study" xfId="10204" xr:uid="{EB0C8BDA-2A24-4B1D-AC31-280F445827FF}"/>
    <cellStyle name="Normal 7 2 3 2 3" xfId="7553" xr:uid="{03BC4881-FAA9-4FA7-BD78-CF1DAE051140}"/>
    <cellStyle name="Normal 7 2 3 2 3 2" xfId="7554" xr:uid="{137A40E1-548B-404C-8A0E-225B1D5055F6}"/>
    <cellStyle name="Normal 7 2 3 2 3_Jurisdictional Study" xfId="10206" xr:uid="{945C15ED-9B44-43C3-86F3-941E6157E93E}"/>
    <cellStyle name="Normal 7 2 3 2 4" xfId="7555" xr:uid="{B724C73C-8176-42C0-8DE5-3ECB6F175F2C}"/>
    <cellStyle name="Normal 7 2 3 2_Jurisdictional Study" xfId="10203" xr:uid="{3964BE2A-FDD4-48A2-86F0-D833FE32BE27}"/>
    <cellStyle name="Normal 7 2 3 3" xfId="7556" xr:uid="{B7D388AB-FFEE-4B86-BB71-35E839A7F612}"/>
    <cellStyle name="Normal 7 2 3 3 2" xfId="7557" xr:uid="{3100F831-C919-4757-947C-04B1D81C198A}"/>
    <cellStyle name="Normal 7 2 3 3 2 2" xfId="7558" xr:uid="{43B5F05C-800C-4E43-A99B-41031EBFEBDA}"/>
    <cellStyle name="Normal 7 2 3 3 2_Jurisdictional Study" xfId="10208" xr:uid="{F2F6824C-A38F-415F-96FF-BA41D7F0FE11}"/>
    <cellStyle name="Normal 7 2 3 3 3" xfId="7559" xr:uid="{4B16418E-9429-4F84-A030-F152CC6D71F1}"/>
    <cellStyle name="Normal 7 2 3 3_Jurisdictional Study" xfId="10207" xr:uid="{E68E9B45-CE4F-4366-91FC-0D8252B8E7D1}"/>
    <cellStyle name="Normal 7 2 3 4" xfId="7560" xr:uid="{7F525B72-67DD-47C9-BDD7-CF138D35AE96}"/>
    <cellStyle name="Normal 7 2 3 4 2" xfId="7561" xr:uid="{834B0EC9-644B-4FA4-899A-72008E32604A}"/>
    <cellStyle name="Normal 7 2 3 4_Jurisdictional Study" xfId="10209" xr:uid="{45409021-EA99-433C-894B-686BD1D2DCCB}"/>
    <cellStyle name="Normal 7 2 3 5" xfId="7562" xr:uid="{5926F471-EBC3-433B-876C-4377E3A0DAFB}"/>
    <cellStyle name="Normal 7 2 3_Jurisdictional Study" xfId="10202" xr:uid="{2D0BE84C-F4E8-4572-8B47-AA645FC9FA70}"/>
    <cellStyle name="Normal 7 2 4" xfId="7563" xr:uid="{FBF92C62-9EEE-48F2-96FF-6FB48C9026F8}"/>
    <cellStyle name="Normal 7 2 4 2" xfId="7564" xr:uid="{109CC6AD-BCAB-4E53-82FC-D765146F258A}"/>
    <cellStyle name="Normal 7 2 4 2 2" xfId="7565" xr:uid="{7D6B4601-163A-470E-A829-7387A8278FE7}"/>
    <cellStyle name="Normal 7 2 4 2 2 2" xfId="7566" xr:uid="{0D08AB61-EC94-4CAB-838B-58AD99F126D0}"/>
    <cellStyle name="Normal 7 2 4 2 2 2 2" xfId="7567" xr:uid="{9722FC12-2A39-4DA2-BC96-A0151A509778}"/>
    <cellStyle name="Normal 7 2 4 2 2 2_Jurisdictional Study" xfId="10213" xr:uid="{84580ACC-B50D-48B1-BB0C-103CEAE5E441}"/>
    <cellStyle name="Normal 7 2 4 2 2 3" xfId="7568" xr:uid="{1D42B74F-9902-4EB8-8F90-DC0A41963040}"/>
    <cellStyle name="Normal 7 2 4 2 2_Jurisdictional Study" xfId="10212" xr:uid="{31C22DB1-E553-45B7-BF93-3D4018EC12E2}"/>
    <cellStyle name="Normal 7 2 4 2 3" xfId="7569" xr:uid="{A0A742AD-777C-494C-9A6E-CAE35C2ACF41}"/>
    <cellStyle name="Normal 7 2 4 2 3 2" xfId="7570" xr:uid="{F7FA02B3-B51B-4EB7-9496-91CB05493422}"/>
    <cellStyle name="Normal 7 2 4 2 3_Jurisdictional Study" xfId="10214" xr:uid="{D16F48A1-E40B-43E9-ADE1-E1411D501FEE}"/>
    <cellStyle name="Normal 7 2 4 2 4" xfId="7571" xr:uid="{1ED7CF97-4114-4E82-8725-CAA85FCAAD13}"/>
    <cellStyle name="Normal 7 2 4 2_Jurisdictional Study" xfId="10211" xr:uid="{BA5BBFB0-06DC-4283-8B5C-8F07A3882C41}"/>
    <cellStyle name="Normal 7 2 4 3" xfId="7572" xr:uid="{5B9012A3-D22E-47DC-A26F-7C0EE20F133A}"/>
    <cellStyle name="Normal 7 2 4 3 2" xfId="7573" xr:uid="{2C7A7E72-3D0C-4345-B1F9-7731A8442FD0}"/>
    <cellStyle name="Normal 7 2 4 3 2 2" xfId="7574" xr:uid="{679D48E4-EDA7-4427-94D7-2F3E4B236F70}"/>
    <cellStyle name="Normal 7 2 4 3 2_Jurisdictional Study" xfId="10216" xr:uid="{7A024024-9778-4047-A857-31205E8CDA4B}"/>
    <cellStyle name="Normal 7 2 4 3 3" xfId="7575" xr:uid="{16953D66-4513-4D86-8B53-B3A1B34AA7DB}"/>
    <cellStyle name="Normal 7 2 4 3_Jurisdictional Study" xfId="10215" xr:uid="{976BD12A-C993-47EF-91F5-ADFCAC5AABE4}"/>
    <cellStyle name="Normal 7 2 4 4" xfId="7576" xr:uid="{D7811DF4-37C1-4F94-9E76-C6226C08A5FB}"/>
    <cellStyle name="Normal 7 2 4 4 2" xfId="7577" xr:uid="{82074A49-B555-47AC-8C15-EBF14BEB1973}"/>
    <cellStyle name="Normal 7 2 4 4_Jurisdictional Study" xfId="10217" xr:uid="{3391B7B1-8A1A-4466-BCFC-19293361C7C3}"/>
    <cellStyle name="Normal 7 2 4 5" xfId="7578" xr:uid="{EAF27945-1814-44D8-A7A8-501A9AEE530C}"/>
    <cellStyle name="Normal 7 2 4_Jurisdictional Study" xfId="10210" xr:uid="{3A925236-6C0F-4E34-8267-CA217A404E85}"/>
    <cellStyle name="Normal 7 2 5" xfId="7579" xr:uid="{07EE130E-5A8F-419A-B2E7-3D91334E79E4}"/>
    <cellStyle name="Normal 7 2 5 2" xfId="7580" xr:uid="{98DFD74C-2CF1-4961-9E6C-69AB2677D45A}"/>
    <cellStyle name="Normal 7 2 5 2 2" xfId="7581" xr:uid="{D9084C89-9D00-4EA3-8002-AC993CA6798D}"/>
    <cellStyle name="Normal 7 2 5 2 2 2" xfId="7582" xr:uid="{48FFC5B3-6ED1-4D7D-8752-88D843BD2BE1}"/>
    <cellStyle name="Normal 7 2 5 2 2_Jurisdictional Study" xfId="10220" xr:uid="{AD65F417-1388-41BC-B029-B38CF0588806}"/>
    <cellStyle name="Normal 7 2 5 2 3" xfId="7583" xr:uid="{06D896AB-7A8C-4A3E-B6D1-6C62596F5C5F}"/>
    <cellStyle name="Normal 7 2 5 2_Jurisdictional Study" xfId="10219" xr:uid="{9BAA76A1-5BE2-4424-9B3D-F10482EBBA96}"/>
    <cellStyle name="Normal 7 2 5 3" xfId="7584" xr:uid="{386C4CD7-BFC0-43F3-9F2D-101D26236C77}"/>
    <cellStyle name="Normal 7 2 5 3 2" xfId="7585" xr:uid="{328675A0-12F5-4F41-A097-E0959AC79153}"/>
    <cellStyle name="Normal 7 2 5 3_Jurisdictional Study" xfId="10221" xr:uid="{0C83F11D-F7BE-41B0-B605-C4111BE94B77}"/>
    <cellStyle name="Normal 7 2 5 4" xfId="7586" xr:uid="{60581A52-3C32-4E95-AC2B-A421A1DEFA7C}"/>
    <cellStyle name="Normal 7 2 5_Jurisdictional Study" xfId="10218" xr:uid="{5F46DC50-F510-47D5-A577-600402368EA4}"/>
    <cellStyle name="Normal 7 2 6" xfId="7587" xr:uid="{9DEF673C-9323-4070-99D6-16373C0F60E2}"/>
    <cellStyle name="Normal 7 2 6 2" xfId="7588" xr:uid="{E1BFC661-D75E-4302-970C-CDB1D5A7348F}"/>
    <cellStyle name="Normal 7 2 6 2 2" xfId="7589" xr:uid="{1BB7850A-325E-41B3-8370-935302DBF9F4}"/>
    <cellStyle name="Normal 7 2 6 2_Jurisdictional Study" xfId="10223" xr:uid="{CF40808B-CA53-4236-A3B3-93480099A25C}"/>
    <cellStyle name="Normal 7 2 6 3" xfId="7590" xr:uid="{C02596BF-0C9A-49C3-BEEF-A3BBA563AF73}"/>
    <cellStyle name="Normal 7 2 6_Jurisdictional Study" xfId="10222" xr:uid="{45DED8F5-9A98-441D-A151-5035FE365BF3}"/>
    <cellStyle name="Normal 7 2 7" xfId="7591" xr:uid="{9462203B-CA25-40AC-932B-29E282388D87}"/>
    <cellStyle name="Normal 7 2 7 2" xfId="7592" xr:uid="{87703780-9477-4371-AAAC-79EBA94EE8D3}"/>
    <cellStyle name="Normal 7 2 7_Jurisdictional Study" xfId="10224" xr:uid="{6CF321F4-BD3A-4789-BD3C-5CB3701CCB05}"/>
    <cellStyle name="Normal 7 2 8" xfId="7593" xr:uid="{76C06157-0EAF-4C9D-9ED1-34382BE2FE71}"/>
    <cellStyle name="Normal 7 2_Jurisdictional Study" xfId="10185" xr:uid="{918D3BCA-B6B1-431D-B05A-71596B5ADCA8}"/>
    <cellStyle name="Normal 7 3" xfId="7594" xr:uid="{557511A7-1542-4EE6-930E-9FA36D7F5072}"/>
    <cellStyle name="Normal 7 3 2" xfId="7595" xr:uid="{FC1BA73A-979D-48E8-B82C-389C9F5C20B2}"/>
    <cellStyle name="Normal 7 3 2 2" xfId="7596" xr:uid="{CC8C8308-DDAC-4CE4-878E-8898E6470782}"/>
    <cellStyle name="Normal 7 3 2 2 2" xfId="7597" xr:uid="{E239CD0B-3EDC-4465-BFF3-AB7C4F0DC79E}"/>
    <cellStyle name="Normal 7 3 2 2 2 2" xfId="7598" xr:uid="{1D7E4F7E-57C2-488C-906D-95409E411FEC}"/>
    <cellStyle name="Normal 7 3 2 2 2 2 2" xfId="7599" xr:uid="{CB58174C-D2CC-4CB2-B4E4-5C9C5F45032F}"/>
    <cellStyle name="Normal 7 3 2 2 2 2_Jurisdictional Study" xfId="10229" xr:uid="{D4C29DC2-F3A4-4E48-BD0E-DF4CF999BD73}"/>
    <cellStyle name="Normal 7 3 2 2 2 3" xfId="7600" xr:uid="{21B85843-C5A3-4487-9F09-C784C1E71BB3}"/>
    <cellStyle name="Normal 7 3 2 2 2_Jurisdictional Study" xfId="10228" xr:uid="{D79329D5-469B-4B13-BF88-34DC4DD7E828}"/>
    <cellStyle name="Normal 7 3 2 2 3" xfId="7601" xr:uid="{28664BEE-F676-43C3-920C-E07C3CBD808F}"/>
    <cellStyle name="Normal 7 3 2 2 3 2" xfId="7602" xr:uid="{96283AA0-CE54-46E3-B7A8-760EF5113B72}"/>
    <cellStyle name="Normal 7 3 2 2 3_Jurisdictional Study" xfId="10230" xr:uid="{2930A958-7359-4D5D-B69A-9D0708748C96}"/>
    <cellStyle name="Normal 7 3 2 2 4" xfId="7603" xr:uid="{550BAFF6-FE7E-4E64-B1F6-F597AB94C6B4}"/>
    <cellStyle name="Normal 7 3 2 2_Jurisdictional Study" xfId="10227" xr:uid="{0687A726-451F-47EC-8223-7836091FC58C}"/>
    <cellStyle name="Normal 7 3 2 3" xfId="7604" xr:uid="{39B5E117-3E85-4098-8A44-A0687746D9B1}"/>
    <cellStyle name="Normal 7 3 2 3 2" xfId="7605" xr:uid="{8493282B-863B-4509-A07A-198E1C035E1B}"/>
    <cellStyle name="Normal 7 3 2 3 2 2" xfId="7606" xr:uid="{1B1E276F-33B5-40B1-9C3D-4C8108ACC682}"/>
    <cellStyle name="Normal 7 3 2 3 2_Jurisdictional Study" xfId="10232" xr:uid="{3257E2EB-929B-4A6F-83C5-3E80486250CD}"/>
    <cellStyle name="Normal 7 3 2 3 3" xfId="7607" xr:uid="{D9FF6E51-8979-4844-952C-BE3F5634C383}"/>
    <cellStyle name="Normal 7 3 2 3_Jurisdictional Study" xfId="10231" xr:uid="{FFEAABCF-64C3-4695-8BF8-9D37C96D4094}"/>
    <cellStyle name="Normal 7 3 2 4" xfId="7608" xr:uid="{0F2FCF4E-72BF-4265-8CED-E2ABD6784942}"/>
    <cellStyle name="Normal 7 3 2 4 2" xfId="7609" xr:uid="{7779EA5B-03F4-417D-B9AB-691929F9C456}"/>
    <cellStyle name="Normal 7 3 2 4_Jurisdictional Study" xfId="10233" xr:uid="{E30C315F-9E91-4C59-B6F2-7A8699B54033}"/>
    <cellStyle name="Normal 7 3 2 5" xfId="7610" xr:uid="{FD8B0B1D-AED8-4630-9B75-57F7D498E321}"/>
    <cellStyle name="Normal 7 3 2_Jurisdictional Study" xfId="10226" xr:uid="{6BB3A17E-3B4F-47A8-9706-87A8DE2CA7BE}"/>
    <cellStyle name="Normal 7 3 3" xfId="7611" xr:uid="{223DB2AB-3A16-4B1E-A244-5F28DF7890B7}"/>
    <cellStyle name="Normal 7 3 3 2" xfId="7612" xr:uid="{782C8912-4BCD-4AF9-9986-0CF42A646211}"/>
    <cellStyle name="Normal 7 3 3 2 2" xfId="7613" xr:uid="{2AA143B4-001C-40A9-AC0C-415F2253AD02}"/>
    <cellStyle name="Normal 7 3 3 2 2 2" xfId="7614" xr:uid="{510971C1-1DD7-41EA-89B4-891641B3B514}"/>
    <cellStyle name="Normal 7 3 3 2 2_Jurisdictional Study" xfId="10236" xr:uid="{01DE8150-1D16-4B22-9C83-BD7DAE0CD3E4}"/>
    <cellStyle name="Normal 7 3 3 2 3" xfId="7615" xr:uid="{9C0BCF9B-CC2B-4C2C-9660-2DC503F35C3F}"/>
    <cellStyle name="Normal 7 3 3 2_Jurisdictional Study" xfId="10235" xr:uid="{FAB77B14-AA0C-40EA-A8C2-4E762547D1EA}"/>
    <cellStyle name="Normal 7 3 3 3" xfId="7616" xr:uid="{E9AA139A-F773-4DAF-A593-4B4D2074427F}"/>
    <cellStyle name="Normal 7 3 3 3 2" xfId="7617" xr:uid="{940828B0-6CF9-4C8F-ADE0-1AA9DEE3F02F}"/>
    <cellStyle name="Normal 7 3 3 3_Jurisdictional Study" xfId="10237" xr:uid="{44BE245B-0C3D-4382-859E-E8F88184994B}"/>
    <cellStyle name="Normal 7 3 3 4" xfId="7618" xr:uid="{442F6215-82CC-44AB-BFF8-E576DD86D555}"/>
    <cellStyle name="Normal 7 3 3_Jurisdictional Study" xfId="10234" xr:uid="{0AA872F7-7A34-46D5-8A77-73EE1C051071}"/>
    <cellStyle name="Normal 7 3 4" xfId="7619" xr:uid="{570EBBAB-8D73-4706-86D4-5245CB5D4109}"/>
    <cellStyle name="Normal 7 3 4 2" xfId="7620" xr:uid="{E9876454-F26C-439A-949A-9BB1B2953B5B}"/>
    <cellStyle name="Normal 7 3 4 2 2" xfId="7621" xr:uid="{29CF32AB-5DB1-470D-823E-EA6E44234314}"/>
    <cellStyle name="Normal 7 3 4 2_Jurisdictional Study" xfId="10239" xr:uid="{AECB21B1-9C76-4314-8FE6-81AD68F1CF8A}"/>
    <cellStyle name="Normal 7 3 4 3" xfId="7622" xr:uid="{4CF258D9-B102-451F-8F47-533A58375307}"/>
    <cellStyle name="Normal 7 3 4_Jurisdictional Study" xfId="10238" xr:uid="{1CC6BF45-3E57-4C3D-A931-169998F3427B}"/>
    <cellStyle name="Normal 7 3 5" xfId="7623" xr:uid="{88DACFF5-7D14-4C5E-B459-21D054A625B7}"/>
    <cellStyle name="Normal 7 3 5 2" xfId="7624" xr:uid="{986C8FA9-5269-4447-ABDA-9B8553627773}"/>
    <cellStyle name="Normal 7 3 5_Jurisdictional Study" xfId="10240" xr:uid="{ED1E2E0B-A91A-48D7-AB39-9F57A13E3D5D}"/>
    <cellStyle name="Normal 7 3 6" xfId="7625" xr:uid="{078A4350-DB9F-41C5-B8E0-3A63AB399BA5}"/>
    <cellStyle name="Normal 7 3_Jurisdictional Study" xfId="10225" xr:uid="{85E074D4-5CE6-4DE0-BCA1-1CFE970E2E5B}"/>
    <cellStyle name="Normal 7 4" xfId="7626" xr:uid="{F9D9CAE5-8D4C-42D1-B0B4-6F5EFCDA02B6}"/>
    <cellStyle name="Normal 7 4 2" xfId="7627" xr:uid="{974EAD75-63B6-4A8A-B27F-B6DA2F0E8438}"/>
    <cellStyle name="Normal 7 4 2 2" xfId="7628" xr:uid="{1AC5A114-6521-45BE-B3B6-904A5E4F5F1D}"/>
    <cellStyle name="Normal 7 4 2 2 2" xfId="7629" xr:uid="{6F258273-5E18-4442-8E83-748257DD267F}"/>
    <cellStyle name="Normal 7 4 2 2 2 2" xfId="7630" xr:uid="{84D44FC8-FF08-4577-8AB1-70196AEF4E62}"/>
    <cellStyle name="Normal 7 4 2 2 2_Jurisdictional Study" xfId="10244" xr:uid="{EC4A4E3C-F49C-4F74-B309-5CF6BBB24284}"/>
    <cellStyle name="Normal 7 4 2 2 3" xfId="7631" xr:uid="{CE37FCCF-BD42-4178-957D-426EA5490244}"/>
    <cellStyle name="Normal 7 4 2 2_Jurisdictional Study" xfId="10243" xr:uid="{83BAC5F1-E2D9-4C04-873C-5804D1F26ACB}"/>
    <cellStyle name="Normal 7 4 2 3" xfId="7632" xr:uid="{234016E6-46A0-45E0-91AD-69CE076890CA}"/>
    <cellStyle name="Normal 7 4 2 3 2" xfId="7633" xr:uid="{5E74CD2A-4DF9-4B5D-819E-CE1FC88B27B1}"/>
    <cellStyle name="Normal 7 4 2 3_Jurisdictional Study" xfId="10245" xr:uid="{E7895574-33A6-4273-832C-B26FFECDA7F5}"/>
    <cellStyle name="Normal 7 4 2 4" xfId="7634" xr:uid="{B2FC3165-8B33-44C0-9BE6-7CE9A3A95867}"/>
    <cellStyle name="Normal 7 4 2_Jurisdictional Study" xfId="10242" xr:uid="{839E5CB0-7B34-462D-BE68-DA1C8502E4EE}"/>
    <cellStyle name="Normal 7 4 3" xfId="7635" xr:uid="{BA1779F9-895A-4987-9896-4A51BC464E79}"/>
    <cellStyle name="Normal 7 4 3 2" xfId="7636" xr:uid="{B79E78B6-6C4D-4BF8-9AF2-9E96771350B0}"/>
    <cellStyle name="Normal 7 4 3 2 2" xfId="7637" xr:uid="{A0496821-59D7-4B31-84AF-D50A68FB3E33}"/>
    <cellStyle name="Normal 7 4 3 2_Jurisdictional Study" xfId="10247" xr:uid="{BD053D2D-0279-4963-9DC4-1E91A9743DE1}"/>
    <cellStyle name="Normal 7 4 3 3" xfId="7638" xr:uid="{1C6E5AAD-37DF-46B1-9EBC-55A1066A13B6}"/>
    <cellStyle name="Normal 7 4 3_Jurisdictional Study" xfId="10246" xr:uid="{1D7B1606-5A6B-4992-A6B3-A3069BA80966}"/>
    <cellStyle name="Normal 7 4 4" xfId="7639" xr:uid="{4E2CD3CF-D019-4658-9DC2-C1212B4B173B}"/>
    <cellStyle name="Normal 7 4 4 2" xfId="7640" xr:uid="{95B99319-863E-4A66-90CF-837B03BC66F2}"/>
    <cellStyle name="Normal 7 4 4_Jurisdictional Study" xfId="10248" xr:uid="{59B3E901-584B-4901-9F63-6A1B1F6B5B22}"/>
    <cellStyle name="Normal 7 4 5" xfId="7641" xr:uid="{6D92EDBB-B564-4A49-A202-51B0EBCD9D71}"/>
    <cellStyle name="Normal 7 4_Jurisdictional Study" xfId="10241" xr:uid="{2A539063-50CE-4750-989F-CF811E2C7EFC}"/>
    <cellStyle name="Normal 7 5" xfId="7642" xr:uid="{AA7409DC-1D45-4436-8323-35BC963E3707}"/>
    <cellStyle name="Normal 7 5 2" xfId="7643" xr:uid="{A4413D92-87B5-4E8F-8DE8-4E30C9CDACA4}"/>
    <cellStyle name="Normal 7 5 2 2" xfId="7644" xr:uid="{A9F20362-A355-4E25-8F45-E474ECEE489B}"/>
    <cellStyle name="Normal 7 5 2 2 2" xfId="7645" xr:uid="{764274BD-E936-477C-AB74-3965873140DC}"/>
    <cellStyle name="Normal 7 5 2 2 2 2" xfId="7646" xr:uid="{D610AC5B-667E-4EDC-915B-0BBEA5F7ECB8}"/>
    <cellStyle name="Normal 7 5 2 2 2_Jurisdictional Study" xfId="10252" xr:uid="{E9BEC4CC-2777-4E60-A706-112FD2550F9B}"/>
    <cellStyle name="Normal 7 5 2 2 3" xfId="7647" xr:uid="{C9AD893B-C267-406C-A0C1-DF828F9EF7DD}"/>
    <cellStyle name="Normal 7 5 2 2_Jurisdictional Study" xfId="10251" xr:uid="{EF722DC8-DC59-453E-AC1E-301B2844F955}"/>
    <cellStyle name="Normal 7 5 2 3" xfId="7648" xr:uid="{1011E431-EF47-4465-BF7E-15F44ED01BA1}"/>
    <cellStyle name="Normal 7 5 2 3 2" xfId="7649" xr:uid="{C2905341-7744-49CB-B130-7B17AFFC0950}"/>
    <cellStyle name="Normal 7 5 2 3_Jurisdictional Study" xfId="10253" xr:uid="{E36DC5D1-C232-4ECA-950F-51A5DF4522F7}"/>
    <cellStyle name="Normal 7 5 2 4" xfId="7650" xr:uid="{30B6C4C6-6627-409E-9D79-8236550C172F}"/>
    <cellStyle name="Normal 7 5 2_Jurisdictional Study" xfId="10250" xr:uid="{F8A758D9-9361-4312-A68C-DE5B6A3D839F}"/>
    <cellStyle name="Normal 7 5 3" xfId="7651" xr:uid="{C4C0FE1A-CD25-423F-BB8E-8C338D46C3AF}"/>
    <cellStyle name="Normal 7 5 3 2" xfId="7652" xr:uid="{73B29B14-A87D-4B99-9582-A6A5DACBDDFC}"/>
    <cellStyle name="Normal 7 5 3 2 2" xfId="7653" xr:uid="{A9DB7CA4-213B-44DA-9418-48AFA9E6D669}"/>
    <cellStyle name="Normal 7 5 3 2_Jurisdictional Study" xfId="10255" xr:uid="{62FF08EF-49BC-4D64-A292-F257E612F785}"/>
    <cellStyle name="Normal 7 5 3 3" xfId="7654" xr:uid="{47A97DDD-6AD5-4D3F-AEBB-FFD22CAA4345}"/>
    <cellStyle name="Normal 7 5 3_Jurisdictional Study" xfId="10254" xr:uid="{5624DDDD-A225-41EB-A391-E84395312DC2}"/>
    <cellStyle name="Normal 7 5 4" xfId="7655" xr:uid="{F058CD49-BFCB-4062-8B43-3E49622C108F}"/>
    <cellStyle name="Normal 7 5 4 2" xfId="7656" xr:uid="{07C94BD7-BEF4-4D60-B764-B82FAAB20793}"/>
    <cellStyle name="Normal 7 5 4_Jurisdictional Study" xfId="10256" xr:uid="{39BB5039-2703-4473-83FF-226B49A9CB53}"/>
    <cellStyle name="Normal 7 5 5" xfId="7657" xr:uid="{C69BC055-15BD-462D-9AD8-E067C9B1ED57}"/>
    <cellStyle name="Normal 7 5_Jurisdictional Study" xfId="10249" xr:uid="{0226FCF9-8FC2-472F-B339-1FBC22C4DF60}"/>
    <cellStyle name="Normal 7 6" xfId="7658" xr:uid="{5150E3B1-1670-4E31-9A81-D8A2315B96B4}"/>
    <cellStyle name="Normal 7 6 2" xfId="7659" xr:uid="{048C20CD-6BCD-4960-A2BA-B045043CF760}"/>
    <cellStyle name="Normal 7 6 2 2" xfId="7660" xr:uid="{56485959-ABDD-47E5-B19B-E549D397CBCE}"/>
    <cellStyle name="Normal 7 6 2 2 2" xfId="7661" xr:uid="{22946569-8A1E-4B2C-A422-7E93560E47A7}"/>
    <cellStyle name="Normal 7 6 2 2_Jurisdictional Study" xfId="10259" xr:uid="{1AE8C06E-6594-447D-B76B-E3F799DFAB36}"/>
    <cellStyle name="Normal 7 6 2 3" xfId="7662" xr:uid="{48993B60-A6FB-4996-BBE5-E2286498DA1B}"/>
    <cellStyle name="Normal 7 6 2_Jurisdictional Study" xfId="10258" xr:uid="{6B518663-DDFD-4716-83F1-71A84D3A51B7}"/>
    <cellStyle name="Normal 7 6 3" xfId="7663" xr:uid="{9386F946-8729-4503-BD92-EF4048E28F87}"/>
    <cellStyle name="Normal 7 6 3 2" xfId="7664" xr:uid="{7106CB7F-27B4-45DF-AF5F-ADEA0E3BAFEB}"/>
    <cellStyle name="Normal 7 6 3_Jurisdictional Study" xfId="10260" xr:uid="{6FDD3C68-2BB8-4727-8DC0-2FF683E2E70F}"/>
    <cellStyle name="Normal 7 6 4" xfId="7665" xr:uid="{9751DFFE-F80B-4417-B63C-793C0F4635FF}"/>
    <cellStyle name="Normal 7 6_Jurisdictional Study" xfId="10257" xr:uid="{68FFA590-54AA-4E4D-A75A-FC56AF39BEAD}"/>
    <cellStyle name="Normal 7 7" xfId="7666" xr:uid="{FD52628D-A145-4F18-9C34-1A46E41F5E27}"/>
    <cellStyle name="Normal 7 7 2" xfId="7667" xr:uid="{6F5DC188-4F81-4A1F-BE60-43616083C6F2}"/>
    <cellStyle name="Normal 7 7 2 2" xfId="7668" xr:uid="{ADB14E50-5402-402A-81A9-EB5AE62648CC}"/>
    <cellStyle name="Normal 7 7 2_Jurisdictional Study" xfId="10262" xr:uid="{FB2FF9E5-6570-4E8D-AEF2-949BC6507FF5}"/>
    <cellStyle name="Normal 7 7 3" xfId="7669" xr:uid="{95185726-D6D9-44F7-9B09-842BFE5754D4}"/>
    <cellStyle name="Normal 7 7_Jurisdictional Study" xfId="10261" xr:uid="{FED93B54-23A2-490C-826D-D3CBB172897C}"/>
    <cellStyle name="Normal 7 8" xfId="7670" xr:uid="{DF6005FF-35DA-41F5-A805-D20E5DCF249D}"/>
    <cellStyle name="Normal 7 8 2" xfId="7671" xr:uid="{C6105B1E-4808-4C2B-AD71-6301286C2D10}"/>
    <cellStyle name="Normal 7 8 2 2" xfId="7672" xr:uid="{E1085D2A-61B0-4633-861C-5C7D72BD46FE}"/>
    <cellStyle name="Normal 7 8 2_Jurisdictional Study" xfId="10264" xr:uid="{6E862CA1-9CDE-4E88-BF85-593E7A9C140C}"/>
    <cellStyle name="Normal 7 8 3" xfId="7673" xr:uid="{C8798D7E-A32F-449E-94DE-4DF350B84931}"/>
    <cellStyle name="Normal 7 8_Jurisdictional Study" xfId="10263" xr:uid="{F2A750BA-C617-4DB1-AC3C-010DAD169509}"/>
    <cellStyle name="Normal 7 9" xfId="7674" xr:uid="{C1A9657B-8AA8-4D9D-8EE3-16FFBC498BA0}"/>
    <cellStyle name="Normal 7 9 2" xfId="7675" xr:uid="{204E1A64-73EB-48FB-96F3-28EDE26B9E86}"/>
    <cellStyle name="Normal 7 9_Jurisdictional Study" xfId="10265" xr:uid="{F2A0C37B-EE65-4663-829C-84ED22A2FA73}"/>
    <cellStyle name="Normal 7_Jurisdictional Study" xfId="10184" xr:uid="{FA75BD94-DB15-4ED8-935A-8C58C8EB4D58}"/>
    <cellStyle name="Normal 74" xfId="8349" xr:uid="{9732A0B4-7010-4C89-8BCC-E526277AB8A9}"/>
    <cellStyle name="Normal 8" xfId="330" xr:uid="{43CA2625-5D70-4F82-9849-1F7309E5164F}"/>
    <cellStyle name="Normal 8 2" xfId="331" xr:uid="{2085B8BD-5A94-4A63-8916-84553E29C3C0}"/>
    <cellStyle name="Normal 8 2 2" xfId="7678" xr:uid="{EEB964F6-1570-4B61-88D7-509620BC8370}"/>
    <cellStyle name="Normal 8 2 2 2" xfId="7679" xr:uid="{0705A22C-8CF2-4ED2-A065-35B28CD15620}"/>
    <cellStyle name="Normal 8 2 2 2 2" xfId="7680" xr:uid="{846ED277-56BA-494B-9919-FFF8B9C64233}"/>
    <cellStyle name="Normal 8 2 2 2 2 2" xfId="7681" xr:uid="{9E67E33B-EBEB-44AC-AE75-EC9FFE10AB4C}"/>
    <cellStyle name="Normal 8 2 2 2 2 2 2" xfId="7682" xr:uid="{1E35CEB1-9274-45DA-BB60-AF684D727A86}"/>
    <cellStyle name="Normal 8 2 2 2 2 2_Jurisdictional Study" xfId="10271" xr:uid="{C04C9355-88E4-4270-8032-11B0E9233CB1}"/>
    <cellStyle name="Normal 8 2 2 2 2 3" xfId="7683" xr:uid="{C047B621-2472-4E4C-8D4D-A44810B012E6}"/>
    <cellStyle name="Normal 8 2 2 2 2_Jurisdictional Study" xfId="10270" xr:uid="{28BF44D2-42F3-46BF-AC7B-5B27472F0133}"/>
    <cellStyle name="Normal 8 2 2 2 3" xfId="7684" xr:uid="{CCCE11C0-14ED-48F9-87A7-B50135339292}"/>
    <cellStyle name="Normal 8 2 2 2 3 2" xfId="7685" xr:uid="{91267F79-FF98-461A-9266-1E79C3815C08}"/>
    <cellStyle name="Normal 8 2 2 2 3_Jurisdictional Study" xfId="10272" xr:uid="{91ED0A3C-B952-42CB-A0F6-58F212CCCFCF}"/>
    <cellStyle name="Normal 8 2 2 2 4" xfId="7686" xr:uid="{3BC628B4-11F1-416B-AA3A-B84C2465B039}"/>
    <cellStyle name="Normal 8 2 2 2_Jurisdictional Study" xfId="10269" xr:uid="{A01B6BD9-FC7E-440D-BA5F-E9BAEF749D7B}"/>
    <cellStyle name="Normal 8 2 2 3" xfId="7687" xr:uid="{140991BA-7DCA-46C3-B5DA-BDD53EBC8040}"/>
    <cellStyle name="Normal 8 2 2 3 2" xfId="7688" xr:uid="{4AE98DCE-4A8C-41BB-BC7A-F59B5037BF2B}"/>
    <cellStyle name="Normal 8 2 2 3 2 2" xfId="7689" xr:uid="{1A1318D8-860D-462C-AF23-86322351B3BC}"/>
    <cellStyle name="Normal 8 2 2 3 2_Jurisdictional Study" xfId="10274" xr:uid="{CA8ECDD9-9A64-4930-9482-E9220E7FA1CB}"/>
    <cellStyle name="Normal 8 2 2 3 3" xfId="7690" xr:uid="{CA30E362-CE13-4C61-82A9-48FC619D8C7F}"/>
    <cellStyle name="Normal 8 2 2 3_Jurisdictional Study" xfId="10273" xr:uid="{ACA4822C-9ADA-4ACA-BD48-1F0BC28D9E8F}"/>
    <cellStyle name="Normal 8 2 2 4" xfId="7691" xr:uid="{F25B235F-FAB2-4BB0-B9A6-3F8A0462C395}"/>
    <cellStyle name="Normal 8 2 2 4 2" xfId="7692" xr:uid="{8D4C39DC-5127-445A-9A59-F8B36F21F218}"/>
    <cellStyle name="Normal 8 2 2 4_Jurisdictional Study" xfId="10275" xr:uid="{1396677E-A9FE-4D55-A7F4-FCA5880CF635}"/>
    <cellStyle name="Normal 8 2 2 5" xfId="7693" xr:uid="{B31BFB83-9687-470E-89A3-3B0E014CBA0F}"/>
    <cellStyle name="Normal 8 2 2_Jurisdictional Study" xfId="10268" xr:uid="{D706D5AD-AC3C-49F8-A60F-629C7C4496A2}"/>
    <cellStyle name="Normal 8 2 3" xfId="7694" xr:uid="{0CF645F3-7D58-46F1-BA54-7670EDA8A5BE}"/>
    <cellStyle name="Normal 8 2 3 2" xfId="7695" xr:uid="{141A387B-EABB-4F9D-97B3-9B442BD8CB6E}"/>
    <cellStyle name="Normal 8 2 3 2 2" xfId="7696" xr:uid="{E33D167F-BAAE-4482-9622-F060028D95E6}"/>
    <cellStyle name="Normal 8 2 3 2 2 2" xfId="7697" xr:uid="{16571D1C-68E0-42FC-8750-10D5DEEA576E}"/>
    <cellStyle name="Normal 8 2 3 2 2_Jurisdictional Study" xfId="10278" xr:uid="{95EEA164-E51A-44B5-8134-8370A6D49A04}"/>
    <cellStyle name="Normal 8 2 3 2 3" xfId="7698" xr:uid="{F1B67E2C-6810-4DB6-B101-83AD4E8F7204}"/>
    <cellStyle name="Normal 8 2 3 2_Jurisdictional Study" xfId="10277" xr:uid="{BC27EAD0-40F7-4829-AAF2-A666B5222BAD}"/>
    <cellStyle name="Normal 8 2 3 3" xfId="7699" xr:uid="{A3AAB6F3-8B0C-46B4-88F0-11D534EAA57F}"/>
    <cellStyle name="Normal 8 2 3 3 2" xfId="7700" xr:uid="{4F5432B1-AE65-4ABD-92C0-1FD3F1CC645D}"/>
    <cellStyle name="Normal 8 2 3 3_Jurisdictional Study" xfId="10279" xr:uid="{74626683-C9E8-444D-82A9-998DC508733A}"/>
    <cellStyle name="Normal 8 2 3 4" xfId="7701" xr:uid="{B2AF00FC-ED74-4956-90C6-FF340FA204A4}"/>
    <cellStyle name="Normal 8 2 3_Jurisdictional Study" xfId="10276" xr:uid="{82E6DA3C-49CE-4FEF-8B74-47FCE6753B0D}"/>
    <cellStyle name="Normal 8 2 4" xfId="7702" xr:uid="{3B295992-B9DC-4790-BAAA-413CBEDD53AD}"/>
    <cellStyle name="Normal 8 2 4 2" xfId="7703" xr:uid="{968001E1-7D63-42EF-B8B1-E3FC62CE1510}"/>
    <cellStyle name="Normal 8 2 4 2 2" xfId="7704" xr:uid="{F2743DF2-DD0D-443B-A4B8-7B3CE273D38E}"/>
    <cellStyle name="Normal 8 2 4 2_Jurisdictional Study" xfId="10281" xr:uid="{CDC14CB0-3FCC-49EE-84D0-4E9A688A3479}"/>
    <cellStyle name="Normal 8 2 4 3" xfId="7705" xr:uid="{C8B75D7F-084C-443D-9DA5-F39367361F7A}"/>
    <cellStyle name="Normal 8 2 4_Jurisdictional Study" xfId="10280" xr:uid="{FA4052F3-3A43-40E7-8A7D-49D26004E91E}"/>
    <cellStyle name="Normal 8 2 5" xfId="7706" xr:uid="{DB3A7BC5-4813-40ED-85CB-30EAAA216D57}"/>
    <cellStyle name="Normal 8 2 5 2" xfId="7707" xr:uid="{5392FEC0-ADA9-4EDA-B2EC-71DDEA349D47}"/>
    <cellStyle name="Normal 8 2 5_Jurisdictional Study" xfId="10282" xr:uid="{A4556201-8138-4DE6-8F75-614167E94095}"/>
    <cellStyle name="Normal 8 2 6" xfId="7708" xr:uid="{2C12A85D-81DB-4D46-BFDA-88BC4CF708AF}"/>
    <cellStyle name="Normal 8 2 7" xfId="7677" xr:uid="{5A745944-E7AF-436F-A477-2E213C9E1456}"/>
    <cellStyle name="Normal 8 2_Jurisdictional Study" xfId="10267" xr:uid="{43A27588-8610-480D-8C19-63B84B7D4981}"/>
    <cellStyle name="Normal 8 3" xfId="7709" xr:uid="{204743FD-D54B-4D91-A882-6B0760BB88F2}"/>
    <cellStyle name="Normal 8 3 2" xfId="7710" xr:uid="{D83CF462-2FCA-45DC-8F54-DE6EC499779E}"/>
    <cellStyle name="Normal 8 3 2 2" xfId="7711" xr:uid="{71E82D0D-753C-4C88-B976-25FF6509C365}"/>
    <cellStyle name="Normal 8 3 2 2 2" xfId="7712" xr:uid="{ACABA919-6B00-459F-B20A-08D6FD023C84}"/>
    <cellStyle name="Normal 8 3 2 2 2 2" xfId="7713" xr:uid="{DF904410-2CB3-40EF-A9DA-98D15F8C5948}"/>
    <cellStyle name="Normal 8 3 2 2 2_Jurisdictional Study" xfId="10286" xr:uid="{09E3F617-2F07-4062-B12D-6ECE5799E2E0}"/>
    <cellStyle name="Normal 8 3 2 2 3" xfId="7714" xr:uid="{DEFC4694-5C32-4D47-B4B6-DA52AF1DF7B2}"/>
    <cellStyle name="Normal 8 3 2 2_Jurisdictional Study" xfId="10285" xr:uid="{E3E8633B-E9A5-4AF7-8F38-04186DE92413}"/>
    <cellStyle name="Normal 8 3 2 3" xfId="7715" xr:uid="{E938F395-081D-45DE-B765-0BFF2DB1B08F}"/>
    <cellStyle name="Normal 8 3 2 3 2" xfId="7716" xr:uid="{1F615A6C-793A-4A45-8E58-AC99E5AB56C8}"/>
    <cellStyle name="Normal 8 3 2 3_Jurisdictional Study" xfId="10287" xr:uid="{35422508-0D0B-4DCC-8029-22974F166108}"/>
    <cellStyle name="Normal 8 3 2 4" xfId="7717" xr:uid="{EA87B8EB-F868-4590-96E2-9E9E43BF217C}"/>
    <cellStyle name="Normal 8 3 2_Jurisdictional Study" xfId="10284" xr:uid="{5D7D4155-926E-4B76-8475-8261B27A3FC5}"/>
    <cellStyle name="Normal 8 3 3" xfId="7718" xr:uid="{2C2781EB-BA2D-4A66-96EB-509B48EFAA52}"/>
    <cellStyle name="Normal 8 3 3 2" xfId="7719" xr:uid="{991DEBA6-C371-42AA-B52F-236EB60C88DB}"/>
    <cellStyle name="Normal 8 3 3 2 2" xfId="7720" xr:uid="{9DF3151D-497A-4672-9274-4402E4470C1C}"/>
    <cellStyle name="Normal 8 3 3 2_Jurisdictional Study" xfId="10289" xr:uid="{9C46CB09-6766-49B8-8001-56BD2AA78FCD}"/>
    <cellStyle name="Normal 8 3 3 3" xfId="7721" xr:uid="{00A978AC-B94B-4E0C-93D9-D7CED4A6D8F9}"/>
    <cellStyle name="Normal 8 3 3_Jurisdictional Study" xfId="10288" xr:uid="{0F1C76D5-FED3-4A57-93EA-31D4D339FA8B}"/>
    <cellStyle name="Normal 8 3 4" xfId="7722" xr:uid="{3EE6DFFC-CFC0-47D1-9BD7-D652990DCC90}"/>
    <cellStyle name="Normal 8 3 4 2" xfId="7723" xr:uid="{532FE75A-7706-42FA-B87F-EECB33DA07EC}"/>
    <cellStyle name="Normal 8 3 4_Jurisdictional Study" xfId="10290" xr:uid="{F218656D-2CD7-4164-9BCA-F907E7E5C8FA}"/>
    <cellStyle name="Normal 8 3 5" xfId="7724" xr:uid="{165C97FB-F4AB-493C-8250-F944B3470A44}"/>
    <cellStyle name="Normal 8 3_Jurisdictional Study" xfId="10283" xr:uid="{D6BD5385-551F-4DF3-A7D9-BF0E15F3CF26}"/>
    <cellStyle name="Normal 8 4" xfId="7725" xr:uid="{7CA57682-FDDB-4FB5-A5D6-DE75D8333604}"/>
    <cellStyle name="Normal 8 4 2" xfId="7726" xr:uid="{A79CF1C1-A36A-4F45-8D97-693C66F8FF10}"/>
    <cellStyle name="Normal 8 4 2 2" xfId="7727" xr:uid="{FEF76E03-C930-4B2F-AB5A-A0AF6AFB2C1D}"/>
    <cellStyle name="Normal 8 4 2 2 2" xfId="7728" xr:uid="{98992A23-FF54-45C5-8181-03A779585D8B}"/>
    <cellStyle name="Normal 8 4 2 2_Jurisdictional Study" xfId="10293" xr:uid="{3A24A87E-0EBC-45AE-97DF-19939011F926}"/>
    <cellStyle name="Normal 8 4 2 3" xfId="7729" xr:uid="{E4B7951F-F281-4ACD-ABE9-C8F3447A2733}"/>
    <cellStyle name="Normal 8 4 2_Jurisdictional Study" xfId="10292" xr:uid="{DB11C864-AA3D-49EC-A6CB-91E9A31C05F7}"/>
    <cellStyle name="Normal 8 4 3" xfId="7730" xr:uid="{16DECE96-BBA7-48D3-A80E-18D7068D2C68}"/>
    <cellStyle name="Normal 8 4 3 2" xfId="7731" xr:uid="{A6612BE1-7CD8-4A61-9288-28E51921481C}"/>
    <cellStyle name="Normal 8 4 3_Jurisdictional Study" xfId="10294" xr:uid="{1D021DB6-C6DD-4E09-971A-22C5A113103D}"/>
    <cellStyle name="Normal 8 4 4" xfId="7732" xr:uid="{29B97502-1DAF-414B-9F30-F6CC5A1A4C80}"/>
    <cellStyle name="Normal 8 4_Jurisdictional Study" xfId="10291" xr:uid="{87981CD7-1D7C-4EBA-9B6C-68AAF9682F62}"/>
    <cellStyle name="Normal 8 5" xfId="7733" xr:uid="{8D8775F0-4DA0-44D2-920B-E79B12F71E81}"/>
    <cellStyle name="Normal 8 5 2" xfId="7734" xr:uid="{A1B962C8-A564-4E3B-B409-84E4ABB048D7}"/>
    <cellStyle name="Normal 8 5 2 2" xfId="7735" xr:uid="{4354D139-12DE-470B-9355-BDB731CFEA16}"/>
    <cellStyle name="Normal 8 5 2_Jurisdictional Study" xfId="10296" xr:uid="{ED8CB2A9-30E5-49CD-922A-FB335A04EE4E}"/>
    <cellStyle name="Normal 8 5 3" xfId="7736" xr:uid="{237D4DE8-8F5D-4A26-B11F-975E217F31B5}"/>
    <cellStyle name="Normal 8 5_Jurisdictional Study" xfId="10295" xr:uid="{CE211AE5-7092-4A5F-9379-5D159856D8C6}"/>
    <cellStyle name="Normal 8 6" xfId="7737" xr:uid="{6C5AFE72-48FF-4527-B540-2E93F2F881F4}"/>
    <cellStyle name="Normal 8 6 2" xfId="7738" xr:uid="{FC5CF85F-DA28-4FDD-B600-EDF772AFA6C9}"/>
    <cellStyle name="Normal 8 6_Jurisdictional Study" xfId="10297" xr:uid="{259D2E13-EF07-48BA-AC28-4929A1058559}"/>
    <cellStyle name="Normal 8 7" xfId="7739" xr:uid="{39DC2B2E-4B9D-4FF0-AE2F-663433B62A74}"/>
    <cellStyle name="Normal 8 8" xfId="7676" xr:uid="{AC81316B-9A85-4E18-9A21-9F581C2B6960}"/>
    <cellStyle name="Normal 8_Jurisdictional Study" xfId="10266" xr:uid="{ED45B327-B1B4-4F70-AE3F-5C15458A9241}"/>
    <cellStyle name="Normal 9" xfId="332" xr:uid="{29E4DAC0-79E9-4D54-AE2D-9A170CA667D2}"/>
    <cellStyle name="Normal 9 2" xfId="333" xr:uid="{EF8BC056-AEDA-4AAF-BD6F-2F6190F8B0F3}"/>
    <cellStyle name="Normal 9 2 2" xfId="626" xr:uid="{6DFC04F7-AFED-47D5-8CDA-0115D549BBFB}"/>
    <cellStyle name="Normal 9 2 2 2" xfId="2040" xr:uid="{EEEC9CA0-C12C-4CC9-B385-AB5FD1975C43}"/>
    <cellStyle name="Normal 9 2 2 2 2" xfId="7744" xr:uid="{4FED2EA8-22A6-4F45-A2BC-D119895221E3}"/>
    <cellStyle name="Normal 9 2 2 2 2 2" xfId="7745" xr:uid="{9897526A-6F13-42E7-B9C3-29140FC95B72}"/>
    <cellStyle name="Normal 9 2 2 2 2 2 2" xfId="7746" xr:uid="{EEE56C0A-D3B5-401C-9566-FE84C497288A}"/>
    <cellStyle name="Normal 9 2 2 2 2 2_Jurisdictional Study" xfId="10303" xr:uid="{CEE84DBA-DD07-4038-B660-1BD89F347757}"/>
    <cellStyle name="Normal 9 2 2 2 2 3" xfId="7747" xr:uid="{56948685-D784-45F2-B5E2-0A78C89EAB5D}"/>
    <cellStyle name="Normal 9 2 2 2 2_Jurisdictional Study" xfId="10302" xr:uid="{81FD866D-60AB-455C-AA44-0D520CD1E935}"/>
    <cellStyle name="Normal 9 2 2 2 3" xfId="7748" xr:uid="{6BBF52CE-BC0C-4860-87CF-755F8FE6B7CC}"/>
    <cellStyle name="Normal 9 2 2 2 3 2" xfId="7749" xr:uid="{0C365153-DA70-4297-8B73-E20C94235540}"/>
    <cellStyle name="Normal 9 2 2 2 3_Jurisdictional Study" xfId="10304" xr:uid="{C59AA5FB-C82D-49CB-9A4B-16B1556F8A55}"/>
    <cellStyle name="Normal 9 2 2 2 4" xfId="7750" xr:uid="{98193D1D-7113-48B3-8D60-30BA8E2986BD}"/>
    <cellStyle name="Normal 9 2 2 2 5" xfId="7743" xr:uid="{75110972-1694-4F54-8D2C-546A756299C0}"/>
    <cellStyle name="Normal 9 2 2 2_Jurisdictional Study" xfId="10301" xr:uid="{31ED267D-1C35-486F-AE86-83B6D81B7F3F}"/>
    <cellStyle name="Normal 9 2 2 3" xfId="7751" xr:uid="{820D054A-408D-4F6C-8BB1-2EA1280FAA4E}"/>
    <cellStyle name="Normal 9 2 2 3 2" xfId="7752" xr:uid="{393D1484-6A48-4B07-9E47-307ACBF481AA}"/>
    <cellStyle name="Normal 9 2 2 3 2 2" xfId="7753" xr:uid="{2F1FDC6C-742E-411F-B2A7-9F478D4A1A9F}"/>
    <cellStyle name="Normal 9 2 2 3 2_Jurisdictional Study" xfId="10306" xr:uid="{A437081B-5039-41FC-8E18-CE361C10896D}"/>
    <cellStyle name="Normal 9 2 2 3 3" xfId="7754" xr:uid="{ED640AEA-2411-40D3-8FB3-B3A63FD40E92}"/>
    <cellStyle name="Normal 9 2 2 3_Jurisdictional Study" xfId="10305" xr:uid="{C501536B-65E2-49BE-8364-3B6557AE9083}"/>
    <cellStyle name="Normal 9 2 2 4" xfId="7755" xr:uid="{E54C9D5D-98EB-4434-8003-D20A8DB03FF0}"/>
    <cellStyle name="Normal 9 2 2 4 2" xfId="7756" xr:uid="{B079FAFF-88C0-4D1E-9D7D-3FE7FBECE628}"/>
    <cellStyle name="Normal 9 2 2 4_Jurisdictional Study" xfId="10307" xr:uid="{B967F146-915A-44CC-B3BE-64C72B6833C4}"/>
    <cellStyle name="Normal 9 2 2 5" xfId="7757" xr:uid="{28964F1A-3CD0-48B4-BE2A-43F396872751}"/>
    <cellStyle name="Normal 9 2 2 6" xfId="7742" xr:uid="{DB48E5CC-A544-4A29-9607-597280825383}"/>
    <cellStyle name="Normal 9 2 2_Jurisdictional Study" xfId="10300" xr:uid="{49D59C3C-AB6D-46F6-AB2A-597FF0AEF117}"/>
    <cellStyle name="Normal 9 2 3" xfId="1896" xr:uid="{79BD4841-3B38-43A8-8CBB-79F1D09CEAB7}"/>
    <cellStyle name="Normal 9 2 3 2" xfId="7759" xr:uid="{E96B62EE-1B54-42C4-9413-02CA5784D0E3}"/>
    <cellStyle name="Normal 9 2 3 2 2" xfId="7760" xr:uid="{2A2DE51E-88A8-4E7F-ADF2-55A51F929AFD}"/>
    <cellStyle name="Normal 9 2 3 2 2 2" xfId="7761" xr:uid="{DFE4CC8D-D81D-4099-81E6-66DB0E20D314}"/>
    <cellStyle name="Normal 9 2 3 2 2_Jurisdictional Study" xfId="10310" xr:uid="{FDCB362B-95C6-40D1-9900-56EDBEB393D8}"/>
    <cellStyle name="Normal 9 2 3 2 3" xfId="7762" xr:uid="{3199BB25-1E88-4BD3-AF42-158AE3F71415}"/>
    <cellStyle name="Normal 9 2 3 2_Jurisdictional Study" xfId="10309" xr:uid="{163F1E81-AF7B-48EB-8FC2-520818527586}"/>
    <cellStyle name="Normal 9 2 3 3" xfId="7763" xr:uid="{45204189-A5A7-4968-962D-B10B0D50DC19}"/>
    <cellStyle name="Normal 9 2 3 3 2" xfId="7764" xr:uid="{D43D8748-977A-4DDC-918A-8F84267936ED}"/>
    <cellStyle name="Normal 9 2 3 3_Jurisdictional Study" xfId="10311" xr:uid="{C80FCEEB-7B13-42BB-A95C-801B61F6BCCF}"/>
    <cellStyle name="Normal 9 2 3 4" xfId="7765" xr:uid="{1EDFF372-009E-44AE-9D88-CAF252824A21}"/>
    <cellStyle name="Normal 9 2 3 5" xfId="7758" xr:uid="{79A2B32C-BBF5-45EF-8BA3-50D4E38B83F3}"/>
    <cellStyle name="Normal 9 2 3_Jurisdictional Study" xfId="10308" xr:uid="{6EA499C8-44A9-4F62-ABD2-3C13E326B462}"/>
    <cellStyle name="Normal 9 2 4" xfId="7766" xr:uid="{D94CA477-636F-4047-8397-0D86A29779FE}"/>
    <cellStyle name="Normal 9 2 4 2" xfId="7767" xr:uid="{05F3547A-4374-4EEE-84C3-CF5FFB308431}"/>
    <cellStyle name="Normal 9 2 4 2 2" xfId="7768" xr:uid="{F68E536F-3272-40E6-B21C-9370E1999550}"/>
    <cellStyle name="Normal 9 2 4 2_Jurisdictional Study" xfId="10313" xr:uid="{F2B72C97-0A5C-458A-87D5-B0CFA64D5407}"/>
    <cellStyle name="Normal 9 2 4 3" xfId="7769" xr:uid="{05972E58-8EC9-4907-874A-D1EEEA84D281}"/>
    <cellStyle name="Normal 9 2 4_Jurisdictional Study" xfId="10312" xr:uid="{04065905-AEFD-48A9-B09A-5A5A2CA54D37}"/>
    <cellStyle name="Normal 9 2 5" xfId="7770" xr:uid="{26213B59-E5BD-4D5B-ACF2-0A38EA51D2D9}"/>
    <cellStyle name="Normal 9 2 5 2" xfId="7771" xr:uid="{BD5B806E-79A4-4468-89C2-3282BD16C175}"/>
    <cellStyle name="Normal 9 2 5_Jurisdictional Study" xfId="10314" xr:uid="{FA13A0A3-5D22-46C2-877A-0BDEC337815A}"/>
    <cellStyle name="Normal 9 2 6" xfId="7772" xr:uid="{ACC53550-D386-4594-B5E2-D16CFD765FCF}"/>
    <cellStyle name="Normal 9 2 7" xfId="7741" xr:uid="{773DE5DE-0A79-4868-9229-4D4B42F60191}"/>
    <cellStyle name="Normal 9 2_Jurisdictional Study" xfId="10299" xr:uid="{6BE547CF-2B42-4500-82BE-AE36BE5AE1CF}"/>
    <cellStyle name="Normal 9 3" xfId="625" xr:uid="{CAE0EC89-E4B4-49B9-9387-62CE32EFB153}"/>
    <cellStyle name="Normal 9 3 2" xfId="2039" xr:uid="{48AA415D-4B8E-46EE-8E99-7EC4CE2AE045}"/>
    <cellStyle name="Normal 9 3 2 2" xfId="7775" xr:uid="{FED89917-1A77-489F-AE25-0CC9B9B4A084}"/>
    <cellStyle name="Normal 9 3 2 2 2" xfId="7776" xr:uid="{E1F1A01C-684B-45F9-95E2-012CAE466624}"/>
    <cellStyle name="Normal 9 3 2 2 2 2" xfId="7777" xr:uid="{85042170-39B7-494E-BEB7-A588C4FE391E}"/>
    <cellStyle name="Normal 9 3 2 2 2_Jurisdictional Study" xfId="10318" xr:uid="{1EBF5C83-0D9C-4A06-87B0-578B040A82F7}"/>
    <cellStyle name="Normal 9 3 2 2 3" xfId="7778" xr:uid="{D0EB15AB-3F96-495C-AF9C-9E408D5E9BA2}"/>
    <cellStyle name="Normal 9 3 2 2_Jurisdictional Study" xfId="10317" xr:uid="{DCFC87BC-63A4-42C5-A242-3830541D2366}"/>
    <cellStyle name="Normal 9 3 2 3" xfId="7779" xr:uid="{97EF8B7D-A12F-4327-BA9F-9C727EC78EE2}"/>
    <cellStyle name="Normal 9 3 2 3 2" xfId="7780" xr:uid="{840E7AE8-C463-49D3-9C70-68E27220EA00}"/>
    <cellStyle name="Normal 9 3 2 3_Jurisdictional Study" xfId="10319" xr:uid="{D129B09F-32F7-4A98-99D6-3B54588132CF}"/>
    <cellStyle name="Normal 9 3 2 4" xfId="7781" xr:uid="{6EEF266C-DEBE-4EF3-BB75-4BE305BCCDDD}"/>
    <cellStyle name="Normal 9 3 2 5" xfId="7774" xr:uid="{6912A17B-7080-4EED-96CA-40CF8A327AF6}"/>
    <cellStyle name="Normal 9 3 2_Jurisdictional Study" xfId="10316" xr:uid="{BB49839C-6880-4AE8-BF38-F3000C731977}"/>
    <cellStyle name="Normal 9 3 3" xfId="7782" xr:uid="{72701DAC-EE95-4AA1-9FF4-4571650B84E4}"/>
    <cellStyle name="Normal 9 3 3 2" xfId="7783" xr:uid="{92AD5E72-D9E5-4698-BA07-10173588ADD4}"/>
    <cellStyle name="Normal 9 3 3 2 2" xfId="7784" xr:uid="{590C30D5-067E-4E3F-A1AD-EC1956146EF8}"/>
    <cellStyle name="Normal 9 3 3 2_Jurisdictional Study" xfId="10321" xr:uid="{32F53E75-BADB-4038-9986-4F8E1402034D}"/>
    <cellStyle name="Normal 9 3 3 3" xfId="7785" xr:uid="{D5E8AAC3-F07C-4847-8446-F6571240F440}"/>
    <cellStyle name="Normal 9 3 3_Jurisdictional Study" xfId="10320" xr:uid="{DB2582FF-92FD-4B6D-8497-0DD4A52C6FA7}"/>
    <cellStyle name="Normal 9 3 4" xfId="7786" xr:uid="{FC1FA1E1-33B3-4EB8-8E91-507A061FF3F5}"/>
    <cellStyle name="Normal 9 3 4 2" xfId="7787" xr:uid="{3D21D16A-3F73-4BEE-A852-7A06492F0B09}"/>
    <cellStyle name="Normal 9 3 4_Jurisdictional Study" xfId="10322" xr:uid="{AC1DBC48-1253-404C-9A30-F0C7F76F2871}"/>
    <cellStyle name="Normal 9 3 5" xfId="7788" xr:uid="{7D2C22EF-372F-4319-8D13-7EDAB0A00BA7}"/>
    <cellStyle name="Normal 9 3 6" xfId="7773" xr:uid="{E7D85666-DDFF-4201-AC7C-9F1AC5BA0CC6}"/>
    <cellStyle name="Normal 9 3_Jurisdictional Study" xfId="10315" xr:uid="{91C38428-4CA4-4004-8979-C81C72FFA229}"/>
    <cellStyle name="Normal 9 4" xfId="1895" xr:uid="{23398C55-EB4F-470B-8C43-983816443CB6}"/>
    <cellStyle name="Normal 9 4 2" xfId="7790" xr:uid="{BCD80295-1DC4-4696-9D71-12810B3DCB54}"/>
    <cellStyle name="Normal 9 4 2 2" xfId="7791" xr:uid="{DBDAC087-6229-49CD-B09A-610F44C992E5}"/>
    <cellStyle name="Normal 9 4 2 2 2" xfId="7792" xr:uid="{50460E9A-0A08-49C7-B9AC-86BA02D70EF1}"/>
    <cellStyle name="Normal 9 4 2 2_Jurisdictional Study" xfId="10325" xr:uid="{5DC3CA1C-AA6E-42BD-92A2-A040BDE72117}"/>
    <cellStyle name="Normal 9 4 2 3" xfId="7793" xr:uid="{692E587A-0968-423A-BB0A-B76F7667F49F}"/>
    <cellStyle name="Normal 9 4 2_Jurisdictional Study" xfId="10324" xr:uid="{F62E111C-F4D4-4C8A-A129-74160356E0E6}"/>
    <cellStyle name="Normal 9 4 3" xfId="7794" xr:uid="{2541D4DE-A59D-491D-92E3-AC019CCA9B36}"/>
    <cellStyle name="Normal 9 4 3 2" xfId="7795" xr:uid="{C3998D6E-8790-4F24-A9A1-24DE7471B6AF}"/>
    <cellStyle name="Normal 9 4 3_Jurisdictional Study" xfId="10326" xr:uid="{204C3268-F125-4307-8290-8676D68A5A5E}"/>
    <cellStyle name="Normal 9 4 4" xfId="7796" xr:uid="{3C141A87-3AEA-415B-8E3A-12D5D21A6602}"/>
    <cellStyle name="Normal 9 4 5" xfId="7789" xr:uid="{AD463FB9-25A5-47F2-9129-A92B40CF32B0}"/>
    <cellStyle name="Normal 9 4_Jurisdictional Study" xfId="10323" xr:uid="{CE52F4FE-68FA-4F1B-8D6D-D8C7B544E4C5}"/>
    <cellStyle name="Normal 9 5" xfId="7797" xr:uid="{7918DB88-9378-43FC-9522-6EE3C8D3AD6E}"/>
    <cellStyle name="Normal 9 5 2" xfId="7798" xr:uid="{AA000BD7-BA4A-45C8-B7C7-1BE85AD875D4}"/>
    <cellStyle name="Normal 9 5 2 2" xfId="7799" xr:uid="{BD8D3B03-A86A-41D1-9DAB-D27DE174C31F}"/>
    <cellStyle name="Normal 9 5 2_Jurisdictional Study" xfId="10328" xr:uid="{DA7AFA64-476B-4CD4-9226-14B5FD02A50D}"/>
    <cellStyle name="Normal 9 5 3" xfId="7800" xr:uid="{23CC45F4-B2F4-4B72-814A-D2C9A53B67DA}"/>
    <cellStyle name="Normal 9 5_Jurisdictional Study" xfId="10327" xr:uid="{CD193D6F-E074-406F-9B4F-C2022D69730E}"/>
    <cellStyle name="Normal 9 6" xfId="7801" xr:uid="{D2CD844F-8953-4AC8-B7D5-06582A823027}"/>
    <cellStyle name="Normal 9 6 2" xfId="7802" xr:uid="{A9BE4136-B15B-4ABE-92AB-60B77D01DFAF}"/>
    <cellStyle name="Normal 9 6_Jurisdictional Study" xfId="10329" xr:uid="{6EE2F83A-5297-4244-AE00-10AC6D0F4C73}"/>
    <cellStyle name="Normal 9 7" xfId="7803" xr:uid="{4BDCB700-733B-47E8-AA19-F90CB2677926}"/>
    <cellStyle name="Normal 9 8" xfId="7740" xr:uid="{2AF87F1D-F038-4E1F-A08F-BF3750320E85}"/>
    <cellStyle name="Normal 9_Jurisdictional Study" xfId="10298" xr:uid="{7DC1F71E-053B-438C-80E5-34C49AC6E0B1}"/>
    <cellStyle name="Note" xfId="60" builtinId="10" customBuiltin="1"/>
    <cellStyle name="Note 10" xfId="404" xr:uid="{8D4E6A8A-8B48-482D-B2FF-3A180A28D504}"/>
    <cellStyle name="Note 10 10" xfId="2995" xr:uid="{FEF8FFE8-C541-4F22-AC0F-6765760CD5E8}"/>
    <cellStyle name="Note 10 11" xfId="3087" xr:uid="{DBA76694-4146-4C52-8C8E-D807C09693AA}"/>
    <cellStyle name="Note 10 2" xfId="960" xr:uid="{2FAA6A61-6145-426C-8A6C-135E90D41268}"/>
    <cellStyle name="Note 10 2 10" xfId="2685" xr:uid="{14F32203-40AC-4FD4-9DD1-1165C553954C}"/>
    <cellStyle name="Note 10 2 2" xfId="1085" xr:uid="{8C7025E0-7BCB-46C1-AE9B-44F00F3B6EF6}"/>
    <cellStyle name="Note 10 2 3" xfId="1159" xr:uid="{DA891320-5686-4DF0-A2C3-AAFDF6464E87}"/>
    <cellStyle name="Note 10 2 4" xfId="1343" xr:uid="{F99E51BE-B515-423B-9321-5D314EE6FA9B}"/>
    <cellStyle name="Note 10 2 5" xfId="1458" xr:uid="{1F536D15-0009-4636-8F91-EC870B1E40D4}"/>
    <cellStyle name="Note 10 2 6" xfId="1662" xr:uid="{7D63D324-3926-4FD1-9FF3-C8A1268E1DB6}"/>
    <cellStyle name="Note 10 2 7" xfId="2450" xr:uid="{0B915F58-C798-46FE-872F-8238C4D683DF}"/>
    <cellStyle name="Note 10 2 8" xfId="2773" xr:uid="{C9B6EABC-D3F9-4CE6-9A27-60765A3CD21D}"/>
    <cellStyle name="Note 10 2 9" xfId="2407" xr:uid="{3AF9B13A-F173-4C99-B29C-E410E850FF00}"/>
    <cellStyle name="Note 10 2_Jurisdictional Study" xfId="10331" xr:uid="{8DE4D81D-9B23-4956-9A62-C824591499A5}"/>
    <cellStyle name="Note 10 3" xfId="1091" xr:uid="{3E724926-A0B4-4764-B6AF-C13A1C5B0F98}"/>
    <cellStyle name="Note 10 4" xfId="1166" xr:uid="{F2A089C4-3435-4F20-8380-1155317F9F9A}"/>
    <cellStyle name="Note 10 5" xfId="1219" xr:uid="{4C56AE85-8658-495E-9A0F-9427B2D2DAD0}"/>
    <cellStyle name="Note 10 6" xfId="1510" xr:uid="{EEC07A28-6566-4E1C-8C3F-226E2A17B41B}"/>
    <cellStyle name="Note 10 7" xfId="1165" xr:uid="{99EA7341-0586-4CA2-89B9-6F4BA925C624}"/>
    <cellStyle name="Note 10 8" xfId="2238" xr:uid="{E4D356FF-F004-4A49-9A1E-541A3F544429}"/>
    <cellStyle name="Note 10 9" xfId="2636" xr:uid="{3B481E0E-D358-4D83-899B-9B799C469271}"/>
    <cellStyle name="Note 10_Jurisdictional Study" xfId="10330" xr:uid="{0B122517-FA71-4C98-A7A4-39B3A3C34B4D}"/>
    <cellStyle name="Note 11" xfId="406" xr:uid="{61947C4F-2103-45D8-8200-689162BD750E}"/>
    <cellStyle name="Note 11 10" xfId="2926" xr:uid="{87DE2DEF-EE40-4F17-9FFE-2E561312F33C}"/>
    <cellStyle name="Note 11 11" xfId="1966" xr:uid="{008E7CB1-F2B9-4B99-B197-341B97B4A19F}"/>
    <cellStyle name="Note 11 2" xfId="962" xr:uid="{70B7AAB5-05A6-4058-A961-45446DFF0963}"/>
    <cellStyle name="Note 11 2 10" xfId="3010" xr:uid="{DA7C016B-61CA-455C-A6D8-7F8F154A134A}"/>
    <cellStyle name="Note 11 2 2" xfId="534" xr:uid="{16E7B256-2EE8-4B73-81A5-B971EE4D157F}"/>
    <cellStyle name="Note 11 2 3" xfId="805" xr:uid="{815D2CFD-61C5-4180-986F-A0CF1C4975A8}"/>
    <cellStyle name="Note 11 2 4" xfId="1345" xr:uid="{C100455F-CA4F-48B8-91C5-F86D2605EC12}"/>
    <cellStyle name="Note 11 2 5" xfId="578" xr:uid="{62B38387-ACE5-4317-AD37-4BAE6B657826}"/>
    <cellStyle name="Note 11 2 6" xfId="1664" xr:uid="{5CBB5722-0966-431E-ADB2-CBB143AA2974}"/>
    <cellStyle name="Note 11 2 7" xfId="2452" xr:uid="{67AF7C26-F93B-481E-923C-06790D3D1A8C}"/>
    <cellStyle name="Note 11 2 8" xfId="2775" xr:uid="{DC2EFB4D-E6C4-4A4A-B0B6-C19151FE0E03}"/>
    <cellStyle name="Note 11 2 9" xfId="2996" xr:uid="{A34F7C15-9101-4556-989C-0DE2AC168E36}"/>
    <cellStyle name="Note 11 2_Jurisdictional Study" xfId="10333" xr:uid="{01D0B794-1741-4BB2-A12A-1361BA2812A3}"/>
    <cellStyle name="Note 11 3" xfId="1088" xr:uid="{81459207-13EB-4445-A748-151D4D42CE35}"/>
    <cellStyle name="Note 11 4" xfId="1162" xr:uid="{748B86A7-4A23-46F7-95A4-41916E48A441}"/>
    <cellStyle name="Note 11 5" xfId="1221" xr:uid="{61BB909B-9373-41E1-81FC-5E7A3893CDEA}"/>
    <cellStyle name="Note 11 6" xfId="1484" xr:uid="{B2462035-D4A1-48FA-863E-63B390841BB9}"/>
    <cellStyle name="Note 11 7" xfId="1100" xr:uid="{DA9C64B5-AE21-4E2D-A437-7E8E08C3F586}"/>
    <cellStyle name="Note 11 8" xfId="2177" xr:uid="{36CE0A8E-7208-4CAE-8984-7D5FA72DB5C8}"/>
    <cellStyle name="Note 11 9" xfId="2118" xr:uid="{4A4A9BB9-CCAE-420E-9D50-B5981240894F}"/>
    <cellStyle name="Note 11_Jurisdictional Study" xfId="10332" xr:uid="{F99AB443-5365-477D-9BE7-E5B552AB2860}"/>
    <cellStyle name="Note 12" xfId="405" xr:uid="{D19223DD-8357-4F1E-9DC4-BD58B5F42570}"/>
    <cellStyle name="Note 12 10" xfId="2860" xr:uid="{AB79471A-E0E3-4437-BC23-0E5920237F9D}"/>
    <cellStyle name="Note 12 11" xfId="2077" xr:uid="{BE5F5B66-3526-453E-B991-9090ACFC3504}"/>
    <cellStyle name="Note 12 2" xfId="961" xr:uid="{F8A34C33-3E91-4C1A-8370-7F00E1F1B507}"/>
    <cellStyle name="Note 12 2 10" xfId="3092" xr:uid="{0179951B-D7B5-4BAE-81A6-D057EEF65F15}"/>
    <cellStyle name="Note 12 2 2" xfId="1056" xr:uid="{A913E186-641D-4065-A9AB-1B09C4E8EAB7}"/>
    <cellStyle name="Note 12 2 3" xfId="1130" xr:uid="{B2C36063-39D1-49FA-8740-8738F8AF8D0A}"/>
    <cellStyle name="Note 12 2 4" xfId="1344" xr:uid="{4046ED3A-46F5-486A-8A49-4B02FC5E7086}"/>
    <cellStyle name="Note 12 2 5" xfId="663" xr:uid="{A76A0AB6-088C-4163-8ACC-6036520A9AD3}"/>
    <cellStyle name="Note 12 2 6" xfId="1663" xr:uid="{C482FA4F-E21D-484F-AFE4-06A026C37CEC}"/>
    <cellStyle name="Note 12 2 7" xfId="2451" xr:uid="{743D0823-4B0D-4509-A24A-E3767D13768A}"/>
    <cellStyle name="Note 12 2 8" xfId="2774" xr:uid="{F71C9279-20C6-4534-A3DC-14D97784ED6F}"/>
    <cellStyle name="Note 12 2 9" xfId="2854" xr:uid="{FCC5366A-B019-4548-9602-D0A13FA89264}"/>
    <cellStyle name="Note 12 2_Jurisdictional Study" xfId="10335" xr:uid="{8CA7E75F-22C0-49D5-B7D5-318BE8B7BAF4}"/>
    <cellStyle name="Note 12 3" xfId="511" xr:uid="{4B941F79-062D-4CE0-AF61-5C5156F58C13}"/>
    <cellStyle name="Note 12 4" xfId="648" xr:uid="{9ACDBF90-8244-40E2-BDEA-7DCF3F5811E8}"/>
    <cellStyle name="Note 12 5" xfId="1220" xr:uid="{9F73BA9B-AAB4-4F77-BB0C-DF27D70A4937}"/>
    <cellStyle name="Note 12 6" xfId="1424" xr:uid="{F70F73D2-D5F0-4A7F-BC0A-491068E9D744}"/>
    <cellStyle name="Note 12 7" xfId="1417" xr:uid="{CDEB3E58-0613-4535-A51E-98D50C59F1D3}"/>
    <cellStyle name="Note 12 8" xfId="2303" xr:uid="{64EAF30B-9578-488C-B5DE-69E0FAB40A32}"/>
    <cellStyle name="Note 12 9" xfId="1946" xr:uid="{82B83B65-466B-445B-A414-20416C743AD9}"/>
    <cellStyle name="Note 12_Jurisdictional Study" xfId="10334" xr:uid="{76252A67-C5F4-41EA-A9CE-52B7879C0921}"/>
    <cellStyle name="Note 13" xfId="380" xr:uid="{AE5A460D-29D1-4346-9A14-88776582473B}"/>
    <cellStyle name="Note 13 10" xfId="2845" xr:uid="{D5E40614-4673-432F-A38A-F6C1EF184969}"/>
    <cellStyle name="Note 13 11" xfId="3089" xr:uid="{27F20A80-42B8-4751-9648-DD1A167C67A1}"/>
    <cellStyle name="Note 13 2" xfId="937" xr:uid="{7747C3A1-DD2F-4771-AB62-624633CBC62A}"/>
    <cellStyle name="Note 13 2 10" xfId="2139" xr:uid="{B8AC0E8A-741A-411E-8B53-32558032F57B}"/>
    <cellStyle name="Note 13 2 2" xfId="1035" xr:uid="{2D64F590-7FAC-4C6E-A8CF-95740A08D09E}"/>
    <cellStyle name="Note 13 2 3" xfId="808" xr:uid="{3ABA9B77-A19C-445C-9074-D14047821408}"/>
    <cellStyle name="Note 13 2 4" xfId="1320" xr:uid="{BEA7A7CC-9B04-4FAC-81A2-4A49189046C9}"/>
    <cellStyle name="Note 13 2 5" xfId="587" xr:uid="{F61EB077-7474-4459-B129-570EE9E9D410}"/>
    <cellStyle name="Note 13 2 6" xfId="1639" xr:uid="{E8AD28B2-15D1-4CF9-8CB4-029AC20FAF4A}"/>
    <cellStyle name="Note 13 2 7" xfId="2427" xr:uid="{AB29ACE4-F984-48EB-BF10-13F454A1AF6A}"/>
    <cellStyle name="Note 13 2 8" xfId="2750" xr:uid="{BFB68D1B-CE4C-4D6C-B9A1-4DE14583D225}"/>
    <cellStyle name="Note 13 2 9" xfId="2876" xr:uid="{DD5B081C-F0B8-4EEC-BD3A-E637512B4721}"/>
    <cellStyle name="Note 13 2_Jurisdictional Study" xfId="10337" xr:uid="{F8A81AEA-C212-4091-8490-77CF90C34A4F}"/>
    <cellStyle name="Note 13 3" xfId="518" xr:uid="{F2B53199-EBC6-4206-B4E1-8C2EDB2D254F}"/>
    <cellStyle name="Note 13 4" xfId="546" xr:uid="{6B81562B-48D9-432D-8817-2C36F2C3D9E2}"/>
    <cellStyle name="Note 13 5" xfId="1195" xr:uid="{7BAB9D51-BEAC-458D-A32D-AB70F7A3C14D}"/>
    <cellStyle name="Note 13 6" xfId="1132" xr:uid="{E87BCAB3-CED8-4F2B-8B80-B142FEAFC6C7}"/>
    <cellStyle name="Note 13 7" xfId="691" xr:uid="{DB3B0842-5712-4CC7-AB0F-70E7D5DA2E87}"/>
    <cellStyle name="Note 13 8" xfId="2287" xr:uid="{0F376310-7B65-44A3-A036-C9B52FA62FC8}"/>
    <cellStyle name="Note 13 9" xfId="2720" xr:uid="{C165FAED-D7BC-49AA-9181-62E138E38839}"/>
    <cellStyle name="Note 13_Jurisdictional Study" xfId="10336" xr:uid="{78F379C7-BC67-425A-9016-4E581D0B5131}"/>
    <cellStyle name="Note 14" xfId="443" xr:uid="{763C7779-C0AB-424F-88DF-BF5080CCACE7}"/>
    <cellStyle name="Note 14 10" xfId="2277" xr:uid="{8DF66DF7-D02F-4748-BCD4-8DA172188163}"/>
    <cellStyle name="Note 14 11" xfId="3102" xr:uid="{85BC2A74-0DB0-452C-AEBF-F87C8B4A6DDF}"/>
    <cellStyle name="Note 14 2" xfId="996" xr:uid="{0500F5C6-9C0C-4F05-B89F-28388A509168}"/>
    <cellStyle name="Note 14 2 10" xfId="3128" xr:uid="{51AA1251-494B-487D-B934-FCF1E319676C}"/>
    <cellStyle name="Note 14 2 2" xfId="829" xr:uid="{83517285-12D4-48A2-B727-0EA4335B52E1}"/>
    <cellStyle name="Note 14 2 3" xfId="635" xr:uid="{9FA3C459-ABF7-4918-8B74-F23A8433E587}"/>
    <cellStyle name="Note 14 2 4" xfId="1378" xr:uid="{9A90633F-4738-4B07-B5EE-193A324F5A33}"/>
    <cellStyle name="Note 14 2 5" xfId="1549" xr:uid="{F743FAD9-42ED-40D1-AC6C-63D4CCB9749C}"/>
    <cellStyle name="Note 14 2 6" xfId="1696" xr:uid="{40F8E003-2A5E-4755-8C13-EBF3460E3AD7}"/>
    <cellStyle name="Note 14 2 7" xfId="2485" xr:uid="{4DA57932-F43F-4D1D-BDB4-EE955BF5CC9E}"/>
    <cellStyle name="Note 14 2 8" xfId="2807" xr:uid="{D28631C3-EA34-4267-8C06-41AEAA98D5B9}"/>
    <cellStyle name="Note 14 2 9" xfId="2738" xr:uid="{ADFD738C-6210-4D9E-A51F-193EDDD1952F}"/>
    <cellStyle name="Note 14 2_Jurisdictional Study" xfId="10339" xr:uid="{EA05A5D8-4652-4672-B800-03F66E37361B}"/>
    <cellStyle name="Note 14 3" xfId="920" xr:uid="{E7085DE2-B982-4380-A586-96A3026D3974}"/>
    <cellStyle name="Note 14 4" xfId="510" xr:uid="{E9C73EBA-830E-473F-8833-A1FCCCB3C6E5}"/>
    <cellStyle name="Note 14 5" xfId="1257" xr:uid="{CFC6220D-5729-4DA3-8F02-3E6B7DD095F1}"/>
    <cellStyle name="Note 14 6" xfId="1533" xr:uid="{7679ACB3-40A3-4947-BE44-AF8BA05F053C}"/>
    <cellStyle name="Note 14 7" xfId="1596" xr:uid="{62E21102-CF19-451C-A692-D07BF8B46126}"/>
    <cellStyle name="Note 14 8" xfId="1729" xr:uid="{1CE5D1BE-63CA-493F-B8F4-6FAD90A403F1}"/>
    <cellStyle name="Note 14 9" xfId="1918" xr:uid="{F6FB6F20-5534-46A3-B8E8-D5A15C0AFE04}"/>
    <cellStyle name="Note 14_Jurisdictional Study" xfId="10338" xr:uid="{A7B026E6-0446-4EED-A411-63BF1569CD45}"/>
    <cellStyle name="Note 15" xfId="389" xr:uid="{9BC6A8B2-F074-4D87-BB0E-D4180571B23F}"/>
    <cellStyle name="Note 15 10" xfId="1970" xr:uid="{DB7C3D3F-D173-4F08-A453-FB4A91FFBD41}"/>
    <cellStyle name="Note 15 11" xfId="3030" xr:uid="{EF25F762-6AC2-49BC-8643-A8B7FB88239A}"/>
    <cellStyle name="Note 15 2" xfId="946" xr:uid="{886B6E33-FB32-4B92-A7EF-BC3255503D05}"/>
    <cellStyle name="Note 15 2 10" xfId="2347" xr:uid="{1AA5FC82-BAF1-4298-B6DA-8B77A8011E2D}"/>
    <cellStyle name="Note 15 2 2" xfId="918" xr:uid="{4CF8C734-B310-4174-867A-CC896B0CCC15}"/>
    <cellStyle name="Note 15 2 3" xfId="788" xr:uid="{D67DC56C-7805-4DFD-ACA1-8DD94F7D4D81}"/>
    <cellStyle name="Note 15 2 4" xfId="1329" xr:uid="{4FD1B736-D3D4-45E3-B1DC-55639C104EAA}"/>
    <cellStyle name="Note 15 2 5" xfId="1092" xr:uid="{680711A6-244F-49DC-9217-BDE38A238F34}"/>
    <cellStyle name="Note 15 2 6" xfId="1648" xr:uid="{653C83EE-235F-4698-AE06-2454168C734F}"/>
    <cellStyle name="Note 15 2 7" xfId="2436" xr:uid="{2D5F980E-F84D-4638-B61A-4F82B18F8298}"/>
    <cellStyle name="Note 15 2 8" xfId="2759" xr:uid="{DFEE47F8-4603-402F-B935-6AC6F4DA58CC}"/>
    <cellStyle name="Note 15 2 9" xfId="2954" xr:uid="{A745C3C0-83BC-4414-9F48-3089CA2CDA30}"/>
    <cellStyle name="Note 15 2_Jurisdictional Study" xfId="10341" xr:uid="{45EEBBBA-953D-49C5-B88E-6A272DF6E1BA}"/>
    <cellStyle name="Note 15 3" xfId="839" xr:uid="{F25A88D2-8F73-4CCD-BA0B-162C91E728D0}"/>
    <cellStyle name="Note 15 4" xfId="699" xr:uid="{1AA42A43-AB81-4857-8DF6-4AC7FAB6D828}"/>
    <cellStyle name="Note 15 5" xfId="1204" xr:uid="{30C7EDB0-F458-4D2A-8368-E21A6E26CD1C}"/>
    <cellStyle name="Note 15 6" xfId="1428" xr:uid="{99AC6B3E-C6CA-4500-B839-9ADBD089CFAA}"/>
    <cellStyle name="Note 15 7" xfId="1492" xr:uid="{4D9D73FB-2B35-49E2-8FD6-DB7E64D0F026}"/>
    <cellStyle name="Note 15 8" xfId="1949" xr:uid="{DA36266B-4B9D-458F-B3E7-749716DBD8D3}"/>
    <cellStyle name="Note 15 9" xfId="2658" xr:uid="{78BACA04-6089-4AE2-AEB5-01C8CE4CE233}"/>
    <cellStyle name="Note 15_Jurisdictional Study" xfId="10340" xr:uid="{4FF64B02-145D-4C19-9E20-B35D5D4BFA4B}"/>
    <cellStyle name="Note 16" xfId="420" xr:uid="{01B28294-C3F4-430D-9CC1-1A363D2FBB10}"/>
    <cellStyle name="Note 16 10" xfId="2948" xr:uid="{4304D10E-3C9A-40F3-9280-74A0C8F65066}"/>
    <cellStyle name="Note 16 11" xfId="3054" xr:uid="{26ADD2F1-8847-47D8-B35A-57D3C8FA26CF}"/>
    <cellStyle name="Note 16 2" xfId="975" xr:uid="{AE64760D-1A93-43A6-AB1A-962ACA80D501}"/>
    <cellStyle name="Note 16 2 10" xfId="3106" xr:uid="{C5555D8A-44F4-4ADE-AE9A-77D09886623B}"/>
    <cellStyle name="Note 16 2 2" xfId="916" xr:uid="{7918C3B8-A189-4686-8FD2-1F8EB097568F}"/>
    <cellStyle name="Note 16 2 3" xfId="631" xr:uid="{5E565CA8-0C84-4052-A6D6-3AF26A86B363}"/>
    <cellStyle name="Note 16 2 4" xfId="1358" xr:uid="{17074E9F-3BBB-4D71-B13A-E1A7B9463377}"/>
    <cellStyle name="Note 16 2 5" xfId="862" xr:uid="{95F813C9-2CFD-46EA-9E78-647CF56F2E4A}"/>
    <cellStyle name="Note 16 2 6" xfId="1677" xr:uid="{45AE9419-CB42-447D-BFFB-92F484C274F7}"/>
    <cellStyle name="Note 16 2 7" xfId="2465" xr:uid="{6D768C25-5134-47AD-9504-21656037675B}"/>
    <cellStyle name="Note 16 2 8" xfId="2788" xr:uid="{0BF66E6F-33D1-436D-B2FA-657BB6E653B2}"/>
    <cellStyle name="Note 16 2 9" xfId="2949" xr:uid="{FEE82D8D-2C89-4A66-8F9A-F852DC65D6B2}"/>
    <cellStyle name="Note 16 2_Jurisdictional Study" xfId="10343" xr:uid="{EF154193-D128-4CA1-BC6B-876A4DB9CBE7}"/>
    <cellStyle name="Note 16 3" xfId="807" xr:uid="{5DE7BC69-ACAC-4028-8793-379FDC709D79}"/>
    <cellStyle name="Note 16 4" xfId="500" xr:uid="{C38A3973-FDF1-46F1-A4A2-662F8793EDA6}"/>
    <cellStyle name="Note 16 5" xfId="1235" xr:uid="{BD442D46-40E5-462F-BAD0-31BEA22C4D0F}"/>
    <cellStyle name="Note 16 6" xfId="575" xr:uid="{1BFE5D55-2A70-4DC8-9963-A7EFB7A19772}"/>
    <cellStyle name="Note 16 7" xfId="1137" xr:uid="{99C80E3D-3ED5-46A2-9456-6D891AAA284E}"/>
    <cellStyle name="Note 16 8" xfId="2374" xr:uid="{A641BE43-AFE6-4E3A-A713-B3F7CBF99311}"/>
    <cellStyle name="Note 16 9" xfId="2397" xr:uid="{02C81D56-F838-432A-8D93-326546597C25}"/>
    <cellStyle name="Note 16_Jurisdictional Study" xfId="10342" xr:uid="{582024FC-C545-4656-BED7-627D85A183AD}"/>
    <cellStyle name="Note 17" xfId="374" xr:uid="{8B2F13F7-2354-496B-A546-9A6D56CAC09C}"/>
    <cellStyle name="Note 17 10" xfId="2939" xr:uid="{C7CC4082-6A59-4086-87DF-B4B92BBCB7CD}"/>
    <cellStyle name="Note 17 11" xfId="2520" xr:uid="{D92A35A1-0741-4CC3-96AA-02748126ECED}"/>
    <cellStyle name="Note 17 2" xfId="931" xr:uid="{57661409-A9A3-4F7A-88E4-1353E1827188}"/>
    <cellStyle name="Note 17 2 10" xfId="1956" xr:uid="{3C211B7C-5A8B-47FC-960D-7B06DA51CCC7}"/>
    <cellStyle name="Note 17 2 2" xfId="515" xr:uid="{386FC860-0905-4299-A49B-FC263907CCD8}"/>
    <cellStyle name="Note 17 2 3" xfId="541" xr:uid="{FAA08EE4-1D95-4EF1-8D35-034C5D2479CA}"/>
    <cellStyle name="Note 17 2 4" xfId="1314" xr:uid="{E1A806F0-EDE6-48FB-A9B7-ECF4EA84B770}"/>
    <cellStyle name="Note 17 2 5" xfId="1486" xr:uid="{5159AFFC-E4E2-49C1-8816-55A4BBE3488B}"/>
    <cellStyle name="Note 17 2 6" xfId="1633" xr:uid="{E00D8B5E-4B21-4D74-B9A6-1E6143FFB2F6}"/>
    <cellStyle name="Note 17 2 7" xfId="2421" xr:uid="{9D3CC97F-A6EE-459E-BAD8-F51E4628C5CB}"/>
    <cellStyle name="Note 17 2 8" xfId="2744" xr:uid="{2CD0C8CB-5D2E-4918-B79C-D1FAB67356E9}"/>
    <cellStyle name="Note 17 2 9" xfId="2989" xr:uid="{D46CCD0F-EFEE-4DDC-A2A2-B47E995A6CDF}"/>
    <cellStyle name="Note 17 2_Jurisdictional Study" xfId="10345" xr:uid="{13F6E8B5-D460-4BE6-95D1-30A8F8731EBB}"/>
    <cellStyle name="Note 17 3" xfId="1040" xr:uid="{C7D6DBAC-A55E-4D0E-AC6F-79C1DC71E2BA}"/>
    <cellStyle name="Note 17 4" xfId="1116" xr:uid="{887EC89A-AA39-4299-A278-E126C8FBDFA7}"/>
    <cellStyle name="Note 17 5" xfId="1189" xr:uid="{2A460E5B-0260-47B1-919D-AFA5AD955A13}"/>
    <cellStyle name="Note 17 6" xfId="803" xr:uid="{087141B5-2C05-425A-88E4-25F2A810368E}"/>
    <cellStyle name="Note 17 7" xfId="1141" xr:uid="{52B60BD3-F8D7-46D1-A942-C8AF4F6B73EC}"/>
    <cellStyle name="Note 17 8" xfId="1834" xr:uid="{0899C32A-2E2C-4339-9E43-2B5A5B14056C}"/>
    <cellStyle name="Note 17 9" xfId="2334" xr:uid="{8E59642D-9B7E-404C-82E8-CCF69A97F0D6}"/>
    <cellStyle name="Note 17_Jurisdictional Study" xfId="10344" xr:uid="{35E8B998-EEC1-42CA-8FB4-96EFC55D2E91}"/>
    <cellStyle name="Note 18" xfId="431" xr:uid="{4B7A6E9D-745C-42F2-8361-09907C096F52}"/>
    <cellStyle name="Note 18 10" xfId="2920" xr:uid="{62D966DE-4756-4CEF-96E3-E0B665AC0B22}"/>
    <cellStyle name="Note 18 11" xfId="2956" xr:uid="{D86924AB-0F3C-4D51-893C-E20B07BC28A2}"/>
    <cellStyle name="Note 18 2" xfId="986" xr:uid="{9ED7E4DA-E2C4-4279-87B0-6F6C72C22E42}"/>
    <cellStyle name="Note 18 2 10" xfId="3120" xr:uid="{865210EB-4972-4A0A-93DF-5E50D564A4CF}"/>
    <cellStyle name="Note 18 2 2" xfId="730" xr:uid="{2E149E34-0BB0-4300-8512-751BB9F5587D}"/>
    <cellStyle name="Note 18 2 3" xfId="849" xr:uid="{A63C6953-7D00-411C-A78E-71365B35FD9B}"/>
    <cellStyle name="Note 18 2 4" xfId="1369" xr:uid="{CD9A77F8-04EA-40B3-A643-FAA1B292BB77}"/>
    <cellStyle name="Note 18 2 5" xfId="1540" xr:uid="{689DCF93-2700-4967-8D50-ECBB619139A3}"/>
    <cellStyle name="Note 18 2 6" xfId="1688" xr:uid="{4455D29D-8229-412B-BEB2-1038D5CE8C5E}"/>
    <cellStyle name="Note 18 2 7" xfId="2476" xr:uid="{B3B52AF6-38DF-4705-8195-9AC79DF08295}"/>
    <cellStyle name="Note 18 2 8" xfId="2799" xr:uid="{29F65332-F0F2-4697-98BE-901C5FB15641}"/>
    <cellStyle name="Note 18 2 9" xfId="1902" xr:uid="{090851B9-5757-40B5-A71F-EFB0EEBEFD3A}"/>
    <cellStyle name="Note 18 2_Jurisdictional Study" xfId="10347" xr:uid="{2ECF818C-4287-4A03-B1DA-B04EB5517F01}"/>
    <cellStyle name="Note 18 3" xfId="887" xr:uid="{8342FF20-D887-4166-9F55-8692A1633DF2}"/>
    <cellStyle name="Note 18 4" xfId="852" xr:uid="{01F0E4AC-566D-4130-AB3E-04721B376D07}"/>
    <cellStyle name="Note 18 5" xfId="1246" xr:uid="{5A24B434-1C56-4927-B50B-944F86EA38A6}"/>
    <cellStyle name="Note 18 6" xfId="1469" xr:uid="{E18A852E-7A23-46F0-9E51-E678E008F3FC}"/>
    <cellStyle name="Note 18 7" xfId="1587" xr:uid="{E96905E0-6AB7-475A-B538-F85200A2BEEE}"/>
    <cellStyle name="Note 18 8" xfId="2200" xr:uid="{335F084D-85E8-42AE-9D4F-E87BA8D465B5}"/>
    <cellStyle name="Note 18 9" xfId="2724" xr:uid="{8E2FFA6F-4CA1-432D-909F-D183646FFC1F}"/>
    <cellStyle name="Note 18_Jurisdictional Study" xfId="10346" xr:uid="{E35B42E1-4AD3-4EA9-BD72-DB4378EA8612}"/>
    <cellStyle name="Note 19" xfId="385" xr:uid="{C2F0716C-F74A-48F4-8D76-7ACEB68AC4A8}"/>
    <cellStyle name="Note 19 10" xfId="2918" xr:uid="{B42DEBBF-E092-41A1-8CB3-726F13EF6C71}"/>
    <cellStyle name="Note 19 11" xfId="3012" xr:uid="{885A2D85-E502-46B3-85F5-59E1479CBA3D}"/>
    <cellStyle name="Note 19 2" xfId="942" xr:uid="{40B5C363-685D-4DD6-AA66-3AD9B5B57D4B}"/>
    <cellStyle name="Note 19 2 10" xfId="2595" xr:uid="{F5D9E599-5053-4482-928C-2504EC2684EA}"/>
    <cellStyle name="Note 19 2 2" xfId="757" xr:uid="{0486F648-278C-416F-AD25-CB6C2E328F96}"/>
    <cellStyle name="Note 19 2 3" xfId="565" xr:uid="{5AC9024D-7C24-4D69-984C-6733800B24D5}"/>
    <cellStyle name="Note 19 2 4" xfId="1325" xr:uid="{44325C7F-A848-4D89-8112-904BBDC6BB94}"/>
    <cellStyle name="Note 19 2 5" xfId="1034" xr:uid="{B3D5B2ED-02C1-4DDD-891F-8C2F432CA665}"/>
    <cellStyle name="Note 19 2 6" xfId="1644" xr:uid="{CB1C2E7D-9688-414E-8F8B-7CB6D92C2F73}"/>
    <cellStyle name="Note 19 2 7" xfId="2432" xr:uid="{C9A8A8DE-7971-4A74-BDEC-F1F31E2BFA96}"/>
    <cellStyle name="Note 19 2 8" xfId="2755" xr:uid="{BA086097-74DB-4C79-99B0-5411536BAEF7}"/>
    <cellStyle name="Note 19 2 9" xfId="2977" xr:uid="{DE529185-D10C-420C-A67C-FE3410A7E905}"/>
    <cellStyle name="Note 19 2_Jurisdictional Study" xfId="10349" xr:uid="{3379388B-D63F-434F-B4BD-0EF5568CAA41}"/>
    <cellStyle name="Note 19 3" xfId="894" xr:uid="{E594A6C0-2E4E-47B9-BFCA-365E35B69655}"/>
    <cellStyle name="Note 19 4" xfId="911" xr:uid="{51BCFD9A-9854-462C-B552-B21750009FAB}"/>
    <cellStyle name="Note 19 5" xfId="1200" xr:uid="{03329C74-F3C2-47D0-84DC-80F21D6922BC}"/>
    <cellStyle name="Note 19 6" xfId="692" xr:uid="{79C60B9E-C18D-4D6A-9C7F-DD20D323B69E}"/>
    <cellStyle name="Note 19 7" xfId="1491" xr:uid="{425C3AE5-B05B-455F-AFB6-1DCB79256D3B}"/>
    <cellStyle name="Note 19 8" xfId="2359" xr:uid="{35F0727A-3207-4B91-9E37-0CEC5176DE3D}"/>
    <cellStyle name="Note 19 9" xfId="2164" xr:uid="{75575F94-7A90-4BA8-A474-121416913B7E}"/>
    <cellStyle name="Note 19_Jurisdictional Study" xfId="10348" xr:uid="{F301229D-36BB-4390-B78C-E4918247F2BD}"/>
    <cellStyle name="Note 2" xfId="141" xr:uid="{37D0ABFA-A145-4705-96F7-515A17FDED18}"/>
    <cellStyle name="Note 2 10" xfId="2585" xr:uid="{0B74F432-9BCA-4C2F-B99E-B7A4D2F8BC54}"/>
    <cellStyle name="Note 2 11" xfId="3084" xr:uid="{A3479185-EB21-4388-80DC-297E895DCADF}"/>
    <cellStyle name="Note 2 12" xfId="7804" xr:uid="{BADCD10C-1104-4109-98DE-CCE94FB69408}"/>
    <cellStyle name="Note 2 2" xfId="285" xr:uid="{0707EB3A-0C35-4B5A-A7DB-1FA91F356BE8}"/>
    <cellStyle name="Note 2 2 10" xfId="3025" xr:uid="{9AFAE1D4-C616-45A2-8D6F-6A0C6E9D5A4D}"/>
    <cellStyle name="Note 2 2 11" xfId="7805" xr:uid="{900025EC-3060-445F-93F8-BDF9243AAFAD}"/>
    <cellStyle name="Note 2 2 2" xfId="749" xr:uid="{E8977DEC-7B55-4AE0-BD47-308782C15F67}"/>
    <cellStyle name="Note 2 2 2 2" xfId="7807" xr:uid="{4B2707DC-EA47-4083-A7B8-42F684CC5BC3}"/>
    <cellStyle name="Note 2 2 2 2 2" xfId="7808" xr:uid="{65EA8D3E-2DE4-4ED5-9C9E-A8E9A3B94118}"/>
    <cellStyle name="Note 2 2 2 2 2 2" xfId="7809" xr:uid="{1A5745E2-0471-4773-97AA-29431E410B0E}"/>
    <cellStyle name="Note 2 2 2 2 2 2 2" xfId="7810" xr:uid="{238E2B9E-CA70-4341-A7AE-5CCE2FEE2C13}"/>
    <cellStyle name="Note 2 2 2 2 2 2_Jurisdictional Study" xfId="10355" xr:uid="{A40301CE-A0C9-4B5B-AE96-72FDAEBE10FA}"/>
    <cellStyle name="Note 2 2 2 2 2 3" xfId="7811" xr:uid="{E6F216B9-F082-4BDF-9DD8-EFEE6F4DA24B}"/>
    <cellStyle name="Note 2 2 2 2 2_Jurisdictional Study" xfId="10354" xr:uid="{FB5860C8-1347-4563-B5A7-4298E7651948}"/>
    <cellStyle name="Note 2 2 2 2 3" xfId="7812" xr:uid="{344F4A8B-6442-430F-B819-5884392F43A4}"/>
    <cellStyle name="Note 2 2 2 2 3 2" xfId="7813" xr:uid="{19F20700-FD99-4CCA-BD68-29FCA57B44DB}"/>
    <cellStyle name="Note 2 2 2 2 3_Jurisdictional Study" xfId="10356" xr:uid="{FC6BC082-5737-4B0D-A167-303A9457FED6}"/>
    <cellStyle name="Note 2 2 2 2 4" xfId="7814" xr:uid="{734F9B47-ED89-4330-BAF9-4A67C7246B78}"/>
    <cellStyle name="Note 2 2 2 2_Jurisdictional Study" xfId="10353" xr:uid="{4FFB3F16-6CAF-4641-AC11-99EFD86B52EA}"/>
    <cellStyle name="Note 2 2 2 3" xfId="7815" xr:uid="{66CE178F-3698-4BE8-ABC8-63F7BEB7AB98}"/>
    <cellStyle name="Note 2 2 2 3 2" xfId="7816" xr:uid="{6C4045CB-E02C-4A9C-B2D3-FDD6722DFDCB}"/>
    <cellStyle name="Note 2 2 2 3 2 2" xfId="7817" xr:uid="{331AB6CC-CFF3-4E57-983E-9ECF92A7F268}"/>
    <cellStyle name="Note 2 2 2 3 2_Jurisdictional Study" xfId="10358" xr:uid="{398FBE60-BC12-45B2-887C-C4C23813BC9E}"/>
    <cellStyle name="Note 2 2 2 3 3" xfId="7818" xr:uid="{898589A5-C4EB-4331-9FD4-AB244B61116A}"/>
    <cellStyle name="Note 2 2 2 3_Jurisdictional Study" xfId="10357" xr:uid="{F09F505E-0BEF-4D8E-8022-89CC4CD8A53E}"/>
    <cellStyle name="Note 2 2 2 4" xfId="7819" xr:uid="{B66FEFE8-0434-4CA7-8D56-2797FFC38B08}"/>
    <cellStyle name="Note 2 2 2 4 2" xfId="7820" xr:uid="{12B9DE9C-57AB-4E66-9DD8-1636F517B710}"/>
    <cellStyle name="Note 2 2 2 4_Jurisdictional Study" xfId="10359" xr:uid="{12235E8E-7F2A-4917-A22C-740288BAA11D}"/>
    <cellStyle name="Note 2 2 2 5" xfId="7821" xr:uid="{6D089AF7-B21D-482F-9041-26C70DF037EF}"/>
    <cellStyle name="Note 2 2 2 6" xfId="7806" xr:uid="{DE270600-5CFD-4BE0-AD39-393E73CBAB5F}"/>
    <cellStyle name="Note 2 2 2_Jurisdictional Study" xfId="10352" xr:uid="{1A8FB7B5-E7FE-47CC-8376-7B7DB7AF22A6}"/>
    <cellStyle name="Note 2 2 3" xfId="720" xr:uid="{141359D5-9128-43B3-A547-5B7D5BC504CE}"/>
    <cellStyle name="Note 2 2 3 2" xfId="7823" xr:uid="{AB662A12-8376-4DFF-BD88-3ADC33ECB45B}"/>
    <cellStyle name="Note 2 2 3 2 2" xfId="7824" xr:uid="{D913EE62-5ED9-4D41-8686-6E2C81FC5F8F}"/>
    <cellStyle name="Note 2 2 3 2 2 2" xfId="7825" xr:uid="{DC9085B3-5945-4D9F-8DBD-D9FCEDA2A31D}"/>
    <cellStyle name="Note 2 2 3 2 2_Jurisdictional Study" xfId="10362" xr:uid="{2A8417D3-2F28-470D-9A7B-4CE4E4439FF4}"/>
    <cellStyle name="Note 2 2 3 2 3" xfId="7826" xr:uid="{1D6A213D-3FBA-4A7A-A0DD-A885692CA2AD}"/>
    <cellStyle name="Note 2 2 3 2_Jurisdictional Study" xfId="10361" xr:uid="{3FD9C588-7F09-4132-9A78-F8EF42DF9442}"/>
    <cellStyle name="Note 2 2 3 3" xfId="7827" xr:uid="{D29A8251-7AED-4116-B2F1-D4DB01C1338F}"/>
    <cellStyle name="Note 2 2 3 3 2" xfId="7828" xr:uid="{6D8499A8-5E01-43CF-AB70-9E55C3873AF7}"/>
    <cellStyle name="Note 2 2 3 3_Jurisdictional Study" xfId="10363" xr:uid="{6E97BA97-6930-4852-ADBA-2351558820A2}"/>
    <cellStyle name="Note 2 2 3 4" xfId="7829" xr:uid="{A53E55DF-8FD2-415E-93CC-855641E29520}"/>
    <cellStyle name="Note 2 2 3 5" xfId="7822" xr:uid="{5AB9516D-67D2-4543-9ABF-01E0E6241201}"/>
    <cellStyle name="Note 2 2 3_Jurisdictional Study" xfId="10360" xr:uid="{07181474-3A5B-444D-98CF-2E7582AEA4E7}"/>
    <cellStyle name="Note 2 2 4" xfId="1292" xr:uid="{F4C80D25-5699-474C-8BA5-43EE9388218A}"/>
    <cellStyle name="Note 2 2 4 2" xfId="7831" xr:uid="{033408EA-AAAF-48D7-B5BD-BD232ABDDE57}"/>
    <cellStyle name="Note 2 2 4 2 2" xfId="7832" xr:uid="{BD5C41F2-0357-47DA-90C8-2B14281F4D05}"/>
    <cellStyle name="Note 2 2 4 2_Jurisdictional Study" xfId="10365" xr:uid="{E56C6775-88DF-4C54-930B-A5B64EFBBFAD}"/>
    <cellStyle name="Note 2 2 4 3" xfId="7833" xr:uid="{D9F13535-B870-474A-9AAB-2773743AEAE5}"/>
    <cellStyle name="Note 2 2 4 4" xfId="7830" xr:uid="{1009A4BA-C71E-48B3-9436-A98875BF860E}"/>
    <cellStyle name="Note 2 2 4_Jurisdictional Study" xfId="10364" xr:uid="{247C7A75-20C8-4F77-8E99-895EC1B01860}"/>
    <cellStyle name="Note 2 2 5" xfId="1498" xr:uid="{9E3E5DD8-88CB-4429-922A-27C91BEC9C19}"/>
    <cellStyle name="Note 2 2 5 2" xfId="7835" xr:uid="{9A116809-1B5C-4AF0-8DE2-24C49CE01FF8}"/>
    <cellStyle name="Note 2 2 5 3" xfId="7834" xr:uid="{21E20FD5-47FF-4A14-B8F2-3F028CBB64F1}"/>
    <cellStyle name="Note 2 2 5_Jurisdictional Study" xfId="10366" xr:uid="{FA266EEF-EC32-453E-8DF3-E9338256D0D5}"/>
    <cellStyle name="Note 2 2 6" xfId="1628" xr:uid="{8F0479D3-2645-4763-B616-ACEED383F056}"/>
    <cellStyle name="Note 2 2 6 2" xfId="7836" xr:uid="{96BDD807-9FEF-4327-AB70-365B814948D2}"/>
    <cellStyle name="Note 2 2 6_Jurisdictional Study" xfId="10367" xr:uid="{711CA51B-BB1D-4180-8849-0E585AA91E75}"/>
    <cellStyle name="Note 2 2 7" xfId="1885" xr:uid="{A9337F25-D340-4B3F-BF60-0869527C2201}"/>
    <cellStyle name="Note 2 2 8" xfId="1857" xr:uid="{1A729082-3754-4154-ABE5-B7D8F6721178}"/>
    <cellStyle name="Note 2 2 9" xfId="2983" xr:uid="{EB1A8B47-9435-477B-9F8B-FBD19DD5B590}"/>
    <cellStyle name="Note 2 2_Jurisdictional Study" xfId="10351" xr:uid="{F3522F15-5A70-4DDB-9A6F-ECC9F7E39794}"/>
    <cellStyle name="Note 2 3" xfId="763" xr:uid="{2106BF0B-6BCF-428D-B03B-E4C55900CBBE}"/>
    <cellStyle name="Note 2 3 2" xfId="7838" xr:uid="{FE73FA40-F23B-479B-BFB0-8EDA8346561D}"/>
    <cellStyle name="Note 2 3 2 2" xfId="7839" xr:uid="{13747328-653C-4BEB-B514-4CDA60038917}"/>
    <cellStyle name="Note 2 3 2 2 2" xfId="7840" xr:uid="{D42DFE8A-E94D-4F7F-9E89-DC3200FFC848}"/>
    <cellStyle name="Note 2 3 2 2 2 2" xfId="7841" xr:uid="{013595BA-F9DF-4741-A000-5658CB1F4B43}"/>
    <cellStyle name="Note 2 3 2 2 2_Jurisdictional Study" xfId="10371" xr:uid="{6C4817E1-3104-4BFC-8791-E023131BD8B2}"/>
    <cellStyle name="Note 2 3 2 2 3" xfId="7842" xr:uid="{60FC4C3B-4891-408E-934A-01B631B10EB0}"/>
    <cellStyle name="Note 2 3 2 2_Jurisdictional Study" xfId="10370" xr:uid="{DB05AB5D-19A6-40B8-A217-75A6CEB97665}"/>
    <cellStyle name="Note 2 3 2 3" xfId="7843" xr:uid="{4BE78221-5CB4-4C6A-B253-2A759A683323}"/>
    <cellStyle name="Note 2 3 2 3 2" xfId="7844" xr:uid="{8F5C077B-A367-481E-842E-B5236064616F}"/>
    <cellStyle name="Note 2 3 2 3_Jurisdictional Study" xfId="10372" xr:uid="{344ADF88-E076-45A0-BC15-AA49D6FD31F3}"/>
    <cellStyle name="Note 2 3 2 4" xfId="7845" xr:uid="{A1E172F8-9FDD-4463-A452-B338D93F5EB2}"/>
    <cellStyle name="Note 2 3 2_Jurisdictional Study" xfId="10369" xr:uid="{0102D3E2-5913-4F1C-B82C-162850822BCB}"/>
    <cellStyle name="Note 2 3 3" xfId="7846" xr:uid="{B96B3A97-8004-4868-9414-E77CA3A828BE}"/>
    <cellStyle name="Note 2 3 3 2" xfId="7847" xr:uid="{5D9ECD99-F271-47FB-BCEE-2CCC1ACC66B2}"/>
    <cellStyle name="Note 2 3 3 2 2" xfId="7848" xr:uid="{4D5E53A6-1B95-4F23-B2BF-C8F21D35CC82}"/>
    <cellStyle name="Note 2 3 3 2_Jurisdictional Study" xfId="10374" xr:uid="{3F448A39-64AD-4F01-BD18-8E9720F3698C}"/>
    <cellStyle name="Note 2 3 3 3" xfId="7849" xr:uid="{4BC2E1E5-8A05-4172-BADD-10B45D4BF922}"/>
    <cellStyle name="Note 2 3 3_Jurisdictional Study" xfId="10373" xr:uid="{E40EA0E8-B7CF-40E1-83BE-BFDEF3308734}"/>
    <cellStyle name="Note 2 3 4" xfId="7850" xr:uid="{081F1D91-C8D2-4B9C-9ADC-7CB847E0161D}"/>
    <cellStyle name="Note 2 3 4 2" xfId="7851" xr:uid="{5D67B466-86C3-415E-B14C-E9377835DD1E}"/>
    <cellStyle name="Note 2 3 4_Jurisdictional Study" xfId="10375" xr:uid="{CED89D16-F3D0-410E-87FB-55E437F1E2B7}"/>
    <cellStyle name="Note 2 3 5" xfId="7852" xr:uid="{ABE6B3D8-1D34-4900-85D6-9F720CAD323C}"/>
    <cellStyle name="Note 2 3 6" xfId="7837" xr:uid="{A1E38C1B-76AE-4C7C-B575-E86C62860EB2}"/>
    <cellStyle name="Note 2 3_Jurisdictional Study" xfId="10368" xr:uid="{A7CF9DBC-A3F6-4023-9EE1-040511AD17CB}"/>
    <cellStyle name="Note 2 4" xfId="503" xr:uid="{2822059F-649F-48DD-9F7C-365B22E3829E}"/>
    <cellStyle name="Note 2 4 2" xfId="7854" xr:uid="{70B76F42-A0AC-4367-9A7B-B58C81ACA597}"/>
    <cellStyle name="Note 2 4 2 2" xfId="7855" xr:uid="{5644689C-FCF3-412D-AADF-B9CE25D890C7}"/>
    <cellStyle name="Note 2 4 2 2 2" xfId="7856" xr:uid="{703376AE-CF85-45B9-962D-D8FDB59AB69C}"/>
    <cellStyle name="Note 2 4 2 2_Jurisdictional Study" xfId="10378" xr:uid="{02790C0A-1FB9-421B-A077-850EB625F816}"/>
    <cellStyle name="Note 2 4 2 3" xfId="7857" xr:uid="{60777FD9-ABF2-4D1F-8FB0-2A9591F314E8}"/>
    <cellStyle name="Note 2 4 2_Jurisdictional Study" xfId="10377" xr:uid="{38C7E2E1-D316-44CD-9C41-3C75119FD022}"/>
    <cellStyle name="Note 2 4 3" xfId="7858" xr:uid="{F8D493B4-FAAF-4AA1-BC7D-1296E8B21A40}"/>
    <cellStyle name="Note 2 4 3 2" xfId="7859" xr:uid="{B37E7AB1-8470-4514-A1F7-C4E8979F78D9}"/>
    <cellStyle name="Note 2 4 3_Jurisdictional Study" xfId="10379" xr:uid="{CDF95C6E-3DEC-43E3-BB19-C839145A05E6}"/>
    <cellStyle name="Note 2 4 4" xfId="7860" xr:uid="{9A206C42-2E84-4BEE-8766-9DFA0D3E1F61}"/>
    <cellStyle name="Note 2 4 5" xfId="7853" xr:uid="{9C2CAB2C-7FD6-4D7F-9CA5-45A20FF308FE}"/>
    <cellStyle name="Note 2 4_Jurisdictional Study" xfId="10376" xr:uid="{9A028197-F66E-4018-893C-E2DA34C20ECE}"/>
    <cellStyle name="Note 2 5" xfId="498" xr:uid="{26B78DFB-DDCB-468A-ABAC-3FF25283B06E}"/>
    <cellStyle name="Note 2 5 2" xfId="7862" xr:uid="{B1901884-7959-4F4A-BDB5-57546B98ACD7}"/>
    <cellStyle name="Note 2 5 2 2" xfId="7863" xr:uid="{2AA4EB80-749F-4BB0-AB6F-E061F1001656}"/>
    <cellStyle name="Note 2 5 2_Jurisdictional Study" xfId="10381" xr:uid="{9D558E0F-4433-446E-A203-301D679F08AE}"/>
    <cellStyle name="Note 2 5 3" xfId="7864" xr:uid="{FBCEA80E-BA13-46D2-902D-D05046971D12}"/>
    <cellStyle name="Note 2 5 4" xfId="7861" xr:uid="{15BA9F4F-B622-4BE3-AD76-563929890C2C}"/>
    <cellStyle name="Note 2 5_Jurisdictional Study" xfId="10380" xr:uid="{78A38E01-F08C-44D0-959A-FA35AE20F296}"/>
    <cellStyle name="Note 2 6" xfId="1131" xr:uid="{0307EBAF-B6FB-479E-9DE3-8820393C6112}"/>
    <cellStyle name="Note 2 6 2" xfId="7866" xr:uid="{60FF5096-8DCA-47DC-94FC-16689A70C18C}"/>
    <cellStyle name="Note 2 6 3" xfId="7865" xr:uid="{A2BF7378-8B37-401F-AD28-22BE1D6B7C4C}"/>
    <cellStyle name="Note 2 6_Jurisdictional Study" xfId="10382" xr:uid="{4E9DF442-CA80-4A12-B497-56ED8467C779}"/>
    <cellStyle name="Note 2 7" xfId="741" xr:uid="{94D2E17E-DB31-42D5-857A-D15EC9A89C45}"/>
    <cellStyle name="Note 2 7 2" xfId="7867" xr:uid="{E820DD3D-C96A-4F04-9B63-94B893F77B95}"/>
    <cellStyle name="Note 2 7_Jurisdictional Study" xfId="10383" xr:uid="{1659B791-F8B8-4D3B-B584-20CF193CE274}"/>
    <cellStyle name="Note 2 8" xfId="1963" xr:uid="{C79ECD6C-447A-4230-BD04-03C9340899A6}"/>
    <cellStyle name="Note 2 9" xfId="2662" xr:uid="{06D8D953-566D-4BF6-9F22-D2B3BE5E45A1}"/>
    <cellStyle name="Note 2_Jurisdictional Study" xfId="10350" xr:uid="{CE63071A-D732-41B2-9455-6348CF093A1C}"/>
    <cellStyle name="Note 20" xfId="422" xr:uid="{4A4FA9B8-47E4-49FB-A97C-5B1AF1192C2E}"/>
    <cellStyle name="Note 20 10" xfId="2570" xr:uid="{E70ABDB6-4AC2-430E-930F-AE045934F84C}"/>
    <cellStyle name="Note 20 11" xfId="1776" xr:uid="{8097B5CB-77A6-48B0-8E56-8975DA8E17A4}"/>
    <cellStyle name="Note 20 2" xfId="977" xr:uid="{1C26A2F9-8A4C-4950-B600-0E23835C52AB}"/>
    <cellStyle name="Note 20 2 10" xfId="2573" xr:uid="{6437618A-673E-4DC3-81DB-4A30DB9F556F}"/>
    <cellStyle name="Note 20 2 2" xfId="1061" xr:uid="{3D843BBD-769D-46DD-B617-7EA8231BF798}"/>
    <cellStyle name="Note 20 2 3" xfId="1135" xr:uid="{290D9815-6F03-430C-8023-ECFF1620E74E}"/>
    <cellStyle name="Note 20 2 4" xfId="1360" xr:uid="{F7637B27-AE98-4F0E-BBDA-57DD72D59A95}"/>
    <cellStyle name="Note 20 2 5" xfId="1183" xr:uid="{1E8E5D5C-FE3B-471E-85B6-0CD63CE2FC1C}"/>
    <cellStyle name="Note 20 2 6" xfId="1679" xr:uid="{C6E3AAC1-19F5-41BF-9384-8A1B65B6FF81}"/>
    <cellStyle name="Note 20 2 7" xfId="2467" xr:uid="{AEF85965-B5D8-46A1-848F-8644532EAFD7}"/>
    <cellStyle name="Note 20 2 8" xfId="2790" xr:uid="{BF28A2C0-FE49-43D9-AF8E-568F5514E461}"/>
    <cellStyle name="Note 20 2 9" xfId="2577" xr:uid="{39FA6DEA-DDEC-4DA2-8D6B-5F32D087757F}"/>
    <cellStyle name="Note 20 2_Jurisdictional Study" xfId="10385" xr:uid="{8867D61E-0ABF-4FD6-8AF8-9BD46338617D}"/>
    <cellStyle name="Note 20 3" xfId="627" xr:uid="{E6D7B84A-B2C3-438B-B066-369384969BC7}"/>
    <cellStyle name="Note 20 4" xfId="619" xr:uid="{B5083FA3-B9F4-49AC-9595-2BA0BBB29BFA}"/>
    <cellStyle name="Note 20 5" xfId="1237" xr:uid="{0591FFA3-FF77-4D4D-99C1-DEA1B5F68F88}"/>
    <cellStyle name="Note 20 6" xfId="1412" xr:uid="{3651641D-51C3-4E16-9775-BD3365281AC3}"/>
    <cellStyle name="Note 20 7" xfId="774" xr:uid="{337153F9-208A-494B-8733-7B68DF324A88}"/>
    <cellStyle name="Note 20 8" xfId="2372" xr:uid="{91D6DFC5-87AD-4077-BD7C-445FC7B18576}"/>
    <cellStyle name="Note 20 9" xfId="2053" xr:uid="{CD607756-1127-45E2-8B8D-59AFA97A7704}"/>
    <cellStyle name="Note 20_Jurisdictional Study" xfId="10384" xr:uid="{3437712D-29F5-49DC-B346-39D9EB85D630}"/>
    <cellStyle name="Note 21" xfId="372" xr:uid="{5BABA353-FC44-45DB-A90F-EEEA3FBDB126}"/>
    <cellStyle name="Note 21 10" xfId="2538" xr:uid="{EF6177E5-68CE-40A2-82C1-7629DE8846CB}"/>
    <cellStyle name="Note 21 11" xfId="3094" xr:uid="{83A3F5A8-21F3-403C-B070-47999A7A32A3}"/>
    <cellStyle name="Note 21 2" xfId="929" xr:uid="{985F12B3-04FC-44D8-B207-C060053D578C}"/>
    <cellStyle name="Note 21 2 10" xfId="3071" xr:uid="{6CD89EB5-E2A4-4203-84EB-B42E07C1FB08}"/>
    <cellStyle name="Note 21 2 2" xfId="522" xr:uid="{2BFD6C93-C414-4EC2-8F46-9DD4EBE42C10}"/>
    <cellStyle name="Note 21 2 3" xfId="687" xr:uid="{13B31030-5FA7-4A49-82F0-B86FE9334268}"/>
    <cellStyle name="Note 21 2 4" xfId="1312" xr:uid="{4C3968E0-B4F1-4976-95D9-C6805CCC6260}"/>
    <cellStyle name="Note 21 2 5" xfId="1497" xr:uid="{FA6826C5-47B7-49BD-BAF7-F02AD2A3E6F6}"/>
    <cellStyle name="Note 21 2 6" xfId="1631" xr:uid="{5187E324-8CC6-4B15-AC38-E1A8C81BAEA4}"/>
    <cellStyle name="Note 21 2 7" xfId="2419" xr:uid="{0AC31E14-0858-4731-BBC8-CDCF001AE966}"/>
    <cellStyle name="Note 21 2 8" xfId="2742" xr:uid="{22B3FAD8-66C4-4EC1-B30E-24A91A4B1673}"/>
    <cellStyle name="Note 21 2 9" xfId="2879" xr:uid="{E5250961-8044-48E7-AE1B-8EBA18DC5044}"/>
    <cellStyle name="Note 21 2_Jurisdictional Study" xfId="10387" xr:uid="{81F46CBB-D06D-4782-9B4D-EBD4FEA46B0C}"/>
    <cellStyle name="Note 21 3" xfId="882" xr:uid="{C98820FB-BF9A-4A07-B9F3-2E5A14405A64}"/>
    <cellStyle name="Note 21 4" xfId="668" xr:uid="{BFA12CE5-BC2B-40D5-B110-E382CEA43565}"/>
    <cellStyle name="Note 21 5" xfId="1187" xr:uid="{5B3D47D0-F72A-4AE9-9BC7-C9EEAB21A19A}"/>
    <cellStyle name="Note 21 6" xfId="1420" xr:uid="{5F3CC3F3-5A6D-4DB2-87BC-AA48B2DBC01B}"/>
    <cellStyle name="Note 21 7" xfId="1118" xr:uid="{0F9AF555-82F0-4322-9A9C-A2A345027E1C}"/>
    <cellStyle name="Note 21 8" xfId="2289" xr:uid="{BB763D8F-70A4-4966-9042-BB035A81B94B}"/>
    <cellStyle name="Note 21 9" xfId="2717" xr:uid="{95945E53-EF2B-4CE6-98B4-5EE71DB2A20A}"/>
    <cellStyle name="Note 21_Jurisdictional Study" xfId="10386" xr:uid="{B8EB1E5E-36A4-47F0-A8A2-2318EB4BCC04}"/>
    <cellStyle name="Note 22" xfId="432" xr:uid="{792F1CF7-3B61-4164-9ED7-2FB14236FC2B}"/>
    <cellStyle name="Note 22 10" xfId="2317" xr:uid="{2A6B988C-9E6E-4744-B0BF-EE244491D0DF}"/>
    <cellStyle name="Note 22 2" xfId="779" xr:uid="{1479BCB8-B491-4CFF-BBE6-EC562EBD2CC4}"/>
    <cellStyle name="Note 22 3" xfId="1062" xr:uid="{6714617D-AF98-4286-8E80-7BED3A680230}"/>
    <cellStyle name="Note 22 4" xfId="1247" xr:uid="{3DD97B26-F7A7-4DF6-8390-1E542B27500D}"/>
    <cellStyle name="Note 22 5" xfId="736" xr:uid="{391E24FA-A8BF-4FE8-B075-BD24E4A0BF84}"/>
    <cellStyle name="Note 22 6" xfId="1588" xr:uid="{4C781842-F24A-4F89-8930-7C05ED647980}"/>
    <cellStyle name="Note 22 7" xfId="2339" xr:uid="{A8B991E1-263F-4C78-AFC5-E2547E3046D4}"/>
    <cellStyle name="Note 22 8" xfId="2588" xr:uid="{112FDED4-2049-445C-A682-8D2D208EA152}"/>
    <cellStyle name="Note 22 9" xfId="2874" xr:uid="{506EAB05-8B07-42DD-BEB3-04CD128F5DE2}"/>
    <cellStyle name="Note 22_Jurisdictional Study" xfId="10388" xr:uid="{D8F964AF-89C2-4283-AA05-879862953944}"/>
    <cellStyle name="Note 23" xfId="3196" xr:uid="{B8B61188-5CE4-4F42-B606-F1B404B9622A}"/>
    <cellStyle name="Note 3" xfId="410" xr:uid="{A925D036-9B6C-4CDC-83EC-47C668BCAB4D}"/>
    <cellStyle name="Note 3 10" xfId="2905" xr:uid="{40F1C0E7-83A8-4810-9109-3BFC5342A078}"/>
    <cellStyle name="Note 3 11" xfId="2857" xr:uid="{0EDCC1A7-8B3F-45C6-AF1E-216A4624104D}"/>
    <cellStyle name="Note 3 12" xfId="7868" xr:uid="{1383E591-833A-4AE9-9171-AFEC7C5E9695}"/>
    <cellStyle name="Note 3 2" xfId="966" xr:uid="{668957E9-A5D6-43F6-9360-AB495B90872A}"/>
    <cellStyle name="Note 3 2 10" xfId="2054" xr:uid="{E87AF362-EC87-4D87-88C5-BBD5FF682D65}"/>
    <cellStyle name="Note 3 2 11" xfId="7869" xr:uid="{50172CEE-2339-4ACC-92C0-FCD1AD7EAD8E}"/>
    <cellStyle name="Note 3 2 2" xfId="822" xr:uid="{40F1659B-824E-42AD-A933-7ACAC9D80B80}"/>
    <cellStyle name="Note 3 2 2 2" xfId="7871" xr:uid="{222FC451-333A-447B-A0B2-F459662CDA8F}"/>
    <cellStyle name="Note 3 2 2 2 2" xfId="7872" xr:uid="{A56756D5-BE1E-4C55-A7EF-6226904B50F1}"/>
    <cellStyle name="Note 3 2 2 2 2 2" xfId="7873" xr:uid="{6EA01638-0550-4633-972B-841750BEDFA8}"/>
    <cellStyle name="Note 3 2 2 2 2 2 2" xfId="7874" xr:uid="{AF68EC3F-30AA-4C2E-A324-0B1F151FB590}"/>
    <cellStyle name="Note 3 2 2 2 2 2_Jurisdictional Study" xfId="10394" xr:uid="{D234C395-9E85-48A7-90B1-A2F3C54A6734}"/>
    <cellStyle name="Note 3 2 2 2 2 3" xfId="7875" xr:uid="{855585E2-B630-44EA-BD46-07DB7772576D}"/>
    <cellStyle name="Note 3 2 2 2 2_Jurisdictional Study" xfId="10393" xr:uid="{737B62D6-4743-4652-91A8-7C8AF52D957B}"/>
    <cellStyle name="Note 3 2 2 2 3" xfId="7876" xr:uid="{36397D7F-A59B-4ED2-A58B-ECB71D38A003}"/>
    <cellStyle name="Note 3 2 2 2 3 2" xfId="7877" xr:uid="{4D19A365-59E8-4136-92C3-1D8D48656B0A}"/>
    <cellStyle name="Note 3 2 2 2 3_Jurisdictional Study" xfId="10395" xr:uid="{B1CF8C5A-DCDF-4C60-886C-FFC2290FC081}"/>
    <cellStyle name="Note 3 2 2 2 4" xfId="7878" xr:uid="{F6DB0A7E-A71A-43B8-8B35-BB94527E8F2C}"/>
    <cellStyle name="Note 3 2 2 2_Jurisdictional Study" xfId="10392" xr:uid="{99E63B54-FEB7-42B0-A3D0-8037EADADA69}"/>
    <cellStyle name="Note 3 2 2 3" xfId="7879" xr:uid="{E114BD01-1D4E-4819-BCD4-2D0E08C4A2FD}"/>
    <cellStyle name="Note 3 2 2 3 2" xfId="7880" xr:uid="{D5109AEB-6D17-4406-922D-041B8DDD1370}"/>
    <cellStyle name="Note 3 2 2 3 2 2" xfId="7881" xr:uid="{E9C26DF4-4C23-43A2-92C3-3D9745A7AE8D}"/>
    <cellStyle name="Note 3 2 2 3 2_Jurisdictional Study" xfId="10397" xr:uid="{F605DD1A-21FA-4BCE-9AFA-16626B61E52D}"/>
    <cellStyle name="Note 3 2 2 3 3" xfId="7882" xr:uid="{B8957053-7ADD-4E49-85DB-2A354052BF9A}"/>
    <cellStyle name="Note 3 2 2 3_Jurisdictional Study" xfId="10396" xr:uid="{38EDEF60-D073-4253-9416-55925857698F}"/>
    <cellStyle name="Note 3 2 2 4" xfId="7883" xr:uid="{F8184739-6D31-47A6-A8DD-133216F1E6EB}"/>
    <cellStyle name="Note 3 2 2 4 2" xfId="7884" xr:uid="{FEEFAC7F-8153-4B57-9473-747471E66955}"/>
    <cellStyle name="Note 3 2 2 4_Jurisdictional Study" xfId="10398" xr:uid="{D6684146-BB62-41F6-B52D-2849C97A5E87}"/>
    <cellStyle name="Note 3 2 2 5" xfId="7885" xr:uid="{E17F2D55-F05D-49F2-ADFD-8CD1B007930E}"/>
    <cellStyle name="Note 3 2 2 6" xfId="7870" xr:uid="{AAD307DA-E4F8-4FF0-9C29-1A8D6401EBBB}"/>
    <cellStyle name="Note 3 2 2_Jurisdictional Study" xfId="10391" xr:uid="{66CDED69-1FBE-453C-826A-098F5E8DF4D1}"/>
    <cellStyle name="Note 3 2 3" xfId="706" xr:uid="{D642DA83-FB92-4A99-B3F0-98F9DB780ADB}"/>
    <cellStyle name="Note 3 2 3 2" xfId="7887" xr:uid="{459F53A6-1F10-4816-A002-02F15120EE11}"/>
    <cellStyle name="Note 3 2 3 2 2" xfId="7888" xr:uid="{67DA4143-C484-49F9-A244-B1E7A2B0453B}"/>
    <cellStyle name="Note 3 2 3 2 2 2" xfId="7889" xr:uid="{9469056C-37C2-4D7C-BA59-9684202D5DEF}"/>
    <cellStyle name="Note 3 2 3 2 2_Jurisdictional Study" xfId="10401" xr:uid="{9A184E4D-AF55-4CBA-B564-57A7EABB3B46}"/>
    <cellStyle name="Note 3 2 3 2 3" xfId="7890" xr:uid="{936AFB2A-0319-4D9E-A2F2-F4754CEB461F}"/>
    <cellStyle name="Note 3 2 3 2_Jurisdictional Study" xfId="10400" xr:uid="{CCF26F25-D5DE-4D3A-8E04-6839734B6230}"/>
    <cellStyle name="Note 3 2 3 3" xfId="7891" xr:uid="{248A0D2F-077E-40F2-8E6B-E3E39E9967D1}"/>
    <cellStyle name="Note 3 2 3 3 2" xfId="7892" xr:uid="{3E3A812B-DB35-4D9E-8A1C-444CE358D3F9}"/>
    <cellStyle name="Note 3 2 3 3_Jurisdictional Study" xfId="10402" xr:uid="{95644D6C-5735-45C3-80D2-7EC37782EA63}"/>
    <cellStyle name="Note 3 2 3 4" xfId="7893" xr:uid="{FD8AD3A6-FD29-42C5-BA65-EA633667078C}"/>
    <cellStyle name="Note 3 2 3 5" xfId="7886" xr:uid="{0C04F127-B38B-424F-88C8-12778D8BE557}"/>
    <cellStyle name="Note 3 2 3_Jurisdictional Study" xfId="10399" xr:uid="{6F1A56D8-CFA2-431C-A3D6-D8A9E23AD815}"/>
    <cellStyle name="Note 3 2 4" xfId="1349" xr:uid="{7C9911BB-BF5F-4C25-B467-FF7F2B8B58E4}"/>
    <cellStyle name="Note 3 2 4 2" xfId="7895" xr:uid="{D7FF54E1-9CBE-4968-94B8-E9B5C04EA127}"/>
    <cellStyle name="Note 3 2 4 2 2" xfId="7896" xr:uid="{6F437C59-65C4-4D09-A5F1-390DD4416470}"/>
    <cellStyle name="Note 3 2 4 2_Jurisdictional Study" xfId="10404" xr:uid="{786BD892-FAA5-43A8-B124-3D0BAFBBAD98}"/>
    <cellStyle name="Note 3 2 4 3" xfId="7897" xr:uid="{4945CC5E-527D-441A-B68B-21A1552211FF}"/>
    <cellStyle name="Note 3 2 4 4" xfId="7894" xr:uid="{490FD9B8-34EE-4F6B-9796-21A30327E76E}"/>
    <cellStyle name="Note 3 2 4_Jurisdictional Study" xfId="10403" xr:uid="{AEE2DF88-10E5-440E-A3F9-37D17800406F}"/>
    <cellStyle name="Note 3 2 5" xfId="1456" xr:uid="{6040075E-E665-4A03-BCF7-D6C7DD960881}"/>
    <cellStyle name="Note 3 2 5 2" xfId="7899" xr:uid="{C31C4596-1B86-44E9-8724-EEF276057C24}"/>
    <cellStyle name="Note 3 2 5 3" xfId="7898" xr:uid="{54597274-545A-4D6F-A62E-96886DBAB0C2}"/>
    <cellStyle name="Note 3 2 5_Jurisdictional Study" xfId="10405" xr:uid="{550F5B75-76C0-4E5E-A058-08A8391412CE}"/>
    <cellStyle name="Note 3 2 6" xfId="1668" xr:uid="{D410E60A-3C00-4FA2-887E-CCD014FC772A}"/>
    <cellStyle name="Note 3 2 6 2" xfId="7900" xr:uid="{4AE8F25B-BA80-495A-9399-B21589C58CF3}"/>
    <cellStyle name="Note 3 2 6_Jurisdictional Study" xfId="10406" xr:uid="{D6D250BD-9936-4581-9B68-2A5CEE45C116}"/>
    <cellStyle name="Note 3 2 7" xfId="2456" xr:uid="{3FA24D98-54D8-4F80-A1D0-3ADF5788C208}"/>
    <cellStyle name="Note 3 2 8" xfId="2779" xr:uid="{925B466D-BA49-48D5-A083-FA6B44A227B6}"/>
    <cellStyle name="Note 3 2 9" xfId="2190" xr:uid="{AA770BCE-AC6C-4465-B47C-349A496E7FC0}"/>
    <cellStyle name="Note 3 2_Jurisdictional Study" xfId="10390" xr:uid="{C718F7E6-86A5-44FF-B611-0F375BAD52A1}"/>
    <cellStyle name="Note 3 3" xfId="593" xr:uid="{9B44E96E-F7A9-4CA9-A07D-C8BB598352D1}"/>
    <cellStyle name="Note 3 3 2" xfId="7902" xr:uid="{9D282419-7762-4B52-A1A3-9A782B9086B8}"/>
    <cellStyle name="Note 3 3 2 2" xfId="7903" xr:uid="{CC1E7777-45E8-42D7-B19D-A25AFF3CBDE1}"/>
    <cellStyle name="Note 3 3 2 2 2" xfId="7904" xr:uid="{22A3959B-8890-4E2F-8F64-B576026BD1F6}"/>
    <cellStyle name="Note 3 3 2 2 2 2" xfId="7905" xr:uid="{187F9D31-5028-4A6E-9CA2-B5DBE6F531DB}"/>
    <cellStyle name="Note 3 3 2 2 2_Jurisdictional Study" xfId="10410" xr:uid="{8394C6AE-C48E-4554-AB15-835BFFE6BB5E}"/>
    <cellStyle name="Note 3 3 2 2 3" xfId="7906" xr:uid="{9C6979B6-0AEA-45FA-BCE8-D67E96A5CE59}"/>
    <cellStyle name="Note 3 3 2 2_Jurisdictional Study" xfId="10409" xr:uid="{A5222E1C-08A1-408C-8C21-602F990474E0}"/>
    <cellStyle name="Note 3 3 2 3" xfId="7907" xr:uid="{1E94F0F0-4790-48A2-9FB8-7DA6C238758C}"/>
    <cellStyle name="Note 3 3 2 3 2" xfId="7908" xr:uid="{F86DF016-4101-47E1-8958-FC9D02E326A6}"/>
    <cellStyle name="Note 3 3 2 3_Jurisdictional Study" xfId="10411" xr:uid="{25833467-35C1-41B3-A466-4BFB38AC63AD}"/>
    <cellStyle name="Note 3 3 2 4" xfId="7909" xr:uid="{A5C3AF97-D49B-4F94-8EB2-C2857F8180F6}"/>
    <cellStyle name="Note 3 3 2_Jurisdictional Study" xfId="10408" xr:uid="{04CB184D-EE7F-4BC3-AAA7-2EB6E58D630E}"/>
    <cellStyle name="Note 3 3 3" xfId="7910" xr:uid="{2FF34F87-5B99-4C2D-A489-F4AE933799F2}"/>
    <cellStyle name="Note 3 3 3 2" xfId="7911" xr:uid="{C887891F-CB04-4F9B-A6CB-B246C281E1D6}"/>
    <cellStyle name="Note 3 3 3 2 2" xfId="7912" xr:uid="{EEBD3A79-0D20-451B-862D-035544F4A418}"/>
    <cellStyle name="Note 3 3 3 2_Jurisdictional Study" xfId="10413" xr:uid="{762DEDE4-6151-40AB-8ECA-6FFD117A650F}"/>
    <cellStyle name="Note 3 3 3 3" xfId="7913" xr:uid="{5123D399-42E0-4158-90A7-C592994FAE84}"/>
    <cellStyle name="Note 3 3 3_Jurisdictional Study" xfId="10412" xr:uid="{9F180F04-ECFE-4A8F-85F3-A7698DEF85AE}"/>
    <cellStyle name="Note 3 3 4" xfId="7914" xr:uid="{49183F2A-2C2E-4CBA-B939-0019DB856A4A}"/>
    <cellStyle name="Note 3 3 4 2" xfId="7915" xr:uid="{9ED3A96E-538D-4906-B514-5D2F65FD09A9}"/>
    <cellStyle name="Note 3 3 4_Jurisdictional Study" xfId="10414" xr:uid="{0346E9E0-53E4-4836-B88D-8D6B31FF9CC0}"/>
    <cellStyle name="Note 3 3 5" xfId="7916" xr:uid="{B7F93A1E-A48B-4E60-8F69-74BCEEE88E1A}"/>
    <cellStyle name="Note 3 3 6" xfId="7901" xr:uid="{40056C67-1AA5-4AA0-BD98-7C089374A206}"/>
    <cellStyle name="Note 3 3_Jurisdictional Study" xfId="10407" xr:uid="{49F3875E-09A1-49D0-8144-D55CF9A434EB}"/>
    <cellStyle name="Note 3 4" xfId="740" xr:uid="{2570C1B3-4CA0-4663-B355-33E6B9E97CF5}"/>
    <cellStyle name="Note 3 4 2" xfId="7918" xr:uid="{6C9740FD-60AB-4E09-BCC9-BEBAB4AD1C70}"/>
    <cellStyle name="Note 3 4 2 2" xfId="7919" xr:uid="{DDFC680B-AAEE-44D1-833D-980EB691011B}"/>
    <cellStyle name="Note 3 4 2 2 2" xfId="7920" xr:uid="{B595997A-3B52-4DD4-BE72-321879B2297D}"/>
    <cellStyle name="Note 3 4 2 2_Jurisdictional Study" xfId="10417" xr:uid="{FD150562-D861-45DC-9DFF-BA037AAF948C}"/>
    <cellStyle name="Note 3 4 2 3" xfId="7921" xr:uid="{24CD8B81-D7FE-42BC-A990-B53A376EFAB5}"/>
    <cellStyle name="Note 3 4 2_Jurisdictional Study" xfId="10416" xr:uid="{62127F0B-2015-49BD-A8FA-91BEEA030575}"/>
    <cellStyle name="Note 3 4 3" xfId="7922" xr:uid="{CC6EA8F1-5C2F-48F8-9395-F4208C486F52}"/>
    <cellStyle name="Note 3 4 3 2" xfId="7923" xr:uid="{C59381C4-0D23-41B3-B76C-F64686F8ECBD}"/>
    <cellStyle name="Note 3 4 3_Jurisdictional Study" xfId="10418" xr:uid="{C515CCBE-D148-4BCD-8EE0-2A8A09BEAE14}"/>
    <cellStyle name="Note 3 4 4" xfId="7924" xr:uid="{6A22D1C1-F3FD-4D41-AA07-65EA0D664055}"/>
    <cellStyle name="Note 3 4 5" xfId="7917" xr:uid="{666E3DBC-DADD-47B0-BD56-73090C2BE618}"/>
    <cellStyle name="Note 3 4_Jurisdictional Study" xfId="10415" xr:uid="{0D864D31-9E17-472B-8336-CD05CE7CD5D8}"/>
    <cellStyle name="Note 3 5" xfId="1225" xr:uid="{69CA2B3D-CBDA-46E0-B73E-229AEA3AE3B8}"/>
    <cellStyle name="Note 3 5 2" xfId="7926" xr:uid="{BC632B11-061B-4B58-A0B5-567A4D4F832A}"/>
    <cellStyle name="Note 3 5 2 2" xfId="7927" xr:uid="{0EC35741-7367-4655-8263-6294C1D2A462}"/>
    <cellStyle name="Note 3 5 2_Jurisdictional Study" xfId="10420" xr:uid="{94AD8FCF-F503-4773-AB5D-3887B4FFF205}"/>
    <cellStyle name="Note 3 5 3" xfId="7928" xr:uid="{98D07F15-C0CF-4F8D-9E9F-A52BDF11B83C}"/>
    <cellStyle name="Note 3 5 4" xfId="7925" xr:uid="{2FE85949-C297-4141-9896-DCEF263B1AD3}"/>
    <cellStyle name="Note 3 5_Jurisdictional Study" xfId="10419" xr:uid="{0EA87423-5BFC-4A4D-9360-20CD8CDBFA71}"/>
    <cellStyle name="Note 3 6" xfId="677" xr:uid="{B02FCCD9-65B4-4028-A1E1-31722116267A}"/>
    <cellStyle name="Note 3 6 2" xfId="7930" xr:uid="{C8AA655E-DB85-4BF2-8C0C-E833ACBACBE5}"/>
    <cellStyle name="Note 3 6 3" xfId="7929" xr:uid="{121050EE-A42B-4582-923B-2C9A24815836}"/>
    <cellStyle name="Note 3 6_Jurisdictional Study" xfId="10421" xr:uid="{2B940D3B-DEB9-4A7C-A1CC-9F10D4846B8B}"/>
    <cellStyle name="Note 3 7" xfId="1481" xr:uid="{2650B3C5-E82E-4FD8-82BE-193A6C27932E}"/>
    <cellStyle name="Note 3 7 2" xfId="7931" xr:uid="{720F6937-500D-4DB1-9FBE-6C1449971EDB}"/>
    <cellStyle name="Note 3 7_Jurisdictional Study" xfId="10422" xr:uid="{04B8F97B-FAF3-416C-9276-BE718B036E7E}"/>
    <cellStyle name="Note 3 8" xfId="2193" xr:uid="{EE470FF6-EAFA-4B91-819A-DD30C323B121}"/>
    <cellStyle name="Note 3 9" xfId="1829" xr:uid="{D5427FBC-ADA0-4C36-9B07-4E8C1D5D1E0A}"/>
    <cellStyle name="Note 3_Jurisdictional Study" xfId="10389" xr:uid="{88F0ED5B-6ED0-4C80-B727-E70C790091EE}"/>
    <cellStyle name="Note 4" xfId="401" xr:uid="{781FCB35-11CB-4BA9-84FB-8589F5E4031C}"/>
    <cellStyle name="Note 4 10" xfId="2856" xr:uid="{097EDC1A-8BDC-4189-903F-BF4EE3BF86AF}"/>
    <cellStyle name="Note 4 11" xfId="3070" xr:uid="{DF3943EB-05CE-4196-AEDF-308A2776B2F5}"/>
    <cellStyle name="Note 4 12" xfId="7932" xr:uid="{2C5B386A-0B1D-4390-9D27-BD887EC5DE93}"/>
    <cellStyle name="Note 4 2" xfId="957" xr:uid="{67DEA239-48F6-4B13-8BD2-5F10E5678AB8}"/>
    <cellStyle name="Note 4 2 10" xfId="3115" xr:uid="{E1058424-A603-4358-A6B1-E4B6E7E89CD5}"/>
    <cellStyle name="Note 4 2 11" xfId="7933" xr:uid="{9B40519A-8FD3-42A6-996F-C150749B5021}"/>
    <cellStyle name="Note 4 2 2" xfId="529" xr:uid="{4421E287-FFCD-47E2-B034-FB6E4B84D254}"/>
    <cellStyle name="Note 4 2 2 2" xfId="7935" xr:uid="{4456E38C-D539-4FF1-94A6-6EF827F34B25}"/>
    <cellStyle name="Note 4 2 2 2 2" xfId="7936" xr:uid="{13E89AAA-294C-4014-A6BA-0B7E26DC42A8}"/>
    <cellStyle name="Note 4 2 2 2 2 2" xfId="7937" xr:uid="{2433D4F1-2D25-4503-940E-6F67DE579881}"/>
    <cellStyle name="Note 4 2 2 2 2 2 2" xfId="7938" xr:uid="{5D479E53-842A-4CD7-B9B3-843070FE43FD}"/>
    <cellStyle name="Note 4 2 2 2 2 2_Jurisdictional Study" xfId="10428" xr:uid="{E1F7FD37-A841-4533-9E49-0D984A1E47E1}"/>
    <cellStyle name="Note 4 2 2 2 2 3" xfId="7939" xr:uid="{2CA49054-A9AC-4DB0-B82D-A5FB665EF755}"/>
    <cellStyle name="Note 4 2 2 2 2_Jurisdictional Study" xfId="10427" xr:uid="{3EE88D2D-A2BC-44F1-960F-9D82E2741192}"/>
    <cellStyle name="Note 4 2 2 2 3" xfId="7940" xr:uid="{F40F88CC-5873-4DFD-B631-BC05BEB80800}"/>
    <cellStyle name="Note 4 2 2 2 3 2" xfId="7941" xr:uid="{EE36A6E4-2B86-4C1E-8019-EB8108A484E1}"/>
    <cellStyle name="Note 4 2 2 2 3_Jurisdictional Study" xfId="10429" xr:uid="{B3BF164B-D456-49D8-97BD-CC3EE0DAED4D}"/>
    <cellStyle name="Note 4 2 2 2 4" xfId="7942" xr:uid="{5E646A4E-07ED-4272-BF48-1C4C3B2359CA}"/>
    <cellStyle name="Note 4 2 2 2_Jurisdictional Study" xfId="10426" xr:uid="{B89DFCD4-1D3A-421A-AFDB-71A4BFAAA696}"/>
    <cellStyle name="Note 4 2 2 3" xfId="7943" xr:uid="{8C7AA4C1-FE90-427F-81BF-1F155956AFE7}"/>
    <cellStyle name="Note 4 2 2 3 2" xfId="7944" xr:uid="{95CF191B-F65F-465E-BB1B-023ACD3D2EFC}"/>
    <cellStyle name="Note 4 2 2 3 2 2" xfId="7945" xr:uid="{5C275EC3-4600-4B7C-9BB6-B01974A9E5D6}"/>
    <cellStyle name="Note 4 2 2 3 2_Jurisdictional Study" xfId="10431" xr:uid="{C818E59E-DC21-4298-8315-BC5855B2F9BC}"/>
    <cellStyle name="Note 4 2 2 3 3" xfId="7946" xr:uid="{D1D16368-5A87-466A-B402-9FD87C20FDE2}"/>
    <cellStyle name="Note 4 2 2 3_Jurisdictional Study" xfId="10430" xr:uid="{2AEA7BBC-0C53-4F5E-82BB-D31EC475F6E5}"/>
    <cellStyle name="Note 4 2 2 4" xfId="7947" xr:uid="{BED35774-5995-44E4-A072-2E5237A01A63}"/>
    <cellStyle name="Note 4 2 2 4 2" xfId="7948" xr:uid="{888F40CB-D1BC-42B2-B253-BCF934BC4A35}"/>
    <cellStyle name="Note 4 2 2 4_Jurisdictional Study" xfId="10432" xr:uid="{7A7A9094-D799-4331-9C3F-319A4074FA38}"/>
    <cellStyle name="Note 4 2 2 5" xfId="7949" xr:uid="{EE961E6C-5198-4D0D-9C87-862980BE99B3}"/>
    <cellStyle name="Note 4 2 2 6" xfId="7934" xr:uid="{0AD5B815-CB1C-4E21-9B75-ACCBE7C9DF5B}"/>
    <cellStyle name="Note 4 2 2_Jurisdictional Study" xfId="10425" xr:uid="{41FF2780-7FDF-491A-B0F8-421CFFAB6860}"/>
    <cellStyle name="Note 4 2 3" xfId="782" xr:uid="{3C3D22EE-9D2B-49B3-A807-F7CBAC07CF59}"/>
    <cellStyle name="Note 4 2 3 2" xfId="7951" xr:uid="{E691D62A-43B8-4239-9030-52E7419596E8}"/>
    <cellStyle name="Note 4 2 3 2 2" xfId="7952" xr:uid="{331AD039-46AD-4057-AD5C-054738C51418}"/>
    <cellStyle name="Note 4 2 3 2 2 2" xfId="7953" xr:uid="{1A055DFA-48A7-4C01-A536-7C9EF4226F89}"/>
    <cellStyle name="Note 4 2 3 2 2_Jurisdictional Study" xfId="10435" xr:uid="{992E98BB-51E9-43C8-80E4-FC1DE12BCF1A}"/>
    <cellStyle name="Note 4 2 3 2 3" xfId="7954" xr:uid="{27B48FB5-F90E-4831-B019-268C702364DD}"/>
    <cellStyle name="Note 4 2 3 2_Jurisdictional Study" xfId="10434" xr:uid="{272538B4-6B46-4197-AAFF-0F4EB0458D70}"/>
    <cellStyle name="Note 4 2 3 3" xfId="7955" xr:uid="{E3841799-28E0-41FB-B476-3CC3415BCE8C}"/>
    <cellStyle name="Note 4 2 3 3 2" xfId="7956" xr:uid="{120941E5-A810-44A5-A850-0A9A00EDBD5F}"/>
    <cellStyle name="Note 4 2 3 3_Jurisdictional Study" xfId="10436" xr:uid="{12528A26-E5D7-466E-9B41-3065F3F66610}"/>
    <cellStyle name="Note 4 2 3 4" xfId="7957" xr:uid="{6F45DC37-DF1C-4B4D-87B6-26EBFFC0C0C5}"/>
    <cellStyle name="Note 4 2 3 5" xfId="7950" xr:uid="{238B8263-CE20-44DA-8501-45806CAFAAC7}"/>
    <cellStyle name="Note 4 2 3_Jurisdictional Study" xfId="10433" xr:uid="{5C7439CB-BEDE-4F89-9EBC-9246BB8C3893}"/>
    <cellStyle name="Note 4 2 4" xfId="1340" xr:uid="{E448FFC6-D284-42D1-89E0-CBAAE3C66A7D}"/>
    <cellStyle name="Note 4 2 4 2" xfId="7959" xr:uid="{380105F4-CE2F-4FB3-82A8-8C8A4295E703}"/>
    <cellStyle name="Note 4 2 4 2 2" xfId="7960" xr:uid="{BDA8D12D-CB9D-46FE-8283-6A15E91F24C6}"/>
    <cellStyle name="Note 4 2 4 2_Jurisdictional Study" xfId="10438" xr:uid="{D37EB9D3-E316-4429-A8FF-B388C311A47D}"/>
    <cellStyle name="Note 4 2 4 3" xfId="7961" xr:uid="{BC2A2A72-20BE-4C54-BCAE-04366DE53698}"/>
    <cellStyle name="Note 4 2 4 4" xfId="7958" xr:uid="{2F4B5AE9-2707-48D6-B536-A9DEE5D7097C}"/>
    <cellStyle name="Note 4 2 4_Jurisdictional Study" xfId="10437" xr:uid="{74B5FE26-A4DB-450B-8585-9B46AE3EC357}"/>
    <cellStyle name="Note 4 2 5" xfId="640" xr:uid="{EE115F42-4B7A-447F-BABB-CD98F104218D}"/>
    <cellStyle name="Note 4 2 5 2" xfId="7963" xr:uid="{7CA64A7C-04C7-48DA-BD90-249D953272A4}"/>
    <cellStyle name="Note 4 2 5 3" xfId="7962" xr:uid="{16F56B1D-7572-4D08-BBD3-41283A6315C9}"/>
    <cellStyle name="Note 4 2 5_Jurisdictional Study" xfId="10439" xr:uid="{30FEBE49-5F22-4DF9-BCBC-2D686EE1630B}"/>
    <cellStyle name="Note 4 2 6" xfId="1659" xr:uid="{0F700F66-EB59-4F58-8EF1-DC9076CDCF92}"/>
    <cellStyle name="Note 4 2 6 2" xfId="7964" xr:uid="{DE3E24CC-91AF-455A-B3E5-705F115DE870}"/>
    <cellStyle name="Note 4 2 6_Jurisdictional Study" xfId="10440" xr:uid="{DA6CD7BA-8B9C-42BE-89FB-E7DBE1E8D141}"/>
    <cellStyle name="Note 4 2 7" xfId="2447" xr:uid="{4CC41220-5C9A-40CB-8F0A-1FCB769C499C}"/>
    <cellStyle name="Note 4 2 8" xfId="2770" xr:uid="{6AE6D052-8802-4133-BB78-BB950996AA2C}"/>
    <cellStyle name="Note 4 2 9" xfId="2702" xr:uid="{8526F1F2-6BF5-499A-9BCE-39586B3FBD7D}"/>
    <cellStyle name="Note 4 2_Jurisdictional Study" xfId="10424" xr:uid="{7D57C0FF-340B-43A0-AE7C-277F113EDD52}"/>
    <cellStyle name="Note 4 3" xfId="772" xr:uid="{FE938B00-E8E8-44E4-AA31-05ED0B4EBFB0}"/>
    <cellStyle name="Note 4 3 2" xfId="7966" xr:uid="{B9E54022-98A4-4C1D-A4F7-0DE152FD942F}"/>
    <cellStyle name="Note 4 3 2 2" xfId="7967" xr:uid="{861C07EA-BBEC-4DBB-A762-F9256DBD4F2E}"/>
    <cellStyle name="Note 4 3 2 2 2" xfId="7968" xr:uid="{15491D60-5E97-4BD8-B3E6-384B61A44C48}"/>
    <cellStyle name="Note 4 3 2 2 2 2" xfId="7969" xr:uid="{ECA29707-0BA0-416D-9FA5-FB0708F1F868}"/>
    <cellStyle name="Note 4 3 2 2 2_Jurisdictional Study" xfId="10444" xr:uid="{DE261589-32E0-4930-A95B-A04CFD141E57}"/>
    <cellStyle name="Note 4 3 2 2 3" xfId="7970" xr:uid="{0866D964-9D2B-4D56-83D8-DAE840647D4A}"/>
    <cellStyle name="Note 4 3 2 2_Jurisdictional Study" xfId="10443" xr:uid="{106D3AB7-5A4C-4FD2-9926-37AE83DCF3D9}"/>
    <cellStyle name="Note 4 3 2 3" xfId="7971" xr:uid="{495A1027-7F50-431F-A71B-3DA4B0C75F70}"/>
    <cellStyle name="Note 4 3 2 3 2" xfId="7972" xr:uid="{86433D85-5F6C-474E-A541-822A0F04044C}"/>
    <cellStyle name="Note 4 3 2 3_Jurisdictional Study" xfId="10445" xr:uid="{050A401A-6801-4B55-B07D-D546AECEA925}"/>
    <cellStyle name="Note 4 3 2 4" xfId="7973" xr:uid="{3CCCF824-B014-43B7-AD0E-7F4083269F54}"/>
    <cellStyle name="Note 4 3 2_Jurisdictional Study" xfId="10442" xr:uid="{4B56C935-FD7C-4965-A11D-BBBA2D8E1465}"/>
    <cellStyle name="Note 4 3 3" xfId="7974" xr:uid="{42BDE300-51DB-41AA-87A0-208CBD2745E0}"/>
    <cellStyle name="Note 4 3 3 2" xfId="7975" xr:uid="{93A2DA4F-9168-4EEF-9CC0-EF080F2ECD54}"/>
    <cellStyle name="Note 4 3 3 2 2" xfId="7976" xr:uid="{E218CE4E-E3BE-426C-AC03-039306555F44}"/>
    <cellStyle name="Note 4 3 3 2_Jurisdictional Study" xfId="10447" xr:uid="{E6A4563B-6DE4-458C-9013-DACD3E7E80BC}"/>
    <cellStyle name="Note 4 3 3 3" xfId="7977" xr:uid="{5F01E1AE-97D6-477A-A8B5-E3A8943D030D}"/>
    <cellStyle name="Note 4 3 3_Jurisdictional Study" xfId="10446" xr:uid="{8780745F-0ECE-4DFE-A9C3-94AF8516A299}"/>
    <cellStyle name="Note 4 3 4" xfId="7978" xr:uid="{5D7C37C2-DF02-4F54-82ED-2F3CCF8A74A0}"/>
    <cellStyle name="Note 4 3 4 2" xfId="7979" xr:uid="{64D78D62-419A-4D3E-B058-1D00EE7E225D}"/>
    <cellStyle name="Note 4 3 4_Jurisdictional Study" xfId="10448" xr:uid="{F05423D2-D113-4A65-8D6B-5083CA21A767}"/>
    <cellStyle name="Note 4 3 5" xfId="7980" xr:uid="{79C49187-BFDD-44F9-B663-0675113D027A}"/>
    <cellStyle name="Note 4 3 6" xfId="7965" xr:uid="{C0505412-E125-473C-B11F-601731C7DBB4}"/>
    <cellStyle name="Note 4 3_Jurisdictional Study" xfId="10441" xr:uid="{1526F41B-65BC-4D36-B973-89CFFD4DFFE4}"/>
    <cellStyle name="Note 4 4" xfId="771" xr:uid="{5B3EF0D4-FF30-4D80-BD81-6B5322E81BF1}"/>
    <cellStyle name="Note 4 4 2" xfId="7982" xr:uid="{F48E22CF-56CD-4521-B44F-42467D92087F}"/>
    <cellStyle name="Note 4 4 2 2" xfId="7983" xr:uid="{F40608A7-0155-4E3F-8752-0028425B3DF0}"/>
    <cellStyle name="Note 4 4 2 2 2" xfId="7984" xr:uid="{B9C9C5E8-D9C8-45E9-A60E-618DA4756670}"/>
    <cellStyle name="Note 4 4 2 2_Jurisdictional Study" xfId="10451" xr:uid="{2520F0FF-64F9-4761-AF4E-E4C2C210C4F1}"/>
    <cellStyle name="Note 4 4 2 3" xfId="7985" xr:uid="{B369FB7D-1DBE-41CE-896B-DB536D759113}"/>
    <cellStyle name="Note 4 4 2_Jurisdictional Study" xfId="10450" xr:uid="{C962D150-ADBE-42BC-8267-A1AD2902C3D1}"/>
    <cellStyle name="Note 4 4 3" xfId="7986" xr:uid="{E8EEFB06-AB91-479E-8755-A231D838A140}"/>
    <cellStyle name="Note 4 4 3 2" xfId="7987" xr:uid="{7A384EB3-8F14-4AEE-9F7E-E94A6801D74C}"/>
    <cellStyle name="Note 4 4 3_Jurisdictional Study" xfId="10452" xr:uid="{9F7F8203-D3AE-4FA2-B714-502643BDDD5B}"/>
    <cellStyle name="Note 4 4 4" xfId="7988" xr:uid="{F8062CF2-C49B-40EC-8E7D-5CE3D7BA41D2}"/>
    <cellStyle name="Note 4 4 5" xfId="7981" xr:uid="{46A47096-FA50-477C-9EEE-03541607037C}"/>
    <cellStyle name="Note 4 4_Jurisdictional Study" xfId="10449" xr:uid="{989F2C37-B182-41DB-98DA-78F73E215A38}"/>
    <cellStyle name="Note 4 5" xfId="1216" xr:uid="{521E7486-66D7-43F7-AA29-255EF0AE8AC2}"/>
    <cellStyle name="Note 4 5 2" xfId="7990" xr:uid="{2B47848F-6255-4C63-97B4-D5A603947732}"/>
    <cellStyle name="Note 4 5 2 2" xfId="7991" xr:uid="{801DF145-36D7-4445-AA78-274BF5BFEAD1}"/>
    <cellStyle name="Note 4 5 2_Jurisdictional Study" xfId="10454" xr:uid="{625AC281-2612-4804-80B0-3F42023D4B4C}"/>
    <cellStyle name="Note 4 5 3" xfId="7992" xr:uid="{1BA3319A-57FB-4535-9FAA-C34468488AF9}"/>
    <cellStyle name="Note 4 5 4" xfId="7989" xr:uid="{4D7FA6BE-1A0B-41FC-8191-F8726530D090}"/>
    <cellStyle name="Note 4 5_Jurisdictional Study" xfId="10453" xr:uid="{6576A3D4-2624-4671-88E7-C3F50509F465}"/>
    <cellStyle name="Note 4 6" xfId="1293" xr:uid="{54882129-7263-4F05-ACBE-1AC36DF850FD}"/>
    <cellStyle name="Note 4 6 2" xfId="7994" xr:uid="{8794B509-9B5E-455D-9B27-62C61F3F0054}"/>
    <cellStyle name="Note 4 6 3" xfId="7993" xr:uid="{B4983130-E89F-4C1C-A701-C3C621709F5C}"/>
    <cellStyle name="Note 4 6_Jurisdictional Study" xfId="10455" xr:uid="{F11561BE-D0AB-4807-87F4-E5C569B1A361}"/>
    <cellStyle name="Note 4 7" xfId="1474" xr:uid="{2B8C387E-68A8-46A8-83CD-41A7DE6FD7E0}"/>
    <cellStyle name="Note 4 7 2" xfId="7995" xr:uid="{9227FF91-FE6E-4709-AB23-730FEA0832F5}"/>
    <cellStyle name="Note 4 7_Jurisdictional Study" xfId="10456" xr:uid="{296A0C01-88F7-479C-911E-A39487B40D5D}"/>
    <cellStyle name="Note 4 8" xfId="2314" xr:uid="{F57E7067-6C91-4A5F-AEA8-7D3C16A50A5C}"/>
    <cellStyle name="Note 4 9" xfId="2116" xr:uid="{F80D6C7E-B622-49B9-9AD6-B86AA2D97D4C}"/>
    <cellStyle name="Note 4_Jurisdictional Study" xfId="10423" xr:uid="{5431720B-F566-4220-BAB5-8B375C41A0DE}"/>
    <cellStyle name="Note 5" xfId="409" xr:uid="{55A5F085-074D-4E89-912A-4B8A73BAE1F5}"/>
    <cellStyle name="Note 5 10" xfId="2981" xr:uid="{047F0830-D709-4A53-A287-6B5AD1A349C7}"/>
    <cellStyle name="Note 5 11" xfId="3079" xr:uid="{1C0A8F4A-8276-4F64-B080-7A8B3BC7ABE3}"/>
    <cellStyle name="Note 5 12" xfId="7996" xr:uid="{48CF5C6D-70EE-47B5-B9CF-FBE0C7A530B4}"/>
    <cellStyle name="Note 5 2" xfId="965" xr:uid="{F21B622A-3624-45C3-82BD-F184E748FD3C}"/>
    <cellStyle name="Note 5 2 10" xfId="2844" xr:uid="{457F1CD0-5B23-44D8-B1A1-5FB57AE2AF03}"/>
    <cellStyle name="Note 5 2 11" xfId="7997" xr:uid="{9DAC865F-6E89-44AA-BB9E-22225C6E646F}"/>
    <cellStyle name="Note 5 2 2" xfId="767" xr:uid="{EF9FF351-0F38-40EE-BF12-E9C85CF622E2}"/>
    <cellStyle name="Note 5 2 2 2" xfId="7999" xr:uid="{18F04703-2B16-452B-85EC-7B7ADA3F11D0}"/>
    <cellStyle name="Note 5 2 2 3" xfId="7998" xr:uid="{FFB6FA75-9875-4518-8347-24E50E9A8F4F}"/>
    <cellStyle name="Note 5 2 2_Jurisdictional Study" xfId="10459" xr:uid="{380243D4-AEC1-4707-8EDB-9D5BB24BEEC4}"/>
    <cellStyle name="Note 5 2 3" xfId="793" xr:uid="{386A0062-738F-4DB8-8330-2AB9D6F509C5}"/>
    <cellStyle name="Note 5 2 3 2" xfId="8000" xr:uid="{B0089245-E8B9-4714-9618-6A895BF1D32E}"/>
    <cellStyle name="Note 5 2 3_Jurisdictional Study" xfId="10460" xr:uid="{50895EEC-73D5-4055-A247-274DB7EC1036}"/>
    <cellStyle name="Note 5 2 4" xfId="1348" xr:uid="{D4D2B099-7616-48AD-9F52-683DEC50D1F3}"/>
    <cellStyle name="Note 5 2 5" xfId="647" xr:uid="{45236B9D-7FAC-45D1-B16D-7BC160C1272E}"/>
    <cellStyle name="Note 5 2 6" xfId="1667" xr:uid="{A383BB3D-340C-46E8-95DA-FDEEF8D4036F}"/>
    <cellStyle name="Note 5 2 7" xfId="2455" xr:uid="{A8F35A1C-B259-4F81-9C0C-EAAD955C4565}"/>
    <cellStyle name="Note 5 2 8" xfId="2778" xr:uid="{C44CDA2F-1573-42BA-B54A-7AEF52C37862}"/>
    <cellStyle name="Note 5 2 9" xfId="1792" xr:uid="{45912B8B-BF7B-4047-A218-36E0E161C563}"/>
    <cellStyle name="Note 5 2_Jurisdictional Study" xfId="10458" xr:uid="{40ADF9DD-915E-4403-8B30-42653F0F73C9}"/>
    <cellStyle name="Note 5 3" xfId="1097" xr:uid="{C094836D-E80A-419C-910F-A003B6840901}"/>
    <cellStyle name="Note 5 3 2" xfId="8002" xr:uid="{7E85F966-457F-4EAE-A114-809D13CB5294}"/>
    <cellStyle name="Note 5 3 3" xfId="8001" xr:uid="{A1D2E575-7EB5-48B8-8537-7E5520B3C9FE}"/>
    <cellStyle name="Note 5 3_Jurisdictional Study" xfId="10461" xr:uid="{4022E0A4-BF49-4920-9113-6214CB737496}"/>
    <cellStyle name="Note 5 4" xfId="1172" xr:uid="{3B49A8CE-0487-4B97-897D-9034E38B6794}"/>
    <cellStyle name="Note 5 4 2" xfId="8003" xr:uid="{5E1CB4F5-0EB1-40EE-A5A1-4C99A7DDFBE0}"/>
    <cellStyle name="Note 5 4_Jurisdictional Study" xfId="10462" xr:uid="{22F8B3EE-95DE-49DF-8EBB-5BB960BA5EF2}"/>
    <cellStyle name="Note 5 5" xfId="1224" xr:uid="{F0BE91B4-5006-4641-B464-02F7EAAAED36}"/>
    <cellStyle name="Note 5 6" xfId="843" xr:uid="{66588B25-F270-4BB0-9F69-467D776EF8C6}"/>
    <cellStyle name="Note 5 7" xfId="1505" xr:uid="{71C5A132-CDB8-46B4-AEE9-FDFB46A95594}"/>
    <cellStyle name="Note 5 8" xfId="2320" xr:uid="{A38AE554-7793-4E81-A58E-B7555B5AC3C0}"/>
    <cellStyle name="Note 5 9" xfId="2646" xr:uid="{9D5F3454-938A-4903-BF68-CC962D05CA4C}"/>
    <cellStyle name="Note 5_Jurisdictional Study" xfId="10457" xr:uid="{355EFAE7-FACA-40A5-8482-6FF5F3DEC09F}"/>
    <cellStyle name="Note 6" xfId="402" xr:uid="{433E18D8-8385-42F9-9EF8-B72AC40403EA}"/>
    <cellStyle name="Note 6 10" xfId="2150" xr:uid="{90710C7D-156E-45E6-B217-3C5DD962441E}"/>
    <cellStyle name="Note 6 11" xfId="3024" xr:uid="{E795BE46-F1AC-4F02-B339-0CB170142D8A}"/>
    <cellStyle name="Note 6 12" xfId="8004" xr:uid="{6AE03D61-B80D-477D-A325-D09947BDE594}"/>
    <cellStyle name="Note 6 2" xfId="958" xr:uid="{411DAF1D-9BD0-49B0-885F-56C00F2B70BC}"/>
    <cellStyle name="Note 6 2 10" xfId="3096" xr:uid="{77D56FB4-D9AF-4A82-81DD-F2AC8529221D}"/>
    <cellStyle name="Note 6 2 11" xfId="8005" xr:uid="{631C0162-6E47-4C70-B230-3C48A8994D90}"/>
    <cellStyle name="Note 6 2 2" xfId="857" xr:uid="{22D1E8A5-1951-4275-A02D-E4F49414C5AF}"/>
    <cellStyle name="Note 6 2 2 2" xfId="8007" xr:uid="{1558ABB8-3C49-4E0F-8DDF-9243411EFEB0}"/>
    <cellStyle name="Note 6 2 2 3" xfId="8006" xr:uid="{207E553D-1CC6-4B2A-B19D-9888840DCCB5}"/>
    <cellStyle name="Note 6 2 2_Jurisdictional Study" xfId="10465" xr:uid="{02AAE301-34A4-4089-9A8D-2DCD78EDDE73}"/>
    <cellStyle name="Note 6 2 3" xfId="1067" xr:uid="{8E83E000-42F3-4C32-B701-326952D1ED21}"/>
    <cellStyle name="Note 6 2 3 2" xfId="8008" xr:uid="{2CF5674F-6A10-43F2-B16D-FCEA8EECF55B}"/>
    <cellStyle name="Note 6 2 3_Jurisdictional Study" xfId="10466" xr:uid="{CEB4A6EF-1F29-46E5-8E18-C543AEDAB420}"/>
    <cellStyle name="Note 6 2 4" xfId="1341" xr:uid="{D43E299F-A5F6-4752-9577-E9914F2A6324}"/>
    <cellStyle name="Note 6 2 5" xfId="1459" xr:uid="{E97E86BE-60A7-4C49-B130-92ABF650047C}"/>
    <cellStyle name="Note 6 2 6" xfId="1660" xr:uid="{A0942E87-0482-490D-8CF4-706386266BE1}"/>
    <cellStyle name="Note 6 2 7" xfId="2448" xr:uid="{A6DD7DB0-39C0-498F-97EF-47EFFF56523C}"/>
    <cellStyle name="Note 6 2 8" xfId="2771" xr:uid="{9B070834-40D9-41CC-BD27-3970388DA3B0}"/>
    <cellStyle name="Note 6 2 9" xfId="2718" xr:uid="{C342458D-4DBD-469D-B35E-3A665CBB195A}"/>
    <cellStyle name="Note 6 2_Jurisdictional Study" xfId="10464" xr:uid="{FEEB8744-F6A0-4039-A706-43358F9D122F}"/>
    <cellStyle name="Note 6 3" xfId="1049" xr:uid="{C56FDFFC-2FF0-4882-88F2-C821F796BC32}"/>
    <cellStyle name="Note 6 3 2" xfId="8010" xr:uid="{A25B56B4-A401-49AA-A003-A0A589968315}"/>
    <cellStyle name="Note 6 3 3" xfId="8009" xr:uid="{51A50129-C71C-428F-A3EA-7344803E84DC}"/>
    <cellStyle name="Note 6 3_Jurisdictional Study" xfId="10467" xr:uid="{D84AB8ED-D55A-4E5F-8A3B-BF67042076AD}"/>
    <cellStyle name="Note 6 4" xfId="1123" xr:uid="{B7E076DA-B955-45B0-8AFF-29D266A70B1F}"/>
    <cellStyle name="Note 6 4 2" xfId="8011" xr:uid="{7F18A683-BD8C-4E23-893D-44851DB02CF3}"/>
    <cellStyle name="Note 6 4_Jurisdictional Study" xfId="10468" xr:uid="{31DB3081-B352-411F-943E-0A3955CAF315}"/>
    <cellStyle name="Note 6 5" xfId="1217" xr:uid="{0F1EEDFB-076E-4509-8207-E877ED1D5B61}"/>
    <cellStyle name="Note 6 6" xfId="1488" xr:uid="{A1134680-1377-48AC-89C9-B5AE0CCD61BC}"/>
    <cellStyle name="Note 6 7" xfId="1514" xr:uid="{3FC5AEA3-5A55-441F-BA3C-3440951AF662}"/>
    <cellStyle name="Note 6 8" xfId="2187" xr:uid="{5A90A557-7894-4B27-963A-5604F0280EB5}"/>
    <cellStyle name="Note 6 9" xfId="2050" xr:uid="{EDC9053D-E023-4CE0-83F5-DA0ACAC6E0E4}"/>
    <cellStyle name="Note 6_Jurisdictional Study" xfId="10463" xr:uid="{0CE91130-01AF-4AAF-9D4F-5147DAAF20DE}"/>
    <cellStyle name="Note 7" xfId="408" xr:uid="{6716E09C-9EE6-4228-989A-21D4641DE05F}"/>
    <cellStyle name="Note 7 10" xfId="2592" xr:uid="{E3291ACD-915E-492E-A8AB-08B1672A767C}"/>
    <cellStyle name="Note 7 11" xfId="2868" xr:uid="{560061F4-FBA1-42CC-A8D8-B47F1B78A531}"/>
    <cellStyle name="Note 7 12" xfId="8012" xr:uid="{B128C9D3-3010-49E6-8A33-25FE8AF9E846}"/>
    <cellStyle name="Note 7 2" xfId="964" xr:uid="{DD0E4246-87DB-4F63-9281-4E62573F3427}"/>
    <cellStyle name="Note 7 2 10" xfId="3075" xr:uid="{EA64C03A-8506-4F2E-B3DC-F5B988F75D2B}"/>
    <cellStyle name="Note 7 2 11" xfId="8013" xr:uid="{98BE806D-D31F-425E-96D4-550A73F497A8}"/>
    <cellStyle name="Note 7 2 2" xfId="1053" xr:uid="{57FEF698-1EC3-45EF-94BC-E2DA9A11FF7F}"/>
    <cellStyle name="Note 7 2 2 2" xfId="8014" xr:uid="{95D99CBB-271F-4286-967C-A27012FB62D2}"/>
    <cellStyle name="Note 7 2 2_Jurisdictional Study" xfId="10471" xr:uid="{17E6D4D0-A9BE-4A40-9377-C46A1A882017}"/>
    <cellStyle name="Note 7 2 3" xfId="1128" xr:uid="{C9AC5B30-EFF7-4F59-BFDE-34A2F19DA337}"/>
    <cellStyle name="Note 7 2 4" xfId="1347" xr:uid="{E773A1A4-E394-4D7A-B814-BD91BF84C9D2}"/>
    <cellStyle name="Note 7 2 5" xfId="1457" xr:uid="{CFD0AB66-58CE-444B-870F-B3BA901209D0}"/>
    <cellStyle name="Note 7 2 6" xfId="1666" xr:uid="{C1F90EC5-91A8-4823-9C2F-613063570877}"/>
    <cellStyle name="Note 7 2 7" xfId="2454" xr:uid="{306B8474-9806-4A76-8E37-550753206AA8}"/>
    <cellStyle name="Note 7 2 8" xfId="2777" xr:uid="{0AC4933A-662D-4E55-BCC4-B2C57E39D854}"/>
    <cellStyle name="Note 7 2 9" xfId="1954" xr:uid="{DD7CB45E-D0F0-4CBB-A17B-157C0FF9E093}"/>
    <cellStyle name="Note 7 2_Jurisdictional Study" xfId="10470" xr:uid="{F8DDFDBD-4319-4F69-BFA5-D1C56159C63A}"/>
    <cellStyle name="Note 7 3" xfId="890" xr:uid="{01A81C0D-41EE-4C33-9905-BCAC334357EE}"/>
    <cellStyle name="Note 7 3 2" xfId="8015" xr:uid="{DD045A9E-4EBB-4BA4-B8EF-DF01651C7A25}"/>
    <cellStyle name="Note 7 3_Jurisdictional Study" xfId="10472" xr:uid="{B497EFF2-2EC8-4BCE-9916-34057C0D8144}"/>
    <cellStyle name="Note 7 4" xfId="504" xr:uid="{AF08FF61-C6E9-4898-A018-4D00CEB7FCC5}"/>
    <cellStyle name="Note 7 5" xfId="1223" xr:uid="{6E7D212C-C18A-4950-AA76-2189948680EA}"/>
    <cellStyle name="Note 7 6" xfId="1413" xr:uid="{35129A6E-86D6-4FFF-A53A-B5B03472CE08}"/>
    <cellStyle name="Note 7 7" xfId="827" xr:uid="{1F127578-4B0B-4A25-BEAF-BDECF0480F06}"/>
    <cellStyle name="Note 7 8" xfId="2215" xr:uid="{38F0CF99-5B4E-4092-88DA-834F88B453E8}"/>
    <cellStyle name="Note 7 9" xfId="1740" xr:uid="{9E77B895-70F7-4BEE-84E1-B0B81CE6FC06}"/>
    <cellStyle name="Note 7_Jurisdictional Study" xfId="10469" xr:uid="{25CF1F55-43CA-4DFA-A31E-AEFF02B9842C}"/>
    <cellStyle name="Note 8" xfId="403" xr:uid="{6B1F9F9A-71D6-4087-A8F3-E6149C38A5E9}"/>
    <cellStyle name="Note 8 10" xfId="2952" xr:uid="{05B34309-23F0-48A4-8D05-25ACD876E3E8}"/>
    <cellStyle name="Note 8 11" xfId="2490" xr:uid="{66310F22-3917-4C32-B3CF-DD362BAD90F6}"/>
    <cellStyle name="Note 8 12" xfId="8016" xr:uid="{516B0787-297E-4D06-8CE9-D8A36FFFD4F3}"/>
    <cellStyle name="Note 8 2" xfId="959" xr:uid="{E437FBB2-44B9-4541-87E0-93A7A42BBC49}"/>
    <cellStyle name="Note 8 2 10" xfId="3083" xr:uid="{71D8BD6E-DC99-4C71-8A73-F7E26F231A9E}"/>
    <cellStyle name="Note 8 2 11" xfId="8017" xr:uid="{39573F11-F5B9-46A1-B86A-6557454F918E}"/>
    <cellStyle name="Note 8 2 2" xfId="830" xr:uid="{40A6A3C0-324A-497D-9015-1FBFFC9B8947}"/>
    <cellStyle name="Note 8 2 2 2" xfId="8018" xr:uid="{ACEBE39B-2A99-436E-ABE4-98099137CB8A}"/>
    <cellStyle name="Note 8 2 2_Jurisdictional Study" xfId="10475" xr:uid="{0BA973B9-C68F-4537-A472-67A123DF2695}"/>
    <cellStyle name="Note 8 2 3" xfId="633" xr:uid="{B0B67949-75BA-4B7B-B032-2FE23EC6731E}"/>
    <cellStyle name="Note 8 2 4" xfId="1342" xr:uid="{038C351D-59B9-4C71-AA56-74E2ACB14AED}"/>
    <cellStyle name="Note 8 2 5" xfId="485" xr:uid="{C6ACF3B0-7F0D-4273-BE55-3BDCBD7D28E8}"/>
    <cellStyle name="Note 8 2 6" xfId="1661" xr:uid="{FB6E3035-1851-41CE-81BB-1299A35CBFF1}"/>
    <cellStyle name="Note 8 2 7" xfId="2449" xr:uid="{C2B3DA9C-EA8A-4A76-BB3C-75FEC3F10115}"/>
    <cellStyle name="Note 8 2 8" xfId="2772" xr:uid="{73F5C03C-0F4D-47A7-BEA0-3C3450BB4B31}"/>
    <cellStyle name="Note 8 2 9" xfId="2894" xr:uid="{415B9FC6-E5F1-46E0-BD73-6536722A229C}"/>
    <cellStyle name="Note 8 2_Jurisdictional Study" xfId="10474" xr:uid="{A855FE61-4E80-4145-B7C8-573AB2A598D8}"/>
    <cellStyle name="Note 8 3" xfId="905" xr:uid="{652CE8E7-1769-46FC-94CA-CE4425252B32}"/>
    <cellStyle name="Note 8 3 2" xfId="8019" xr:uid="{494C2269-18AC-40E8-906A-EC30CF89C507}"/>
    <cellStyle name="Note 8 3_Jurisdictional Study" xfId="10476" xr:uid="{2F2D3DE4-DD54-4508-AAF8-7A0D2F7D5758}"/>
    <cellStyle name="Note 8 4" xfId="569" xr:uid="{1B152F42-4B62-44FF-8313-1C15ADB9B03D}"/>
    <cellStyle name="Note 8 5" xfId="1218" xr:uid="{1FFF6B3C-3E8E-404A-B377-DBFDE7E0244C}"/>
    <cellStyle name="Note 8 6" xfId="1297" xr:uid="{4503BC2F-D421-42F3-8B11-99F969B68A0D}"/>
    <cellStyle name="Note 8 7" xfId="1433" xr:uid="{4CE26053-815C-4D1E-BEC5-8D6EFB6D6EC0}"/>
    <cellStyle name="Note 8 8" xfId="2366" xr:uid="{B5EE6052-0059-466E-829E-E78BD2E31B1E}"/>
    <cellStyle name="Note 8 9" xfId="2295" xr:uid="{BF07718D-47D4-4761-A76D-6B550430E023}"/>
    <cellStyle name="Note 8_Jurisdictional Study" xfId="10473" xr:uid="{1AA72DF4-4CF5-41F7-AB7A-4E35C631A6B9}"/>
    <cellStyle name="Note 9" xfId="407" xr:uid="{48D8FCCC-4E19-4243-BBAD-82E354AB6CA4}"/>
    <cellStyle name="Note 9 10" xfId="2985" xr:uid="{C3BC3E3B-176C-4262-AC43-35938E8E96EC}"/>
    <cellStyle name="Note 9 11" xfId="3039" xr:uid="{AC5732DD-D25D-4BA0-97E5-62416F439DB0}"/>
    <cellStyle name="Note 9 12" xfId="8020" xr:uid="{4719950D-F10E-4EAF-9A31-F38303F8227C}"/>
    <cellStyle name="Note 9 2" xfId="963" xr:uid="{88119229-5A3E-494F-BBC9-C6C1C35FD64B}"/>
    <cellStyle name="Note 9 2 10" xfId="2632" xr:uid="{8A0414D6-B93E-468A-AE99-E942FB507E64}"/>
    <cellStyle name="Note 9 2 11" xfId="8021" xr:uid="{6934D557-9B47-44BE-9814-C3BDE3D0614D}"/>
    <cellStyle name="Note 9 2 2" xfId="705" xr:uid="{8C8A0D1D-93AB-427F-8970-E1667FB9B638}"/>
    <cellStyle name="Note 9 2 2 2" xfId="8022" xr:uid="{B3695135-292A-46EF-9134-E3A3ECCE5321}"/>
    <cellStyle name="Note 9 2 2_Jurisdictional Study" xfId="10479" xr:uid="{5F31FED0-670E-4A59-B72F-6514C1B84B22}"/>
    <cellStyle name="Note 9 2 3" xfId="539" xr:uid="{717F60EF-C9C5-4B41-AF31-6E079232E2D1}"/>
    <cellStyle name="Note 9 2 4" xfId="1346" xr:uid="{DC14351B-C0B0-4565-A0E3-B23DBEA25ADE}"/>
    <cellStyle name="Note 9 2 5" xfId="1448" xr:uid="{8738296A-2918-4F90-8B41-8898994534F1}"/>
    <cellStyle name="Note 9 2 6" xfId="1665" xr:uid="{DDD592CE-8B19-4A60-B922-70534348F79E}"/>
    <cellStyle name="Note 9 2 7" xfId="2453" xr:uid="{2488AFAB-B646-4DE9-8258-9235200D1AE1}"/>
    <cellStyle name="Note 9 2 8" xfId="2776" xr:uid="{F04BA598-7504-4F1D-BE86-940C82584C4B}"/>
    <cellStyle name="Note 9 2 9" xfId="2166" xr:uid="{15300D8D-CABB-443C-B1B7-C761F9ABB813}"/>
    <cellStyle name="Note 9 2_Jurisdictional Study" xfId="10478" xr:uid="{2772701A-25D8-4252-B38B-8D2FB7D49131}"/>
    <cellStyle name="Note 9 3" xfId="751" xr:uid="{6DD141BD-9CB9-4CA6-808A-733C785450AD}"/>
    <cellStyle name="Note 9 3 2" xfId="8023" xr:uid="{4822A4BB-D42D-4241-8684-703AAC686C0C}"/>
    <cellStyle name="Note 9 3_Jurisdictional Study" xfId="10480" xr:uid="{ECDDF6BA-CF86-434C-BD9A-931EAF2F3C11}"/>
    <cellStyle name="Note 9 4" xfId="1103" xr:uid="{DF1FDC84-8A3A-4351-AFAB-BAE697DFBB14}"/>
    <cellStyle name="Note 9 5" xfId="1222" xr:uid="{8D27834E-E404-4DC2-B425-311211C9EF23}"/>
    <cellStyle name="Note 9 6" xfId="1043" xr:uid="{10812770-1205-4213-9B61-8A9F4CBBBD3F}"/>
    <cellStyle name="Note 9 7" xfId="1502" xr:uid="{A84D3C23-0083-421E-A737-7DD16996DB5D}"/>
    <cellStyle name="Note 9 8" xfId="2344" xr:uid="{1CB8F9FC-288D-4FD3-99E9-969EC5DA7DDA}"/>
    <cellStyle name="Note 9 9" xfId="2682" xr:uid="{BBDBCCF3-C757-4756-87D0-F8F6DEA982BD}"/>
    <cellStyle name="Note 9_Jurisdictional Study" xfId="10477" xr:uid="{A09B1E1F-B4CE-4495-BBF9-AB5AC0D2D5BD}"/>
    <cellStyle name="Output" xfId="61" builtinId="21" customBuiltin="1"/>
    <cellStyle name="Output 2" xfId="286" xr:uid="{D256D544-2927-47FA-969E-28F6102F0D73}"/>
    <cellStyle name="Output 2 2" xfId="1114" xr:uid="{BA190BD2-7A70-44FA-871F-6668A5D7CE61}"/>
    <cellStyle name="Output 2 2 2" xfId="8025" xr:uid="{4C0DCF89-3C92-45E3-91B2-0716369C4F26}"/>
    <cellStyle name="Output 2 2_Jurisdictional Study" xfId="10482" xr:uid="{AF5074ED-A1D1-4DAC-A61F-45350B594CF9}"/>
    <cellStyle name="Output 2 3" xfId="508" xr:uid="{7DCCB6D2-2DB0-4BA7-814B-01E5EB4FB2EE}"/>
    <cellStyle name="Output 2 4" xfId="1063" xr:uid="{47B63E74-9B90-4F8A-8BA6-CD9D8CFCE87A}"/>
    <cellStyle name="Output 2 5" xfId="1294" xr:uid="{A6A825ED-30C1-4223-94C6-D2895E160220}"/>
    <cellStyle name="Output 2 6" xfId="2090" xr:uid="{A04882D6-C0A0-463A-B4D2-18DAB1EC0571}"/>
    <cellStyle name="Output 2 7" xfId="2904" xr:uid="{40EABD3C-DD7A-48D0-890B-9590776139AB}"/>
    <cellStyle name="Output 2 8" xfId="8024" xr:uid="{E72098CD-CA6B-496F-83C4-4AF8F2BA6071}"/>
    <cellStyle name="Output 2_Jurisdictional Study" xfId="10481" xr:uid="{3F79B4B3-04DF-4639-971E-EB0F2D24E085}"/>
    <cellStyle name="Output 3" xfId="8026" xr:uid="{5BC6DB07-53D2-456A-A4E0-140FE6A6DB3E}"/>
    <cellStyle name="Output 3 2" xfId="8027" xr:uid="{386D202A-A2A5-4D24-A97D-DD6FE5EF0630}"/>
    <cellStyle name="Output 3_Jurisdictional Study" xfId="10483" xr:uid="{97ED7B5C-7759-48FC-B545-C22C4A440E07}"/>
    <cellStyle name="Output 4" xfId="3163" xr:uid="{65BD58EA-B204-47DE-9805-7CF4AA385AB7}"/>
    <cellStyle name="Output Amounts" xfId="62" xr:uid="{00000000-0005-0000-0000-00003E000000}"/>
    <cellStyle name="Output Amounts 2" xfId="168" xr:uid="{730B9D1C-31C6-4B0C-A7EA-E463F91D5C32}"/>
    <cellStyle name="Output Amounts 3" xfId="167" xr:uid="{F9BAFB54-5293-44F4-B296-052A686286E8}"/>
    <cellStyle name="Output Amounts 4" xfId="8028" xr:uid="{F3B5A554-66C8-4BEC-B70D-5E0CFCA41AA2}"/>
    <cellStyle name="OUTPUT AMOUNTS 5" xfId="118" xr:uid="{226BC6F6-8CEC-4317-8E01-6BB248095262}"/>
    <cellStyle name="Output Amounts_d1" xfId="169" xr:uid="{0273126B-764D-41AC-B84D-1FA6DE3E26AE}"/>
    <cellStyle name="Output Column Headings" xfId="63" xr:uid="{00000000-0005-0000-0000-00003F000000}"/>
    <cellStyle name="Output Column Headings 2" xfId="171" xr:uid="{5F4A3519-491E-425A-BA9D-DB68ED63619F}"/>
    <cellStyle name="Output Column Headings 2 2" xfId="8030" xr:uid="{FAED7DF1-6EB0-4AF8-8C63-1200C62E0850}"/>
    <cellStyle name="Output Column Headings 2_Jurisdictional Study" xfId="10484" xr:uid="{D714D01B-A5DE-44A9-81CA-D3C766AB8023}"/>
    <cellStyle name="Output Column Headings 3" xfId="170" xr:uid="{7B62E6F3-D72B-4B7D-8D3C-D3E8031532A9}"/>
    <cellStyle name="Output Column Headings 4" xfId="8029" xr:uid="{C301CB1A-A414-4A65-9DAB-52BB2D3A7EF2}"/>
    <cellStyle name="OUTPUT COLUMN HEADINGS 5" xfId="119" xr:uid="{F5F55463-9062-441E-BFA1-E5D26310143F}"/>
    <cellStyle name="Output Column Headings_d1" xfId="172" xr:uid="{BE3164F6-D47C-42C0-8E28-A5CD07B75E8D}"/>
    <cellStyle name="Output Line Items" xfId="64" xr:uid="{00000000-0005-0000-0000-000040000000}"/>
    <cellStyle name="Output Line Items 2" xfId="174" xr:uid="{07B0B242-C5D7-4862-8E57-930E303D2FBE}"/>
    <cellStyle name="Output Line Items 2 2" xfId="438" xr:uid="{F91A2521-FC6B-4FD5-85BC-05888513AA84}"/>
    <cellStyle name="Output Line Items 2 3" xfId="8032" xr:uid="{B067732F-C7A1-4E1C-98B5-C26843CE65AD}"/>
    <cellStyle name="Output Line Items 2_Jurisdictional Study" xfId="10485" xr:uid="{0153079D-BC22-433F-A06F-8EB51B97CA44}"/>
    <cellStyle name="Output Line Items 3" xfId="173" xr:uid="{C9828F0C-94E1-4C5E-8E21-879274CA0FBD}"/>
    <cellStyle name="Output Line Items 4" xfId="8031" xr:uid="{F6A8D4F2-B2C2-466F-9A98-42299C669BE1}"/>
    <cellStyle name="OUTPUT LINE ITEMS 5" xfId="120" xr:uid="{59CAA0F2-F7DC-441A-9A5C-D02007B3CD18}"/>
    <cellStyle name="Output Line Items_d1" xfId="175" xr:uid="{D512F8CA-949D-4C77-BE5A-08A68858B3D1}"/>
    <cellStyle name="Output Report Heading" xfId="65" xr:uid="{00000000-0005-0000-0000-000041000000}"/>
    <cellStyle name="Output Report Heading 2" xfId="177" xr:uid="{8CFC007E-7881-45B8-8F06-92E13B4CF182}"/>
    <cellStyle name="Output Report Heading 2 2" xfId="8034" xr:uid="{BE087763-94C0-421C-9F55-932A17AD4912}"/>
    <cellStyle name="Output Report Heading 2_Jurisdictional Study" xfId="10486" xr:uid="{0112EFB3-35D2-4D9C-8707-B8F77D5D6222}"/>
    <cellStyle name="Output Report Heading 3" xfId="176" xr:uid="{4C2A3AA3-BD88-45C6-AA06-4DC5F06C22A8}"/>
    <cellStyle name="Output Report Heading 4" xfId="8033" xr:uid="{E96F0FC5-E1DB-4C56-8E57-9F8EFC745818}"/>
    <cellStyle name="OUTPUT REPORT HEADING 5" xfId="121" xr:uid="{A63D55DC-F518-41A1-8591-881837BF864A}"/>
    <cellStyle name="Output Report Heading_d1" xfId="178" xr:uid="{ADAC7DD0-47DF-4A39-A6A6-F0D42C203D30}"/>
    <cellStyle name="Output Report Title" xfId="66" xr:uid="{00000000-0005-0000-0000-000042000000}"/>
    <cellStyle name="Output Report Title 2" xfId="180" xr:uid="{A892BC9E-6BB1-49AC-89C8-0B259995F544}"/>
    <cellStyle name="Output Report Title 2 2" xfId="8036" xr:uid="{A3E8DE60-94A4-443B-AD51-EC2FF1C08158}"/>
    <cellStyle name="Output Report Title 2_Jurisdictional Study" xfId="10487" xr:uid="{F12544EF-78A9-4BA8-92B1-F940C72F5F22}"/>
    <cellStyle name="Output Report Title 3" xfId="179" xr:uid="{82E87946-E3E8-4DB1-BB4B-7D0F8FD1BDC1}"/>
    <cellStyle name="Output Report Title 4" xfId="8035" xr:uid="{D5F55B0C-68BF-4745-B1EC-6476B266C472}"/>
    <cellStyle name="OUTPUT REPORT TITLE 5" xfId="122" xr:uid="{E93C535C-85A7-49A5-A0B4-F9A3AA0DF24D}"/>
    <cellStyle name="Output Report Title_d1" xfId="181" xr:uid="{F5CAA1A3-C975-4D94-B66C-E40B7FF43739}"/>
    <cellStyle name="Percent" xfId="67" builtinId="5"/>
    <cellStyle name="Percent 10" xfId="8037" xr:uid="{DF348C66-431C-467C-9611-7D7AFA0101AB}"/>
    <cellStyle name="Percent 10 2" xfId="8038" xr:uid="{AC78A019-1933-4B00-A606-6BB2394FCA75}"/>
    <cellStyle name="Percent 10_Jurisdictional Study" xfId="10488" xr:uid="{E0001E92-7605-4485-A996-47723023A00C}"/>
    <cellStyle name="Percent 11" xfId="8039" xr:uid="{7BF98A76-C23C-441F-B5F9-D8CFA9CA411B}"/>
    <cellStyle name="Percent 11 2" xfId="8040" xr:uid="{A2F15B93-98C8-4154-9A04-E02A0631CD00}"/>
    <cellStyle name="Percent 11 3" xfId="8041" xr:uid="{76BDBCD4-450A-4E76-8F60-7D580B92095D}"/>
    <cellStyle name="Percent 11_Jurisdictional Study" xfId="10489" xr:uid="{D573D25B-F874-4B13-8272-DC9D247AB941}"/>
    <cellStyle name="Percent 12" xfId="8357" xr:uid="{F992054C-198E-4F7E-A4C3-80E0B2FC4C7B}"/>
    <cellStyle name="Percent 19" xfId="8352" xr:uid="{6A4F9BDE-BE99-4669-94FF-2469E2ECF55D}"/>
    <cellStyle name="Percent 2" xfId="92" xr:uid="{00000000-0005-0000-0000-000044000000}"/>
    <cellStyle name="Percent 2 2" xfId="334" xr:uid="{78ACC31C-85FF-4AA1-9C12-E11216305C69}"/>
    <cellStyle name="Percent 2 2 2" xfId="8044" xr:uid="{3F0D6199-1852-4405-A5B5-6D5C228448E0}"/>
    <cellStyle name="Percent 2 2 2 2" xfId="8045" xr:uid="{9C4FBAF2-E81F-4BBA-9180-5062D88EECEF}"/>
    <cellStyle name="Percent 2 2 2 2 2" xfId="8046" xr:uid="{2D57AF6F-42F0-4282-AABF-B489A882B625}"/>
    <cellStyle name="Percent 2 2 2 2 2 2" xfId="8047" xr:uid="{74A69A52-67C3-4BE9-BCCA-8FA147D9814C}"/>
    <cellStyle name="Percent 2 2 2 2 2 2 2" xfId="8048" xr:uid="{5359A2D8-901D-4E93-99B4-4C6157A3ACCD}"/>
    <cellStyle name="Percent 2 2 2 2 2 2_Jurisdictional Study" xfId="10495" xr:uid="{4C6D9F6F-0C1F-4A19-AFAC-872205FC4C60}"/>
    <cellStyle name="Percent 2 2 2 2 2 3" xfId="8049" xr:uid="{4AABB988-262F-4675-B5C3-029C719256A2}"/>
    <cellStyle name="Percent 2 2 2 2 2_Jurisdictional Study" xfId="10494" xr:uid="{36FCD5D5-8789-4493-94E4-167F8E23A931}"/>
    <cellStyle name="Percent 2 2 2 2 3" xfId="8050" xr:uid="{A443DF1F-E97B-4937-8897-8003295E573F}"/>
    <cellStyle name="Percent 2 2 2 2 3 2" xfId="8051" xr:uid="{7CE8D2A8-8310-41AE-9224-82C6679E88D6}"/>
    <cellStyle name="Percent 2 2 2 2 3_Jurisdictional Study" xfId="10496" xr:uid="{EFC72579-0525-4464-9DD9-DE12B9477823}"/>
    <cellStyle name="Percent 2 2 2 2 4" xfId="8052" xr:uid="{72E35566-83F3-4B9B-8370-25D90B3B34AD}"/>
    <cellStyle name="Percent 2 2 2 2_Jurisdictional Study" xfId="10493" xr:uid="{9DE9041D-8F98-4E37-A3B1-198D1FC1C7C5}"/>
    <cellStyle name="Percent 2 2 2 3" xfId="8053" xr:uid="{C02D0355-0AAA-46FE-B481-768CC1932FCC}"/>
    <cellStyle name="Percent 2 2 2 3 2" xfId="8054" xr:uid="{130C53E7-2138-4EFB-A70A-9AE28F08EEAE}"/>
    <cellStyle name="Percent 2 2 2 3 2 2" xfId="8055" xr:uid="{BD632027-EE82-415C-A1C2-DFE743582E26}"/>
    <cellStyle name="Percent 2 2 2 3 2_Jurisdictional Study" xfId="10498" xr:uid="{D1794780-403E-4983-87CB-3578C97F397D}"/>
    <cellStyle name="Percent 2 2 2 3 3" xfId="8056" xr:uid="{6D15856C-B7BF-4353-90A0-5860CC8A91A5}"/>
    <cellStyle name="Percent 2 2 2 3_Jurisdictional Study" xfId="10497" xr:uid="{0A01E00E-E841-489D-8D77-BC73CA65EC6E}"/>
    <cellStyle name="Percent 2 2 2 4" xfId="8057" xr:uid="{3872CAEB-0277-401F-BADB-088B057A3CD3}"/>
    <cellStyle name="Percent 2 2 2 4 2" xfId="8058" xr:uid="{69BA98C8-73F8-46D6-8B52-18ACB5DD509B}"/>
    <cellStyle name="Percent 2 2 2 4_Jurisdictional Study" xfId="10499" xr:uid="{D313990F-C51E-4A6C-9343-08F53F95AAD5}"/>
    <cellStyle name="Percent 2 2 2 5" xfId="8059" xr:uid="{0185D140-D522-43FB-A2D9-BA30F88898F9}"/>
    <cellStyle name="Percent 2 2 2_Jurisdictional Study" xfId="10492" xr:uid="{A52ADDC9-4D09-4958-BDB6-E2A8F89A19AF}"/>
    <cellStyle name="Percent 2 2 3" xfId="8060" xr:uid="{F504D8F9-EEEB-43B1-B05E-5D661149F615}"/>
    <cellStyle name="Percent 2 2 3 2" xfId="8061" xr:uid="{1CD0238F-C3D6-4064-80F5-68498547564D}"/>
    <cellStyle name="Percent 2 2 3 2 2" xfId="8062" xr:uid="{254DE115-DBBA-425A-86D7-CE8542BA1E6D}"/>
    <cellStyle name="Percent 2 2 3 2 2 2" xfId="8063" xr:uid="{29DB4CDB-7C5D-40E6-A652-8572F4C5E700}"/>
    <cellStyle name="Percent 2 2 3 2 2_Jurisdictional Study" xfId="10502" xr:uid="{AACFF175-BEEB-4D85-8AFA-C252DF28156D}"/>
    <cellStyle name="Percent 2 2 3 2 3" xfId="8064" xr:uid="{95DC435B-DBCE-49ED-B08F-8868087C7EAF}"/>
    <cellStyle name="Percent 2 2 3 2_Jurisdictional Study" xfId="10501" xr:uid="{A1354CAF-B2B7-4780-B23F-BAD26C1DB61F}"/>
    <cellStyle name="Percent 2 2 3 3" xfId="8065" xr:uid="{7E12BB57-19AC-4EF2-9A80-88CD9BB3EAB9}"/>
    <cellStyle name="Percent 2 2 3 3 2" xfId="8066" xr:uid="{A5CDD741-4D7B-41C0-B5F0-FF4818528075}"/>
    <cellStyle name="Percent 2 2 3 3_Jurisdictional Study" xfId="10503" xr:uid="{F8B4A42E-38EB-4BE9-9278-58D38123D7B8}"/>
    <cellStyle name="Percent 2 2 3 4" xfId="8067" xr:uid="{0909268B-C90A-4203-A3A0-7BC45C84EC61}"/>
    <cellStyle name="Percent 2 2 3_Jurisdictional Study" xfId="10500" xr:uid="{5F323E92-E900-4AD2-B7C3-6CD33E54B401}"/>
    <cellStyle name="Percent 2 2 4" xfId="8068" xr:uid="{6369FAE8-DD31-4CF1-AEE7-3EF1ABCA1E8B}"/>
    <cellStyle name="Percent 2 2 4 2" xfId="8069" xr:uid="{F615F25E-2683-4F24-9392-DAF01E25C4E5}"/>
    <cellStyle name="Percent 2 2 4 2 2" xfId="8070" xr:uid="{5861E316-703B-4875-8D17-121780239220}"/>
    <cellStyle name="Percent 2 2 4 2_Jurisdictional Study" xfId="10505" xr:uid="{038FCD8A-C4C5-4103-99BC-484F46DED0D3}"/>
    <cellStyle name="Percent 2 2 4 3" xfId="8071" xr:uid="{8FF1E773-A116-4BA2-97F3-F16855E9EE60}"/>
    <cellStyle name="Percent 2 2 4_Jurisdictional Study" xfId="10504" xr:uid="{7601C8DF-4544-4330-83A8-55F072F4D0D2}"/>
    <cellStyle name="Percent 2 2 5" xfId="8072" xr:uid="{2D0E00D4-2D59-41A7-A30B-842DD6F61DD6}"/>
    <cellStyle name="Percent 2 2 5 2" xfId="8073" xr:uid="{166B1C41-AC93-4177-B474-B72159F47F7F}"/>
    <cellStyle name="Percent 2 2 5_Jurisdictional Study" xfId="10506" xr:uid="{ADB3D4E7-AACD-425C-B2BD-36FC0513F7B8}"/>
    <cellStyle name="Percent 2 2 6" xfId="8074" xr:uid="{DC3C716E-4590-4A02-A155-11A82CAB05D2}"/>
    <cellStyle name="Percent 2 2 7" xfId="8043" xr:uid="{FD41B6CD-8676-4D65-9DF3-9CE7B82AFFD6}"/>
    <cellStyle name="Percent 2 2_Jurisdictional Study" xfId="10491" xr:uid="{FC8C12B8-7907-4666-8EB0-301E64C5AB1E}"/>
    <cellStyle name="Percent 2 3" xfId="335" xr:uid="{3560D69F-5B0D-437D-A96F-49F3B9785D88}"/>
    <cellStyle name="Percent 2 3 2" xfId="8076" xr:uid="{92940CDB-D276-4356-A181-7DE632E7840A}"/>
    <cellStyle name="Percent 2 3 2 2" xfId="8077" xr:uid="{E302CDEF-A1F7-4601-8279-F33921D3BB33}"/>
    <cellStyle name="Percent 2 3 2 2 2" xfId="8078" xr:uid="{70EE97A3-9D73-455F-B70F-101BC7EEC3F8}"/>
    <cellStyle name="Percent 2 3 2 2_Jurisdictional Study" xfId="10509" xr:uid="{283B497F-E20A-4DCD-A610-0904473389BA}"/>
    <cellStyle name="Percent 2 3 2 3" xfId="8079" xr:uid="{AC56FFBE-4B7E-4730-9023-18D26960733F}"/>
    <cellStyle name="Percent 2 3 2_Jurisdictional Study" xfId="10508" xr:uid="{7DE74777-4ADA-40D3-A011-26A155DA43FD}"/>
    <cellStyle name="Percent 2 3 3" xfId="8080" xr:uid="{C48DF2E3-94DF-4503-A0D0-2B9460ECF863}"/>
    <cellStyle name="Percent 2 3 3 2" xfId="8081" xr:uid="{8C975567-E7D4-4C27-89A7-E27C1FBD8CD6}"/>
    <cellStyle name="Percent 2 3 3_Jurisdictional Study" xfId="10510" xr:uid="{237F7104-CD29-4444-A996-447C12B05932}"/>
    <cellStyle name="Percent 2 3 4" xfId="8082" xr:uid="{2CD8AFF1-0BB5-4951-80B5-EDE4AA5DC260}"/>
    <cellStyle name="Percent 2 3 5" xfId="8075" xr:uid="{FCFA0EF3-5238-47AA-AE28-940FF37210EC}"/>
    <cellStyle name="Percent 2 3_Jurisdictional Study" xfId="10507" xr:uid="{FEE4A275-F144-47E7-BBB0-C9D6E4B80373}"/>
    <cellStyle name="Percent 2 4" xfId="8042" xr:uid="{E10D7FCD-1224-4EB2-A4A1-6F97B0D27F7E}"/>
    <cellStyle name="Percent 2_Jurisdictional Study" xfId="10490" xr:uid="{C58D9D9A-0DDD-4C9A-BCBA-B6B8AAD12737}"/>
    <cellStyle name="Percent 3" xfId="183" xr:uid="{960961AB-A19E-4224-BD75-54BAED055BF4}"/>
    <cellStyle name="Percent 3 10" xfId="8083" xr:uid="{C33BECBF-E04F-43E2-895A-144CA86012E7}"/>
    <cellStyle name="Percent 3 2" xfId="8084" xr:uid="{5125F251-0A67-45CC-BF14-7FA4960BBF67}"/>
    <cellStyle name="Percent 3 2 2" xfId="8085" xr:uid="{7C61D8DF-7431-4B87-A572-CB4369266E32}"/>
    <cellStyle name="Percent 3 2 2 2" xfId="8086" xr:uid="{3E0EE10A-F79C-488D-A97E-C4232998EA99}"/>
    <cellStyle name="Percent 3 2 2 2 2" xfId="8087" xr:uid="{655FE2AF-C382-4138-8D3A-41436AAB023D}"/>
    <cellStyle name="Percent 3 2 2 2 2 2" xfId="8088" xr:uid="{5B16EF3A-5EE1-4637-BDA4-4C0B9A2099C4}"/>
    <cellStyle name="Percent 3 2 2 2 2 2 2" xfId="8089" xr:uid="{FD669E5D-A227-4DF5-9901-F11799A631B4}"/>
    <cellStyle name="Percent 3 2 2 2 2 2 2 2" xfId="8090" xr:uid="{FCAC78BD-C92F-474E-9E6F-515E5269F59C}"/>
    <cellStyle name="Percent 3 2 2 2 2 2 2_Jurisdictional Study" xfId="10517" xr:uid="{FE84E814-1124-47F1-A104-8F6C6CC2D62F}"/>
    <cellStyle name="Percent 3 2 2 2 2 2 3" xfId="8091" xr:uid="{26A9889B-8D86-461F-BC50-D346C5B69E05}"/>
    <cellStyle name="Percent 3 2 2 2 2 2_Jurisdictional Study" xfId="10516" xr:uid="{2524DDFF-663A-4765-A885-63202187085F}"/>
    <cellStyle name="Percent 3 2 2 2 2 3" xfId="8092" xr:uid="{9B3EBB26-56D3-4929-88ED-A8DB7B4D9B59}"/>
    <cellStyle name="Percent 3 2 2 2 2 3 2" xfId="8093" xr:uid="{14A4E62E-1DFC-4BBA-916A-1761C468D82E}"/>
    <cellStyle name="Percent 3 2 2 2 2 3_Jurisdictional Study" xfId="10518" xr:uid="{A34699D9-212A-4EBD-9571-72FA1ED11D42}"/>
    <cellStyle name="Percent 3 2 2 2 2 4" xfId="8094" xr:uid="{4B005629-CC21-4656-82A0-243558F77D99}"/>
    <cellStyle name="Percent 3 2 2 2 2_Jurisdictional Study" xfId="10515" xr:uid="{9D67F37B-F771-4767-BBDE-EBECA7BC9A31}"/>
    <cellStyle name="Percent 3 2 2 2 3" xfId="8095" xr:uid="{296B1701-8C1F-4FA2-9619-C52D0E7CAD8D}"/>
    <cellStyle name="Percent 3 2 2 2 3 2" xfId="8096" xr:uid="{CB4F509D-B38F-4077-B25C-B94FFDCEF839}"/>
    <cellStyle name="Percent 3 2 2 2 3 2 2" xfId="8097" xr:uid="{269ABEAB-EBFC-48D8-8C4D-EA5D6DA80ACD}"/>
    <cellStyle name="Percent 3 2 2 2 3 2_Jurisdictional Study" xfId="10520" xr:uid="{4E0C5253-BBB0-4263-BB20-C2EB312787EB}"/>
    <cellStyle name="Percent 3 2 2 2 3 3" xfId="8098" xr:uid="{613F3D52-32FA-4747-8749-6B2610392817}"/>
    <cellStyle name="Percent 3 2 2 2 3_Jurisdictional Study" xfId="10519" xr:uid="{E1BB3E6F-C040-4FEB-BFD6-3C10FD1D4356}"/>
    <cellStyle name="Percent 3 2 2 2 4" xfId="8099" xr:uid="{44F95ED8-9054-4DBA-93DF-74A6CA474277}"/>
    <cellStyle name="Percent 3 2 2 2 4 2" xfId="8100" xr:uid="{E1903628-607C-41D0-B290-785D03895F1D}"/>
    <cellStyle name="Percent 3 2 2 2 4_Jurisdictional Study" xfId="10521" xr:uid="{00F24554-E756-451F-9CB9-6070475D5151}"/>
    <cellStyle name="Percent 3 2 2 2 5" xfId="8101" xr:uid="{33B3329F-1D31-47C1-8FA9-D20844F4C9EA}"/>
    <cellStyle name="Percent 3 2 2 2_Jurisdictional Study" xfId="10514" xr:uid="{AB6641FC-5B89-4F9E-BBE9-E0D4F803392B}"/>
    <cellStyle name="Percent 3 2 2 3" xfId="8102" xr:uid="{622D308A-2EB5-44AA-86AB-C39FA25BD977}"/>
    <cellStyle name="Percent 3 2 2 3 2" xfId="8103" xr:uid="{C28DDF3A-1961-465B-9674-F1D75F74059E}"/>
    <cellStyle name="Percent 3 2 2 3 2 2" xfId="8104" xr:uid="{29CAE078-D14D-42E6-909A-7B12DACC8E1E}"/>
    <cellStyle name="Percent 3 2 2 3 2 2 2" xfId="8105" xr:uid="{A3B7836E-0973-43F8-8141-ECC250EC5F41}"/>
    <cellStyle name="Percent 3 2 2 3 2 2_Jurisdictional Study" xfId="10524" xr:uid="{ACC34652-427A-4C16-B098-FFC0EDD5EDE0}"/>
    <cellStyle name="Percent 3 2 2 3 2 3" xfId="8106" xr:uid="{100F256F-74F7-4332-9E60-2AD4C51E44C0}"/>
    <cellStyle name="Percent 3 2 2 3 2_Jurisdictional Study" xfId="10523" xr:uid="{06335DC7-93A7-4AA7-82AB-F1F7252524CF}"/>
    <cellStyle name="Percent 3 2 2 3 3" xfId="8107" xr:uid="{C03615EE-CD8F-442B-9F1A-4921E95CE010}"/>
    <cellStyle name="Percent 3 2 2 3 3 2" xfId="8108" xr:uid="{26C9F1D2-6054-4F24-A146-697C224A0486}"/>
    <cellStyle name="Percent 3 2 2 3 3_Jurisdictional Study" xfId="10525" xr:uid="{BAE2075A-8A93-4EBB-B245-5B7ADFD7B805}"/>
    <cellStyle name="Percent 3 2 2 3 4" xfId="8109" xr:uid="{8B8E7EE2-B82A-4A1C-B80B-417F9C78C90D}"/>
    <cellStyle name="Percent 3 2 2 3_Jurisdictional Study" xfId="10522" xr:uid="{7F4C2A98-DA58-42CD-8A7E-FF06D00EAACC}"/>
    <cellStyle name="Percent 3 2 2 4" xfId="8110" xr:uid="{CD60EE39-FC5C-4408-879C-CD08B39F5508}"/>
    <cellStyle name="Percent 3 2 2 4 2" xfId="8111" xr:uid="{CD7DFA8A-4F88-41DF-B0B1-7C5DDFDF6498}"/>
    <cellStyle name="Percent 3 2 2 4 2 2" xfId="8112" xr:uid="{C1874BDF-6203-4A52-8BC6-D6D14B540511}"/>
    <cellStyle name="Percent 3 2 2 4 2_Jurisdictional Study" xfId="10527" xr:uid="{CCF12FBC-F564-4953-AF1E-FDD1E97CEA2C}"/>
    <cellStyle name="Percent 3 2 2 4 3" xfId="8113" xr:uid="{F41732D8-A2CE-4E63-8EA6-F40140AD5945}"/>
    <cellStyle name="Percent 3 2 2 4_Jurisdictional Study" xfId="10526" xr:uid="{1CCE17B2-5B42-45E6-A11C-3EE270865D68}"/>
    <cellStyle name="Percent 3 2 2 5" xfId="8114" xr:uid="{52BF64A4-FA6D-4BD7-961C-80852EF6F640}"/>
    <cellStyle name="Percent 3 2 2 5 2" xfId="8115" xr:uid="{6C29B5C4-DE0B-47C7-A4F4-1236B10D6DD7}"/>
    <cellStyle name="Percent 3 2 2 5_Jurisdictional Study" xfId="10528" xr:uid="{D8E5C0C9-1874-43E2-A6E8-18ADD0E5F0E1}"/>
    <cellStyle name="Percent 3 2 2 6" xfId="8116" xr:uid="{98AAE812-355B-4712-A373-31D55960B22D}"/>
    <cellStyle name="Percent 3 2 2_Jurisdictional Study" xfId="10513" xr:uid="{B44BF826-91E6-4EC2-9098-A4D73556648D}"/>
    <cellStyle name="Percent 3 2 3" xfId="8117" xr:uid="{2284AD59-8D53-4698-AA9D-490AEAF7A5BA}"/>
    <cellStyle name="Percent 3 2 3 2" xfId="8118" xr:uid="{81B9224C-CC34-4740-82B9-6006B1013D24}"/>
    <cellStyle name="Percent 3 2 3 2 2" xfId="8119" xr:uid="{D3EA845A-9805-4046-B548-DF5DE9380B95}"/>
    <cellStyle name="Percent 3 2 3 2 2 2" xfId="8120" xr:uid="{8524E494-0B6D-47ED-9114-60819A2ADA09}"/>
    <cellStyle name="Percent 3 2 3 2 2 2 2" xfId="8121" xr:uid="{4235B867-BF52-4517-A867-88492248B5C3}"/>
    <cellStyle name="Percent 3 2 3 2 2 2_Jurisdictional Study" xfId="10532" xr:uid="{8D0E4F29-67EA-4985-98BE-16702FD3DD8C}"/>
    <cellStyle name="Percent 3 2 3 2 2 3" xfId="8122" xr:uid="{6BAD46D1-8D67-4C82-99B2-0BBDDBBD64EA}"/>
    <cellStyle name="Percent 3 2 3 2 2_Jurisdictional Study" xfId="10531" xr:uid="{0B1A5BDD-A7E3-4A17-BD21-B9AB21F7DD86}"/>
    <cellStyle name="Percent 3 2 3 2 3" xfId="8123" xr:uid="{B56771F9-1ECF-4EBD-B0D4-D36AEB0B4AEA}"/>
    <cellStyle name="Percent 3 2 3 2 3 2" xfId="8124" xr:uid="{4275787D-135F-48CB-8E76-FCAB6B567E2B}"/>
    <cellStyle name="Percent 3 2 3 2 3_Jurisdictional Study" xfId="10533" xr:uid="{CA8CCC8A-EBF2-40E1-80CB-FADF2689A0F7}"/>
    <cellStyle name="Percent 3 2 3 2 4" xfId="8125" xr:uid="{17D24A5F-F225-46E5-B19F-5DDE2C79AFF5}"/>
    <cellStyle name="Percent 3 2 3 2_Jurisdictional Study" xfId="10530" xr:uid="{C6E4BFFB-03E6-452A-ACE9-D717C8322A87}"/>
    <cellStyle name="Percent 3 2 3 3" xfId="8126" xr:uid="{21E37503-95AD-4593-B8D4-D3D0F43B455C}"/>
    <cellStyle name="Percent 3 2 3 3 2" xfId="8127" xr:uid="{45A30FE9-ECCE-499F-8DEE-B7962742EB40}"/>
    <cellStyle name="Percent 3 2 3 3 2 2" xfId="8128" xr:uid="{7D34E48D-4EBC-4741-8D68-3957CAE6080C}"/>
    <cellStyle name="Percent 3 2 3 3 2_Jurisdictional Study" xfId="10535" xr:uid="{B875A09A-7F49-45D9-9139-FC34CC113D13}"/>
    <cellStyle name="Percent 3 2 3 3 3" xfId="8129" xr:uid="{3559D240-7DB4-4E69-A81D-4ED262AEDE48}"/>
    <cellStyle name="Percent 3 2 3 3_Jurisdictional Study" xfId="10534" xr:uid="{AB57230E-CCA3-4266-BBBD-461B20067A12}"/>
    <cellStyle name="Percent 3 2 3 4" xfId="8130" xr:uid="{7EDB97B6-BD14-4497-97E8-5FCCDC854601}"/>
    <cellStyle name="Percent 3 2 3 4 2" xfId="8131" xr:uid="{180C0DC4-69C5-4D53-A073-7ABB041A18DF}"/>
    <cellStyle name="Percent 3 2 3 4_Jurisdictional Study" xfId="10536" xr:uid="{6AF06BC6-5103-4522-98FA-47C476FBDA82}"/>
    <cellStyle name="Percent 3 2 3 5" xfId="8132" xr:uid="{9219954D-4551-4241-9107-741E51EF0953}"/>
    <cellStyle name="Percent 3 2 3_Jurisdictional Study" xfId="10529" xr:uid="{BCC12178-1422-4CBB-BF6D-9C33AF1029E2}"/>
    <cellStyle name="Percent 3 2 4" xfId="8133" xr:uid="{747E0B71-BEEB-4D53-8692-FE73EF8D14DC}"/>
    <cellStyle name="Percent 3 2 4 2" xfId="8134" xr:uid="{7260818C-3DAF-4A59-A42C-DD28A9086DCC}"/>
    <cellStyle name="Percent 3 2 4 2 2" xfId="8135" xr:uid="{A5CDDBC3-E72D-48AE-A901-22D475CB4A6C}"/>
    <cellStyle name="Percent 3 2 4 2 2 2" xfId="8136" xr:uid="{ED58E8F2-6373-4985-9474-B1E94564B59F}"/>
    <cellStyle name="Percent 3 2 4 2 2 2 2" xfId="8137" xr:uid="{CA58E19C-0435-4E85-8F4D-D53AA918A70D}"/>
    <cellStyle name="Percent 3 2 4 2 2 2_Jurisdictional Study" xfId="10540" xr:uid="{52237EA3-66F5-4745-BE21-FF8B332A9FAE}"/>
    <cellStyle name="Percent 3 2 4 2 2 3" xfId="8138" xr:uid="{E106ABE3-9BFE-4728-9669-05CD7F16D3D9}"/>
    <cellStyle name="Percent 3 2 4 2 2_Jurisdictional Study" xfId="10539" xr:uid="{D6E16266-5A46-4BFD-BCE4-CE58F68DFA9F}"/>
    <cellStyle name="Percent 3 2 4 2 3" xfId="8139" xr:uid="{7EF4565C-AC02-4700-9D61-3B04EBD24D30}"/>
    <cellStyle name="Percent 3 2 4 2 3 2" xfId="8140" xr:uid="{3FF68325-3BC0-49DD-83FC-438D2CF85289}"/>
    <cellStyle name="Percent 3 2 4 2 3_Jurisdictional Study" xfId="10541" xr:uid="{E013E764-4834-4F05-901D-F51EB37DF72F}"/>
    <cellStyle name="Percent 3 2 4 2 4" xfId="8141" xr:uid="{413C2616-E714-4D00-BCD8-B26F621BBCE9}"/>
    <cellStyle name="Percent 3 2 4 2_Jurisdictional Study" xfId="10538" xr:uid="{966E70AC-C96E-470C-9BA8-4222F27814AB}"/>
    <cellStyle name="Percent 3 2 4 3" xfId="8142" xr:uid="{1F419D36-268B-4E69-89A4-B5C5816E8558}"/>
    <cellStyle name="Percent 3 2 4 3 2" xfId="8143" xr:uid="{887BAA49-841E-4715-AAD7-B1671E3BE321}"/>
    <cellStyle name="Percent 3 2 4 3 2 2" xfId="8144" xr:uid="{E0D5EE7A-B10D-4001-8C94-1242E3E6A76D}"/>
    <cellStyle name="Percent 3 2 4 3 2_Jurisdictional Study" xfId="10543" xr:uid="{C73343B1-9863-4012-9BB9-C48D90945C01}"/>
    <cellStyle name="Percent 3 2 4 3 3" xfId="8145" xr:uid="{3642D948-46EF-43DE-B716-396E9B390F91}"/>
    <cellStyle name="Percent 3 2 4 3_Jurisdictional Study" xfId="10542" xr:uid="{BC575587-EA82-4380-8960-DED88AE5C426}"/>
    <cellStyle name="Percent 3 2 4 4" xfId="8146" xr:uid="{B827F997-10BA-47D2-AB15-FFB7F68C5FB6}"/>
    <cellStyle name="Percent 3 2 4 4 2" xfId="8147" xr:uid="{2DEAF5A7-56A7-4712-A918-5260A752C381}"/>
    <cellStyle name="Percent 3 2 4 4_Jurisdictional Study" xfId="10544" xr:uid="{AEDB2A13-CBD5-4DD7-A6EE-6828F3606F56}"/>
    <cellStyle name="Percent 3 2 4 5" xfId="8148" xr:uid="{6F9F838B-85C0-4113-9A65-90D7FD1A44B0}"/>
    <cellStyle name="Percent 3 2 4_Jurisdictional Study" xfId="10537" xr:uid="{B6962D65-3F2A-4C04-9169-45E68C9C581C}"/>
    <cellStyle name="Percent 3 2 5" xfId="8149" xr:uid="{2EBA70B3-3142-477D-BF6B-F3C4A1F38E42}"/>
    <cellStyle name="Percent 3 2 5 2" xfId="8150" xr:uid="{DBB3A852-E919-43EB-A82D-649ED8A7BDAD}"/>
    <cellStyle name="Percent 3 2 5 2 2" xfId="8151" xr:uid="{4CB31CC9-FB51-4CC0-A632-485CB563E525}"/>
    <cellStyle name="Percent 3 2 5 2 2 2" xfId="8152" xr:uid="{6DBF0798-5161-45C9-B428-B5098E113914}"/>
    <cellStyle name="Percent 3 2 5 2 2_Jurisdictional Study" xfId="10547" xr:uid="{5D87AF68-CC63-425E-97E3-2979D886AE03}"/>
    <cellStyle name="Percent 3 2 5 2 3" xfId="8153" xr:uid="{32FA9FFC-396D-48E9-BE4D-5B2E4BFC4C3D}"/>
    <cellStyle name="Percent 3 2 5 2_Jurisdictional Study" xfId="10546" xr:uid="{3BDACFD0-0444-40AA-84AE-BCE0425186AD}"/>
    <cellStyle name="Percent 3 2 5 3" xfId="8154" xr:uid="{EA291DF1-EA0F-41C2-8E6D-A2B38964E0D1}"/>
    <cellStyle name="Percent 3 2 5 3 2" xfId="8155" xr:uid="{8F5E34AD-1F25-447F-B0A0-9169F4071113}"/>
    <cellStyle name="Percent 3 2 5 3_Jurisdictional Study" xfId="10548" xr:uid="{8A5D21AB-AB45-4B1B-9B6A-82A82B7B83D2}"/>
    <cellStyle name="Percent 3 2 5 4" xfId="8156" xr:uid="{0C17D86D-C46F-4AB2-8A92-8B4F57E852EB}"/>
    <cellStyle name="Percent 3 2 5_Jurisdictional Study" xfId="10545" xr:uid="{903B709D-F3A4-464F-BC9A-0E30102BB6C4}"/>
    <cellStyle name="Percent 3 2 6" xfId="8157" xr:uid="{CD8F4034-296B-403E-858C-C576F250F642}"/>
    <cellStyle name="Percent 3 2 6 2" xfId="8158" xr:uid="{4423CA65-65C5-4736-9705-8CB68060DD26}"/>
    <cellStyle name="Percent 3 2 6 2 2" xfId="8159" xr:uid="{7B4F37C5-1828-438F-8A52-4BE2979329B1}"/>
    <cellStyle name="Percent 3 2 6 2_Jurisdictional Study" xfId="10550" xr:uid="{42A24243-521F-45B3-BFD6-D301D2B4B9AC}"/>
    <cellStyle name="Percent 3 2 6 3" xfId="8160" xr:uid="{758A7CBF-7EEE-45F4-B5B0-DE6C6B951C2E}"/>
    <cellStyle name="Percent 3 2 6_Jurisdictional Study" xfId="10549" xr:uid="{E8311374-9C34-4C72-AE2E-4BC8A0943D79}"/>
    <cellStyle name="Percent 3 2 7" xfId="8161" xr:uid="{6718D488-F2E2-4440-BB18-2126A370FA48}"/>
    <cellStyle name="Percent 3 2 7 2" xfId="8162" xr:uid="{DAD4B3DD-EE4F-40A8-B3DC-042EF818F054}"/>
    <cellStyle name="Percent 3 2 7_Jurisdictional Study" xfId="10551" xr:uid="{C3A0E4DF-8577-4E55-BCD9-11119B95FE5A}"/>
    <cellStyle name="Percent 3 2 8" xfId="8163" xr:uid="{F15096AF-AD21-43A9-958E-E57E177F0F3F}"/>
    <cellStyle name="Percent 3 2_Jurisdictional Study" xfId="10512" xr:uid="{79F3439D-5412-4744-982A-BD32B0C90EB2}"/>
    <cellStyle name="Percent 3 3" xfId="8164" xr:uid="{93D58FA5-BF25-4C88-B4FF-04A0F059A0DA}"/>
    <cellStyle name="Percent 3 3 2" xfId="8165" xr:uid="{4F076F32-112D-4147-8888-77935162F093}"/>
    <cellStyle name="Percent 3 3 2 2" xfId="8166" xr:uid="{EBA9A259-2E74-4EE7-B337-7937F16E33D5}"/>
    <cellStyle name="Percent 3 3 2 2 2" xfId="8167" xr:uid="{B18C6978-3166-40B7-A1AB-531B56417E31}"/>
    <cellStyle name="Percent 3 3 2 2 2 2" xfId="8168" xr:uid="{FE0E3014-209E-454F-8725-186895F26553}"/>
    <cellStyle name="Percent 3 3 2 2 2 2 2" xfId="8169" xr:uid="{913A1AC6-FDDA-4EA9-B08A-FA542D4EF189}"/>
    <cellStyle name="Percent 3 3 2 2 2 2_Jurisdictional Study" xfId="10556" xr:uid="{7C5FC57B-1208-474C-9520-C755837445C9}"/>
    <cellStyle name="Percent 3 3 2 2 2 3" xfId="8170" xr:uid="{C9110DDE-66C0-4572-B2F3-1D950F2EE77A}"/>
    <cellStyle name="Percent 3 3 2 2 2_Jurisdictional Study" xfId="10555" xr:uid="{57AE7FD7-B05D-44E3-B9E8-43FB9F54E8C7}"/>
    <cellStyle name="Percent 3 3 2 2 3" xfId="8171" xr:uid="{032CA2D2-D89E-45A7-B5FD-DC72F9482DBA}"/>
    <cellStyle name="Percent 3 3 2 2 3 2" xfId="8172" xr:uid="{8ED89998-41AF-48F7-B4A3-7F243FF6C195}"/>
    <cellStyle name="Percent 3 3 2 2 3_Jurisdictional Study" xfId="10557" xr:uid="{489D61BA-C097-4307-A94E-264B9F3A8585}"/>
    <cellStyle name="Percent 3 3 2 2 4" xfId="8173" xr:uid="{66DA6619-1D1D-45F8-AE93-194C585D4DC8}"/>
    <cellStyle name="Percent 3 3 2 2_Jurisdictional Study" xfId="10554" xr:uid="{7D6AE344-BF2C-423A-9A17-912C83A6AD57}"/>
    <cellStyle name="Percent 3 3 2 3" xfId="8174" xr:uid="{DA6193D1-332C-4AA8-8A38-E79604D08743}"/>
    <cellStyle name="Percent 3 3 2 3 2" xfId="8175" xr:uid="{B462E140-1ABE-4F25-B786-886F4DE7CA3D}"/>
    <cellStyle name="Percent 3 3 2 3 2 2" xfId="8176" xr:uid="{53ABBB21-EA7E-449F-BDE2-857BB422A88F}"/>
    <cellStyle name="Percent 3 3 2 3 2_Jurisdictional Study" xfId="10559" xr:uid="{F5EC1429-ACC9-4E65-89EB-E050D713F9C3}"/>
    <cellStyle name="Percent 3 3 2 3 3" xfId="8177" xr:uid="{6B312907-13C5-40FA-8FFB-87F0F326BF60}"/>
    <cellStyle name="Percent 3 3 2 3_Jurisdictional Study" xfId="10558" xr:uid="{770668BC-AAC9-46FC-B57B-2EA07ED0DD04}"/>
    <cellStyle name="Percent 3 3 2 4" xfId="8178" xr:uid="{8D634D9B-516C-4A22-8BD3-61243A1F1D0C}"/>
    <cellStyle name="Percent 3 3 2 4 2" xfId="8179" xr:uid="{8E1A1B88-CF72-4377-84FF-A651FB61D500}"/>
    <cellStyle name="Percent 3 3 2 4_Jurisdictional Study" xfId="10560" xr:uid="{60D5DC5C-836D-4807-92EB-9B96BF41C95D}"/>
    <cellStyle name="Percent 3 3 2 5" xfId="8180" xr:uid="{0F73D74D-62DC-484F-B947-E3BB878C7D95}"/>
    <cellStyle name="Percent 3 3 2_Jurisdictional Study" xfId="10553" xr:uid="{F2F78811-12DF-429D-AAAD-0765C17472D2}"/>
    <cellStyle name="Percent 3 3 3" xfId="8181" xr:uid="{ACEA3274-80B7-4158-8F6F-7189BA427D1F}"/>
    <cellStyle name="Percent 3 3 3 2" xfId="8182" xr:uid="{8561A62F-C447-454B-AC47-B69B92727B55}"/>
    <cellStyle name="Percent 3 3 3 2 2" xfId="8183" xr:uid="{039EE242-7FDE-4332-96F5-A655E32C6C98}"/>
    <cellStyle name="Percent 3 3 3 2 2 2" xfId="8184" xr:uid="{68D08899-6D24-46C2-9D44-74B1B2615A3D}"/>
    <cellStyle name="Percent 3 3 3 2 2_Jurisdictional Study" xfId="10563" xr:uid="{D8B7D25D-65B4-48DF-8A3E-BE30F98CF3A6}"/>
    <cellStyle name="Percent 3 3 3 2 3" xfId="8185" xr:uid="{CD4EA227-3070-4E09-B282-84D9B954FA31}"/>
    <cellStyle name="Percent 3 3 3 2_Jurisdictional Study" xfId="10562" xr:uid="{609F0E40-6F55-40A2-B137-8370C6A8B06B}"/>
    <cellStyle name="Percent 3 3 3 3" xfId="8186" xr:uid="{B5F1F5FA-777E-4CD9-B499-9DE325F1C419}"/>
    <cellStyle name="Percent 3 3 3 3 2" xfId="8187" xr:uid="{5BF9B352-8B92-4E35-850F-1D2D5E0610AD}"/>
    <cellStyle name="Percent 3 3 3 3_Jurisdictional Study" xfId="10564" xr:uid="{4CE36B78-6FA6-47A3-9841-B8AD34C0FF37}"/>
    <cellStyle name="Percent 3 3 3 4" xfId="8188" xr:uid="{10DCB2E7-3918-4254-9D0B-3B654FFD4F21}"/>
    <cellStyle name="Percent 3 3 3_Jurisdictional Study" xfId="10561" xr:uid="{FE8E6776-A065-4BB5-A3FB-9E3AE50F3F80}"/>
    <cellStyle name="Percent 3 3 4" xfId="8189" xr:uid="{062CA7EA-243F-40EF-A2BE-D2D268DDDCBF}"/>
    <cellStyle name="Percent 3 3 4 2" xfId="8190" xr:uid="{0F795751-69F2-4E11-B7B0-48B0AA7AE6BD}"/>
    <cellStyle name="Percent 3 3 4 2 2" xfId="8191" xr:uid="{3111B886-07BF-4B27-9E9E-004A6DFC9192}"/>
    <cellStyle name="Percent 3 3 4 2_Jurisdictional Study" xfId="10566" xr:uid="{0896A697-4C8C-4282-A822-2E0AB363EE9C}"/>
    <cellStyle name="Percent 3 3 4 3" xfId="8192" xr:uid="{872C4857-931F-473B-94CB-68D08CFE0D67}"/>
    <cellStyle name="Percent 3 3 4_Jurisdictional Study" xfId="10565" xr:uid="{6A953DEB-EA60-4D84-BAA6-785888462E9A}"/>
    <cellStyle name="Percent 3 3 5" xfId="8193" xr:uid="{E818F2F3-07A1-4CB8-A339-B0F30ECB612E}"/>
    <cellStyle name="Percent 3 3 5 2" xfId="8194" xr:uid="{B3200D08-FF7F-4BF2-962B-97880265438A}"/>
    <cellStyle name="Percent 3 3 5_Jurisdictional Study" xfId="10567" xr:uid="{DC208A96-B0B7-42E5-A1F4-A47B952D8AC1}"/>
    <cellStyle name="Percent 3 3 6" xfId="8195" xr:uid="{CCC0C692-1D04-464E-82ED-2D9C7DCA93D8}"/>
    <cellStyle name="Percent 3 3_Jurisdictional Study" xfId="10552" xr:uid="{2AD5EDF8-7CE9-40C2-B890-3556C0F4F895}"/>
    <cellStyle name="Percent 3 4" xfId="8196" xr:uid="{EAF1FDE0-06D8-4178-B406-B708E20029E2}"/>
    <cellStyle name="Percent 3 4 2" xfId="8197" xr:uid="{FC6A8EA1-B00E-4781-99C3-D890D6FDB56D}"/>
    <cellStyle name="Percent 3 4 2 2" xfId="8198" xr:uid="{CA326621-FAA7-48F8-8C9A-45E6B5092184}"/>
    <cellStyle name="Percent 3 4 2 2 2" xfId="8199" xr:uid="{AA4B5630-2710-4D33-B494-065E01286B3C}"/>
    <cellStyle name="Percent 3 4 2 2 2 2" xfId="8200" xr:uid="{A0DD564E-E6F4-4C85-9AC2-544814532228}"/>
    <cellStyle name="Percent 3 4 2 2 2_Jurisdictional Study" xfId="10571" xr:uid="{A905FCEC-8CFC-4A18-A873-0F4425BC959E}"/>
    <cellStyle name="Percent 3 4 2 2 3" xfId="8201" xr:uid="{6E8F25B7-66D0-4C08-8EAA-6DDDDF3A9180}"/>
    <cellStyle name="Percent 3 4 2 2_Jurisdictional Study" xfId="10570" xr:uid="{C804C377-9B0A-4564-ABBA-1758EF997C35}"/>
    <cellStyle name="Percent 3 4 2 3" xfId="8202" xr:uid="{AEB64988-FF25-449D-90D0-CC85930BC501}"/>
    <cellStyle name="Percent 3 4 2 3 2" xfId="8203" xr:uid="{0FC123FE-ABB0-4746-BA0F-0217DC14E20D}"/>
    <cellStyle name="Percent 3 4 2 3_Jurisdictional Study" xfId="10572" xr:uid="{63D5F32A-A59E-42B6-8A82-6BEF959F2449}"/>
    <cellStyle name="Percent 3 4 2 4" xfId="8204" xr:uid="{80AC73F3-BCC1-4827-BD79-32398EDF7666}"/>
    <cellStyle name="Percent 3 4 2_Jurisdictional Study" xfId="10569" xr:uid="{21DF5263-8F1A-4155-8DD8-D1E2160399FF}"/>
    <cellStyle name="Percent 3 4 3" xfId="8205" xr:uid="{A06A9D03-2EEA-43F6-8A5B-94028E65C21C}"/>
    <cellStyle name="Percent 3 4 3 2" xfId="8206" xr:uid="{C2EE0450-DC3D-41A4-AA80-BA5DF1A1DEC0}"/>
    <cellStyle name="Percent 3 4 3 2 2" xfId="8207" xr:uid="{D59B0629-D0DB-4982-96B6-99A8598E0101}"/>
    <cellStyle name="Percent 3 4 3 2_Jurisdictional Study" xfId="10574" xr:uid="{955359BC-583A-4678-99A6-5B556072A395}"/>
    <cellStyle name="Percent 3 4 3 3" xfId="8208" xr:uid="{2EF012BC-B704-4592-BBAD-C1D0CD1D495D}"/>
    <cellStyle name="Percent 3 4 3_Jurisdictional Study" xfId="10573" xr:uid="{8D56526C-0D7A-44E0-B5BF-D0CF7121C378}"/>
    <cellStyle name="Percent 3 4 4" xfId="8209" xr:uid="{22E460A0-6A9E-439B-BFB0-D67F75F285FE}"/>
    <cellStyle name="Percent 3 4 4 2" xfId="8210" xr:uid="{B1BEA378-8AD7-4483-B566-941CEEA30CE0}"/>
    <cellStyle name="Percent 3 4 4_Jurisdictional Study" xfId="10575" xr:uid="{37221D82-AF1F-4405-9F59-09D32C0E6DD7}"/>
    <cellStyle name="Percent 3 4 5" xfId="8211" xr:uid="{31CA8F9F-6D1B-451C-A85C-B56AB18C0D88}"/>
    <cellStyle name="Percent 3 4_Jurisdictional Study" xfId="10568" xr:uid="{F6A62F40-77A1-44B6-95B6-86DC785D0553}"/>
    <cellStyle name="Percent 3 5" xfId="8212" xr:uid="{472E60B0-4E25-405D-9BE8-02630A091518}"/>
    <cellStyle name="Percent 3 5 2" xfId="8213" xr:uid="{69354A6A-B642-4308-8689-0605D24F6EDA}"/>
    <cellStyle name="Percent 3 5 2 2" xfId="8214" xr:uid="{2B024083-256C-444E-AB06-98C5429BBED9}"/>
    <cellStyle name="Percent 3 5 2 2 2" xfId="8215" xr:uid="{20AE45F4-1F35-4B4D-82D9-CE5792819413}"/>
    <cellStyle name="Percent 3 5 2 2 2 2" xfId="8216" xr:uid="{94F0B7DF-E841-4DE6-8C13-DF0EA436BE8F}"/>
    <cellStyle name="Percent 3 5 2 2 2_Jurisdictional Study" xfId="10579" xr:uid="{EA6CA8C7-CB68-4B00-A21E-E240F56F0CFA}"/>
    <cellStyle name="Percent 3 5 2 2 3" xfId="8217" xr:uid="{6DE944FB-6DDD-4B85-B0C0-1A28246F8245}"/>
    <cellStyle name="Percent 3 5 2 2_Jurisdictional Study" xfId="10578" xr:uid="{78DA9B52-2F58-4E1F-8CFB-6695460DA840}"/>
    <cellStyle name="Percent 3 5 2 3" xfId="8218" xr:uid="{E79ECE84-937A-490F-8F13-ED00C78D0D3B}"/>
    <cellStyle name="Percent 3 5 2 3 2" xfId="8219" xr:uid="{4BFA9F70-72EC-4852-A46A-D3488FBAC77F}"/>
    <cellStyle name="Percent 3 5 2 3_Jurisdictional Study" xfId="10580" xr:uid="{C14902E8-0EBC-4224-B863-060333548777}"/>
    <cellStyle name="Percent 3 5 2 4" xfId="8220" xr:uid="{0B02C8F3-247B-44CC-98E7-7DFC65830489}"/>
    <cellStyle name="Percent 3 5 2_Jurisdictional Study" xfId="10577" xr:uid="{B20F1012-9E23-44E5-999D-FDC8FBA022D6}"/>
    <cellStyle name="Percent 3 5 3" xfId="8221" xr:uid="{126D3F7B-C9E7-408F-9C94-842EAFFD7126}"/>
    <cellStyle name="Percent 3 5 3 2" xfId="8222" xr:uid="{C3D6DACC-328E-4B94-9678-91A8E3CB0843}"/>
    <cellStyle name="Percent 3 5 3 2 2" xfId="8223" xr:uid="{912F980D-0D1C-4378-9750-1E372A2E7312}"/>
    <cellStyle name="Percent 3 5 3 2_Jurisdictional Study" xfId="10582" xr:uid="{34894A00-4D53-4A81-82C2-92E5D16C895B}"/>
    <cellStyle name="Percent 3 5 3 3" xfId="8224" xr:uid="{070C673A-0D79-4E6A-8452-C834FEA40B62}"/>
    <cellStyle name="Percent 3 5 3_Jurisdictional Study" xfId="10581" xr:uid="{5786425D-DA2B-4316-B509-218DA45E8023}"/>
    <cellStyle name="Percent 3 5 4" xfId="8225" xr:uid="{08FBF642-43B5-4566-B503-4E81194758CF}"/>
    <cellStyle name="Percent 3 5 4 2" xfId="8226" xr:uid="{32ADD76F-B738-404C-8787-0EB2DD4E1D4E}"/>
    <cellStyle name="Percent 3 5 4_Jurisdictional Study" xfId="10583" xr:uid="{73415225-FEF7-4C5F-9FD4-1D056D2B7EDB}"/>
    <cellStyle name="Percent 3 5 5" xfId="8227" xr:uid="{7D65E36A-E957-448B-961C-B40800A60C78}"/>
    <cellStyle name="Percent 3 5_Jurisdictional Study" xfId="10576" xr:uid="{217450FC-D9FA-41E6-872A-15B119134657}"/>
    <cellStyle name="Percent 3 6" xfId="8228" xr:uid="{E4B82BF0-7E65-40A6-B313-BA570E01003C}"/>
    <cellStyle name="Percent 3 6 2" xfId="8229" xr:uid="{C84941B2-B9AD-4ACE-AD26-1CEAA0D7F92F}"/>
    <cellStyle name="Percent 3 6 2 2" xfId="8230" xr:uid="{7C73D320-AA3D-4C2B-A899-BB62E5B7728D}"/>
    <cellStyle name="Percent 3 6 2 2 2" xfId="8231" xr:uid="{0F309DBF-37EC-4E95-9A83-A56F69CF7ABB}"/>
    <cellStyle name="Percent 3 6 2 2_Jurisdictional Study" xfId="10586" xr:uid="{424FED71-3AFF-4DC4-89C5-00F963AE6FBB}"/>
    <cellStyle name="Percent 3 6 2 3" xfId="8232" xr:uid="{D1E6B4D2-4500-499C-A16B-5F0274B3323D}"/>
    <cellStyle name="Percent 3 6 2_Jurisdictional Study" xfId="10585" xr:uid="{731A136B-FEE9-4988-9C29-AA0749C15D3E}"/>
    <cellStyle name="Percent 3 6 3" xfId="8233" xr:uid="{411EA192-C9D2-484E-B64C-8822F98BE09A}"/>
    <cellStyle name="Percent 3 6 3 2" xfId="8234" xr:uid="{91464806-32FA-40D8-A944-E10FABDAF374}"/>
    <cellStyle name="Percent 3 6 3_Jurisdictional Study" xfId="10587" xr:uid="{BE2A5776-D09B-4EE0-A73B-0E12753CD197}"/>
    <cellStyle name="Percent 3 6 4" xfId="8235" xr:uid="{B1EF0E8E-A825-42AC-B18E-3662AE442A09}"/>
    <cellStyle name="Percent 3 6_Jurisdictional Study" xfId="10584" xr:uid="{D109BEF7-322A-4ED9-AE88-87B1FA6C20D2}"/>
    <cellStyle name="Percent 3 7" xfId="8236" xr:uid="{28C0D710-0619-4D57-82A9-AC59076A313D}"/>
    <cellStyle name="Percent 3 7 2" xfId="8237" xr:uid="{B3647ED2-D269-4488-BF29-2369C7D59C38}"/>
    <cellStyle name="Percent 3 7 2 2" xfId="8238" xr:uid="{08FD2A77-02A6-44E0-861D-6ADE2BB35463}"/>
    <cellStyle name="Percent 3 7 2_Jurisdictional Study" xfId="10589" xr:uid="{60DB0C01-457A-447F-8656-9A250C062121}"/>
    <cellStyle name="Percent 3 7 3" xfId="8239" xr:uid="{8B9DBA8B-ABA0-4B42-BD15-A11AE4FD4321}"/>
    <cellStyle name="Percent 3 7_Jurisdictional Study" xfId="10588" xr:uid="{A2899D87-1B28-45E0-9EAE-31073D7EA0E3}"/>
    <cellStyle name="Percent 3 8" xfId="8240" xr:uid="{8722FE15-D90A-4960-9451-12D59537F21B}"/>
    <cellStyle name="Percent 3 8 2" xfId="8241" xr:uid="{C1E275F3-52B9-4336-9FB2-FE541C126574}"/>
    <cellStyle name="Percent 3 8_Jurisdictional Study" xfId="10590" xr:uid="{483204E7-1310-45F6-83A9-721F9B2BFA46}"/>
    <cellStyle name="Percent 3 9" xfId="8242" xr:uid="{E4F9C4BD-A09E-43DF-9A64-BC3ABC71BBE1}"/>
    <cellStyle name="Percent 3_Jurisdictional Study" xfId="10511" xr:uid="{8EEA913F-D300-45A3-A13A-66452F577187}"/>
    <cellStyle name="Percent 4" xfId="182" xr:uid="{C12502FF-0880-4FA2-8C20-A8B11D1CF1B6}"/>
    <cellStyle name="Percent 4 2" xfId="8244" xr:uid="{67E5DC4D-AB89-48CB-B9C2-996AEA974F29}"/>
    <cellStyle name="Percent 4 2 2" xfId="8245" xr:uid="{9BC6F931-F7F5-41E4-B337-EF06DEB41A58}"/>
    <cellStyle name="Percent 4 2 2 2" xfId="8246" xr:uid="{2474D452-BA8D-454D-A3E9-3C72ACC98365}"/>
    <cellStyle name="Percent 4 2 2 2 2" xfId="8247" xr:uid="{E0A59841-9615-4A52-992D-644723B79E6F}"/>
    <cellStyle name="Percent 4 2 2 2 2 2" xfId="8248" xr:uid="{27AD29A3-ACE7-4E9E-B86C-5330F1A51652}"/>
    <cellStyle name="Percent 4 2 2 2 2_Jurisdictional Study" xfId="10595" xr:uid="{98E326D3-9F39-4DFC-A1C6-771C2A467864}"/>
    <cellStyle name="Percent 4 2 2 2 3" xfId="8249" xr:uid="{C7E242D2-F8FA-4525-B6A7-3FE23D267A5D}"/>
    <cellStyle name="Percent 4 2 2 2_Jurisdictional Study" xfId="10594" xr:uid="{52A9F3EB-D100-41F8-AA8F-74562A6AE72B}"/>
    <cellStyle name="Percent 4 2 2 3" xfId="8250" xr:uid="{A4A52513-08B9-47D3-AFE0-7EFB4B55FC44}"/>
    <cellStyle name="Percent 4 2 2 3 2" xfId="8251" xr:uid="{8E663A52-4D49-4E10-B99F-7C758FDBC463}"/>
    <cellStyle name="Percent 4 2 2 3_Jurisdictional Study" xfId="10596" xr:uid="{108767A4-86BB-46DC-BEF9-56808FA81F3D}"/>
    <cellStyle name="Percent 4 2 2 4" xfId="8252" xr:uid="{A7F63418-A962-40EE-94E1-69DFC664AD2D}"/>
    <cellStyle name="Percent 4 2 2_Jurisdictional Study" xfId="10593" xr:uid="{905B2288-809E-4EF4-ABC2-3DB677EB1510}"/>
    <cellStyle name="Percent 4 2 3" xfId="8253" xr:uid="{9FB8F6E3-CD66-44A0-A83E-B2B13AE8F25F}"/>
    <cellStyle name="Percent 4 2 3 2" xfId="8254" xr:uid="{894578E3-7EB6-481A-89DE-FC430D6C5F46}"/>
    <cellStyle name="Percent 4 2 3 2 2" xfId="8255" xr:uid="{1E343070-8D9F-4D21-AD2F-E5EB761DB4B0}"/>
    <cellStyle name="Percent 4 2 3 2_Jurisdictional Study" xfId="10598" xr:uid="{5FC0AB09-0DAB-4C1C-B3E2-310AD7D5CA32}"/>
    <cellStyle name="Percent 4 2 3 3" xfId="8256" xr:uid="{B682305A-92B2-49BC-BACD-7E73CCCBFED4}"/>
    <cellStyle name="Percent 4 2 3_Jurisdictional Study" xfId="10597" xr:uid="{830716A8-5AEE-4569-9FF2-82E6934E1856}"/>
    <cellStyle name="Percent 4 2 4" xfId="8257" xr:uid="{B4ED7476-07D6-4E7F-8143-56D5BA563EDA}"/>
    <cellStyle name="Percent 4 2 4 2" xfId="8258" xr:uid="{D3EE5B28-4B3E-47C0-9E67-17E36DAA73EE}"/>
    <cellStyle name="Percent 4 2 4_Jurisdictional Study" xfId="10599" xr:uid="{84DD43A1-68BB-4108-90BF-163FBE527616}"/>
    <cellStyle name="Percent 4 2 5" xfId="8259" xr:uid="{946B5572-1B22-4312-A6DC-194B200F7F96}"/>
    <cellStyle name="Percent 4 2_Jurisdictional Study" xfId="10592" xr:uid="{C8A4F4DA-76BA-474C-B27C-F832797C9B99}"/>
    <cellStyle name="Percent 4 3" xfId="8260" xr:uid="{B324A923-84CF-4416-A53B-B63BC9A180F1}"/>
    <cellStyle name="Percent 4 3 2" xfId="8261" xr:uid="{CE763FF4-BE57-4328-88BA-595E62B70C40}"/>
    <cellStyle name="Percent 4 3 2 2" xfId="8262" xr:uid="{F2E6B257-6557-4AAA-B4E1-5B50CF571923}"/>
    <cellStyle name="Percent 4 3 2 2 2" xfId="8263" xr:uid="{C55D2B2A-9365-49A7-A947-10265F7D856B}"/>
    <cellStyle name="Percent 4 3 2 2_Jurisdictional Study" xfId="10602" xr:uid="{26B9C010-6788-41F8-AEFD-E859D7829BA5}"/>
    <cellStyle name="Percent 4 3 2 3" xfId="8264" xr:uid="{E2396127-7D8B-4CE0-81F0-B617348E46F1}"/>
    <cellStyle name="Percent 4 3 2_Jurisdictional Study" xfId="10601" xr:uid="{82837648-ED90-43C3-BD43-25A7B9CE5CB3}"/>
    <cellStyle name="Percent 4 3 3" xfId="8265" xr:uid="{760BFE16-E303-4F65-9533-D067B733BC6F}"/>
    <cellStyle name="Percent 4 3 3 2" xfId="8266" xr:uid="{E33FAE5A-4739-4E09-B31E-EDDCB2BB9C08}"/>
    <cellStyle name="Percent 4 3 3_Jurisdictional Study" xfId="10603" xr:uid="{6276B5F8-0484-4996-B7D1-0CBE60FE81D4}"/>
    <cellStyle name="Percent 4 3 4" xfId="8267" xr:uid="{331E1E87-F4AE-43AE-9C15-FB68D8B529C9}"/>
    <cellStyle name="Percent 4 3_Jurisdictional Study" xfId="10600" xr:uid="{09DD07E7-1849-4A09-B148-1404917B2140}"/>
    <cellStyle name="Percent 4 4" xfId="8268" xr:uid="{AB69E407-976E-4EF5-BCA8-9F840981AA36}"/>
    <cellStyle name="Percent 4 4 2" xfId="8269" xr:uid="{4AC9864C-EB93-46A7-B1DC-F9E3B4EC5196}"/>
    <cellStyle name="Percent 4 4 2 2" xfId="8270" xr:uid="{A3C3A7F0-766A-4661-B876-D6C3B58E9676}"/>
    <cellStyle name="Percent 4 4 2_Jurisdictional Study" xfId="10605" xr:uid="{8B7A8B4E-B7B4-40E4-AC81-07B3C705F25F}"/>
    <cellStyle name="Percent 4 4 3" xfId="8271" xr:uid="{E005D6FB-375C-4303-B7D8-947A6295927F}"/>
    <cellStyle name="Percent 4 4_Jurisdictional Study" xfId="10604" xr:uid="{29F6943C-7A56-4145-80B2-8B2D7981CC5F}"/>
    <cellStyle name="Percent 4 5" xfId="8272" xr:uid="{00842F97-8328-4CDC-8930-56F9662F25F0}"/>
    <cellStyle name="Percent 4 5 2" xfId="8273" xr:uid="{A3A19E6E-4E22-474C-BB11-7C96F5A7C671}"/>
    <cellStyle name="Percent 4 5_Jurisdictional Study" xfId="10606" xr:uid="{7A6B9530-697A-48C7-9AE1-7E6C18D9099B}"/>
    <cellStyle name="Percent 4 6" xfId="8274" xr:uid="{4C4A4E3F-6ACE-4E3A-826C-AAD2C921A9E6}"/>
    <cellStyle name="Percent 4 7" xfId="8243" xr:uid="{EF300851-5E13-4918-8720-B62BB6A083BA}"/>
    <cellStyle name="Percent 4_Jurisdictional Study" xfId="10591" xr:uid="{F675E509-0983-4925-8C79-8310FA556857}"/>
    <cellStyle name="Percent 5" xfId="8275" xr:uid="{FE20371A-8C47-40FD-9557-88E3E690204F}"/>
    <cellStyle name="Percent 5 2" xfId="8276" xr:uid="{DB520119-EC3A-423D-A9E4-4AF4B751D3DB}"/>
    <cellStyle name="Percent 5_Jurisdictional Study" xfId="10607" xr:uid="{E6843B55-1B5B-4ECB-8EE8-5D8A65F551CF}"/>
    <cellStyle name="Percent 6" xfId="8277" xr:uid="{9CBE4C1F-B1C6-40DE-A5D7-3FA192F34382}"/>
    <cellStyle name="Percent 6 2" xfId="8278" xr:uid="{31BE9430-9E93-4942-8F6A-9927DCB04A4E}"/>
    <cellStyle name="Percent 6_Jurisdictional Study" xfId="10608" xr:uid="{AB37A514-FF3A-4CC0-A27A-13AFED87848D}"/>
    <cellStyle name="Percent 7" xfId="8279" xr:uid="{26D8800D-D60C-4404-B6C8-CFFB8ED0A7E8}"/>
    <cellStyle name="Percent 7 2" xfId="8280" xr:uid="{F4E3EFD4-F67D-4D56-97F2-CDA53F0AACBD}"/>
    <cellStyle name="Percent 7 2 2" xfId="8281" xr:uid="{9274125A-B624-4575-934A-D44B131687F5}"/>
    <cellStyle name="Percent 7 2 2 2" xfId="8282" xr:uid="{83E3A8BD-5416-416B-9E39-12DB7958CACE}"/>
    <cellStyle name="Percent 7 2 2_Jurisdictional Study" xfId="10611" xr:uid="{D94837BA-FF43-475B-9C91-A5D1808C1493}"/>
    <cellStyle name="Percent 7 2 3" xfId="8283" xr:uid="{C1D33EA5-4284-41DE-B3A0-A916C67E6C3A}"/>
    <cellStyle name="Percent 7 2_Jurisdictional Study" xfId="10610" xr:uid="{BCB0B931-94F8-40C9-A9BE-09ADD1C33625}"/>
    <cellStyle name="Percent 7 3" xfId="8284" xr:uid="{EBB6C090-94FB-496C-8ACF-D5BEC1639087}"/>
    <cellStyle name="Percent 7 3 2" xfId="8285" xr:uid="{85F499CE-4689-4960-8132-7DFE240C04B6}"/>
    <cellStyle name="Percent 7 3_Jurisdictional Study" xfId="10612" xr:uid="{3A6F6B78-470E-4DBE-BE58-7B6DA791DEC7}"/>
    <cellStyle name="Percent 7 4" xfId="8286" xr:uid="{42D62B58-93B0-4DB9-8C97-38AEA61E5020}"/>
    <cellStyle name="Percent 7_Jurisdictional Study" xfId="10609" xr:uid="{5A358E20-4CF5-4242-B6A6-DFBF50C55BAB}"/>
    <cellStyle name="Percent 8" xfId="8287" xr:uid="{149664B6-D10A-4257-98DF-246EA15AB9D5}"/>
    <cellStyle name="Percent 8 2" xfId="8288" xr:uid="{1EB3AF5E-D571-49C3-AA16-96E454DA4DA2}"/>
    <cellStyle name="Percent 8 2 2" xfId="8289" xr:uid="{1203B1C4-C07A-49D7-8DE0-7FC307162A7D}"/>
    <cellStyle name="Percent 8 2_Jurisdictional Study" xfId="10614" xr:uid="{E4CB79DE-C137-49A0-809A-A09526BEC84A}"/>
    <cellStyle name="Percent 8 3" xfId="8290" xr:uid="{2B1BED1B-B5AF-429F-8B0E-CCCEE71551D0}"/>
    <cellStyle name="Percent 8_Jurisdictional Study" xfId="10613" xr:uid="{6B09CD26-29FA-46D7-8680-BFDBE222E15A}"/>
    <cellStyle name="Percent 9" xfId="8291" xr:uid="{B0452F14-629C-4D02-98F5-01AA5B8F21BA}"/>
    <cellStyle name="Percent 9 2" xfId="8292" xr:uid="{9ED40E71-8DCA-4B82-BE9F-4CE0A0FD058F}"/>
    <cellStyle name="Percent 9 2 2" xfId="8293" xr:uid="{1166680C-57A8-455F-98CC-D0403435F9EE}"/>
    <cellStyle name="Percent 9 2_Jurisdictional Study" xfId="10616" xr:uid="{FBCD596B-E83F-45B3-9E13-62688F3EFB97}"/>
    <cellStyle name="Percent 9 3" xfId="8294" xr:uid="{F4B10F0D-3184-4639-8D86-FCD68A1C1C3F}"/>
    <cellStyle name="Percent 9_Jurisdictional Study" xfId="10615" xr:uid="{B8368220-212E-40E4-AC55-6F33620E8F47}"/>
    <cellStyle name="Project Overview Data Entry" xfId="8295" xr:uid="{E783F127-170A-4ECA-9B3D-E42FDBF805F8}"/>
    <cellStyle name="PSChar" xfId="184" xr:uid="{FC163D55-86E2-42E4-9008-578063AEAC4E}"/>
    <cellStyle name="PSDate" xfId="185" xr:uid="{94F4FEF9-3533-47F1-A089-B59596591D6C}"/>
    <cellStyle name="PSDec" xfId="186" xr:uid="{46BA1FCE-A32B-4956-B053-76E3427DF3EB}"/>
    <cellStyle name="PSHeading" xfId="187" xr:uid="{63F4D638-FBF7-40D9-A123-6838DF563501}"/>
    <cellStyle name="PSInt" xfId="188" xr:uid="{779ADAE8-7423-4AF1-BAA7-DBE200321995}"/>
    <cellStyle name="PSSpacer" xfId="189" xr:uid="{FF7325E8-AE38-479D-A8A3-14141E66DF5D}"/>
    <cellStyle name="ReportTitlePrompt" xfId="68" xr:uid="{00000000-0005-0000-0000-000045000000}"/>
    <cellStyle name="ReportTitlePrompt 2" xfId="287" xr:uid="{6A102F40-E55F-4A0B-AF12-6BAF6413E334}"/>
    <cellStyle name="ReportTitlePrompt 3" xfId="190" xr:uid="{7EF3DC04-0FA1-44C5-BCA8-7E05C8DC0770}"/>
    <cellStyle name="ReportTitlePrompt 4" xfId="8296" xr:uid="{18F195F9-6093-49BE-8330-6B7C158ED031}"/>
    <cellStyle name="ReportTitlePrompt 5" xfId="124" xr:uid="{1F2E59FE-60D3-4ADA-B643-86D83E485142}"/>
    <cellStyle name="ReportTitlePrompt_Jurisdictional Study" xfId="10617" xr:uid="{4E54A239-BFBF-4744-AA12-256D10A3C6AD}"/>
    <cellStyle name="ReportTitleValue" xfId="69" xr:uid="{00000000-0005-0000-0000-000046000000}"/>
    <cellStyle name="ReportTitleValue 2" xfId="8297" xr:uid="{0FEF9DCB-9D04-436C-B6E4-35BC62668F06}"/>
    <cellStyle name="ReportTitleValue_Jurisdictional Study" xfId="10618" xr:uid="{9C2EBC5E-1D5F-472F-A6ED-3CF8069E363E}"/>
    <cellStyle name="RowAcctAbovePrompt" xfId="70" xr:uid="{00000000-0005-0000-0000-000047000000}"/>
    <cellStyle name="RowAcctAbovePrompt 2" xfId="191" xr:uid="{41A6D9B8-4862-43BC-ADA4-DB87D8439C1D}"/>
    <cellStyle name="RowAcctAbovePrompt 3" xfId="8298" xr:uid="{E1E2DC86-9B81-42D7-92BC-143D2E6131BB}"/>
    <cellStyle name="RowAcctAbovePrompt 4" xfId="125" xr:uid="{6578026C-85B7-489E-B01A-7A4DD8305A96}"/>
    <cellStyle name="RowAcctAbovePrompt_Jurisdictional Study" xfId="10619" xr:uid="{696464BC-6D67-4561-94B6-955557112459}"/>
    <cellStyle name="RowAcctSOBAbovePrompt" xfId="71" xr:uid="{00000000-0005-0000-0000-000048000000}"/>
    <cellStyle name="RowAcctSOBAbovePrompt 2" xfId="192" xr:uid="{0D780C68-628C-437A-A4C9-2673C549EDCB}"/>
    <cellStyle name="RowAcctSOBAbovePrompt 3" xfId="8299" xr:uid="{C890FAE5-6A0F-42B7-A0FE-DFD3D828E915}"/>
    <cellStyle name="RowAcctSOBAbovePrompt 4" xfId="126" xr:uid="{E14BB8BC-6850-4BCD-9955-E558F03F1EB9}"/>
    <cellStyle name="RowAcctSOBAbovePrompt_Jurisdictional Study" xfId="10620" xr:uid="{FB893ED6-0BF6-422B-8BCA-B1B14D763E90}"/>
    <cellStyle name="RowAcctSOBValue" xfId="72" xr:uid="{00000000-0005-0000-0000-000049000000}"/>
    <cellStyle name="RowAcctSOBValue 2" xfId="193" xr:uid="{0353850D-B830-434B-A5B5-8A62D63AFACC}"/>
    <cellStyle name="RowAcctSOBValue 3" xfId="8300" xr:uid="{0E9D590A-E0B9-457D-984E-0A844F141301}"/>
    <cellStyle name="RowAcctSOBValue 4" xfId="127" xr:uid="{107EAAAE-0A86-4945-98B8-2F01B7345122}"/>
    <cellStyle name="RowAcctSOBValue_Jurisdictional Study" xfId="10621" xr:uid="{2604871B-0DB8-49CB-8B16-5B6EB40F345F}"/>
    <cellStyle name="RowAcctValue" xfId="73" xr:uid="{00000000-0005-0000-0000-00004A000000}"/>
    <cellStyle name="RowAcctValue 2" xfId="8301" xr:uid="{E45F7ACD-26B4-4782-B903-69080337EC07}"/>
    <cellStyle name="RowAcctValue_Jurisdictional Study" xfId="10622" xr:uid="{E795CEFF-0034-443E-AFFD-17F4C327BAB0}"/>
    <cellStyle name="RowAttrAbovePrompt" xfId="74" xr:uid="{00000000-0005-0000-0000-00004B000000}"/>
    <cellStyle name="RowAttrAbovePrompt 2" xfId="194" xr:uid="{348D04AB-1587-442A-ADE3-F1EE4B88C59C}"/>
    <cellStyle name="RowAttrAbovePrompt 3" xfId="8302" xr:uid="{B594567E-E125-4DD6-95BB-819D2FC48EC4}"/>
    <cellStyle name="RowAttrAbovePrompt 4" xfId="129" xr:uid="{96C9E8A7-CB54-426D-9891-C93B8C62A41D}"/>
    <cellStyle name="RowAttrAbovePrompt_Jurisdictional Study" xfId="10623" xr:uid="{7314A880-F7C3-410B-9AF8-6E0A87C9AD46}"/>
    <cellStyle name="RowAttrValue" xfId="75" xr:uid="{00000000-0005-0000-0000-00004C000000}"/>
    <cellStyle name="RowAttrValue 2" xfId="8303" xr:uid="{161174E1-2C7C-4732-88FA-71FCA4321770}"/>
    <cellStyle name="RowAttrValue_Jurisdictional Study" xfId="10624" xr:uid="{726C158E-50DE-47B0-ACC9-754A0BE93626}"/>
    <cellStyle name="RowColSetAbovePrompt" xfId="76" xr:uid="{00000000-0005-0000-0000-00004D000000}"/>
    <cellStyle name="RowColSetAbovePrompt 2" xfId="195" xr:uid="{EB8A6EAE-933E-4A53-B273-F6836EE59B14}"/>
    <cellStyle name="RowColSetAbovePrompt 3" xfId="8304" xr:uid="{E6F37428-544E-42BF-8363-88BB9F531638}"/>
    <cellStyle name="RowColSetAbovePrompt 4" xfId="131" xr:uid="{1CFD38F6-4999-4E40-A133-CE83080636F7}"/>
    <cellStyle name="RowColSetAbovePrompt_Jurisdictional Study" xfId="10625" xr:uid="{69B06292-B612-4FAF-A9D1-95C8E5FF0284}"/>
    <cellStyle name="RowColSetLeftPrompt" xfId="77" xr:uid="{00000000-0005-0000-0000-00004E000000}"/>
    <cellStyle name="RowColSetLeftPrompt 2" xfId="196" xr:uid="{6867779B-DE00-472F-B599-6C0F07A03C3F}"/>
    <cellStyle name="RowColSetLeftPrompt 3" xfId="8305" xr:uid="{5E012A48-211E-4FBB-8400-D280FEE3D3BD}"/>
    <cellStyle name="RowColSetLeftPrompt 4" xfId="132" xr:uid="{E51CAD44-C896-4A49-9EB0-0E87483A143D}"/>
    <cellStyle name="RowColSetLeftPrompt_Jurisdictional Study" xfId="10626" xr:uid="{7117ADAE-2B28-43E4-A0C2-3A7EF35485F0}"/>
    <cellStyle name="RowColSetValue" xfId="78" xr:uid="{00000000-0005-0000-0000-00004F000000}"/>
    <cellStyle name="RowColSetValue 2" xfId="288" xr:uid="{8FFA7E33-FE22-44E3-BC57-ADE2E678E5F3}"/>
    <cellStyle name="RowColSetValue 3" xfId="8306" xr:uid="{FBE8DD2B-B5DE-4FC1-879B-C7652E5475DB}"/>
    <cellStyle name="RowColSetValue_Jurisdictional Study" xfId="10627" xr:uid="{F349ED6E-F464-4DE3-85AC-97E753B57277}"/>
    <cellStyle name="RowLeftPrompt" xfId="79" xr:uid="{00000000-0005-0000-0000-000050000000}"/>
    <cellStyle name="RowLeftPrompt 2" xfId="197" xr:uid="{15945993-636B-4338-A36B-37A0D2EC336B}"/>
    <cellStyle name="RowLeftPrompt 3" xfId="8307" xr:uid="{F492F8FC-8BBA-43E8-B618-A5C0FB8DBB6A}"/>
    <cellStyle name="RowLeftPrompt 4" xfId="133" xr:uid="{BACBB46C-621A-4575-99CC-366E8475A38E}"/>
    <cellStyle name="RowLeftPrompt_Jurisdictional Study" xfId="10628" xr:uid="{B60830AA-5E67-4011-8130-D6509EBB87A9}"/>
    <cellStyle name="SampleUsingFormatMask" xfId="80" xr:uid="{00000000-0005-0000-0000-000051000000}"/>
    <cellStyle name="SampleUsingFormatMask 2" xfId="198" xr:uid="{CCA63E0A-568F-43CE-9856-21585885266D}"/>
    <cellStyle name="SampleUsingFormatMask 3" xfId="8308" xr:uid="{B71FA7CF-D4FE-4C5F-ADD2-B2392EEA822D}"/>
    <cellStyle name="SampleUsingFormatMask 4" xfId="134" xr:uid="{A27A6E5E-77FC-40F3-9019-C4860292A22E}"/>
    <cellStyle name="SampleUsingFormatMask_Jurisdictional Study" xfId="10629" xr:uid="{56A69A00-C1D1-4774-A475-31330DEDA20E}"/>
    <cellStyle name="SampleWithNoFormatMask" xfId="81" xr:uid="{00000000-0005-0000-0000-000052000000}"/>
    <cellStyle name="SampleWithNoFormatMask 2" xfId="199" xr:uid="{5208C318-F5E2-46EC-831C-042579986F15}"/>
    <cellStyle name="SampleWithNoFormatMask 3" xfId="8309" xr:uid="{3351822D-3C28-4156-935B-567B6BD1A1C0}"/>
    <cellStyle name="SampleWithNoFormatMask 4" xfId="135" xr:uid="{FE8FEFCD-3E57-42D9-A957-6F588F2E22DF}"/>
    <cellStyle name="SampleWithNoFormatMask_Jurisdictional Study" xfId="10630" xr:uid="{49BB5552-4C01-4191-95EE-715AA6C8262F}"/>
    <cellStyle name="SAPBEXaggData" xfId="200" xr:uid="{904663F1-4D32-4D5C-BB1E-E87E0B1B9564}"/>
    <cellStyle name="SAPBEXaggData 10" xfId="2877" xr:uid="{192BC07C-A99F-443F-B197-E4185027B60B}"/>
    <cellStyle name="SAPBEXaggData 11" xfId="3020" xr:uid="{505DC6DD-B3E2-4FAC-AF05-AF9AD0EE9D0B}"/>
    <cellStyle name="SAPBEXaggData 12" xfId="2961" xr:uid="{6E70599D-AA2F-4476-A30B-0B49B47EDA9E}"/>
    <cellStyle name="SAPBEXaggData 2" xfId="336" xr:uid="{A6C99772-B8D7-4EAC-9489-79DDBAC595A0}"/>
    <cellStyle name="SAPBEXaggData 2 10" xfId="2847" xr:uid="{196B2B84-7BE7-486D-9B5C-1905CAB397AC}"/>
    <cellStyle name="SAPBEXaggData 2 11" xfId="2098" xr:uid="{C5E76706-C22F-45A1-B6EB-21FBB24D5B51}"/>
    <cellStyle name="SAPBEXaggData 2 2" xfId="496" xr:uid="{7548A39C-2F23-4ADC-908E-3E8C46C59881}"/>
    <cellStyle name="SAPBEXaggData 2 3" xfId="1410" xr:uid="{A88B55C4-7FA5-45B0-8810-1D45F3791927}"/>
    <cellStyle name="SAPBEXaggData 2 4" xfId="1578" xr:uid="{9BC409C0-AC9E-46FE-A699-6898D57E1ABD}"/>
    <cellStyle name="SAPBEXaggData 2 5" xfId="1817" xr:uid="{BC20AD23-6E06-4845-B635-42C7C49EAED4}"/>
    <cellStyle name="SAPBEXaggData 2 6" xfId="1940" xr:uid="{D0E4E541-5512-4AE0-B002-903D17612423}"/>
    <cellStyle name="SAPBEXaggData 2 7" xfId="2278" xr:uid="{AEEC04DC-5C58-4883-838E-3B451B4C8070}"/>
    <cellStyle name="SAPBEXaggData 2 8" xfId="2534" xr:uid="{5DB25742-12EB-449D-8602-8AB7A03D440E}"/>
    <cellStyle name="SAPBEXaggData 2 9" xfId="2917" xr:uid="{841E3859-6873-47BF-BDCF-BC53EDDA3F08}"/>
    <cellStyle name="SAPBEXaggData 2_Jurisdictional Study" xfId="10632" xr:uid="{E1751679-DEC1-42C1-8279-9F72CAAC1DC3}"/>
    <cellStyle name="SAPBEXaggData 3" xfId="789" xr:uid="{5143E415-38E8-4BFD-90BF-BFE926830A00}"/>
    <cellStyle name="SAPBEXaggData 4" xfId="780" xr:uid="{664950B7-4B2C-4724-8B53-ED1AC113D87B}"/>
    <cellStyle name="SAPBEXaggData 5" xfId="1511" xr:uid="{D60A4644-BE7F-40B5-BEF7-DAFFCFD04FF0}"/>
    <cellStyle name="SAPBEXaggData 6" xfId="2047" xr:uid="{FAB9FA9E-DAB7-4C8B-9A4B-7AC1B220D78C}"/>
    <cellStyle name="SAPBEXaggData 7" xfId="2055" xr:uid="{F04A289F-DD55-4526-8555-6E264F273A9F}"/>
    <cellStyle name="SAPBEXaggData 8" xfId="2575" xr:uid="{994069D7-3408-453B-BF69-6947A35B72F8}"/>
    <cellStyle name="SAPBEXaggData 9" xfId="2641" xr:uid="{E2CC13C8-6ED1-4C74-94E0-EA4F87EACBD6}"/>
    <cellStyle name="SAPBEXaggData_Jurisdictional Study" xfId="10631" xr:uid="{5875B34A-1B22-49D5-957A-7276BA4E9FB1}"/>
    <cellStyle name="SAPBEXaggDataEmph" xfId="201" xr:uid="{5483B713-10A4-47C8-AB11-1A7AB60DC8AB}"/>
    <cellStyle name="SAPBEXaggDataEmph 10" xfId="3032" xr:uid="{C3F0554E-9BB6-4E93-AEB2-665A62A96DB0}"/>
    <cellStyle name="SAPBEXaggDataEmph 11" xfId="2734" xr:uid="{69394681-52DF-43D1-9237-5630D404754C}"/>
    <cellStyle name="SAPBEXaggDataEmph 2" xfId="486" xr:uid="{0740CD92-68C5-442C-8CBD-A97D8D20BD4B}"/>
    <cellStyle name="SAPBEXaggDataEmph 3" xfId="693" xr:uid="{4EA13E55-3276-4188-B7D2-7B7F9CF2AE0B}"/>
    <cellStyle name="SAPBEXaggDataEmph 4" xfId="828" xr:uid="{7CBB0DDC-5B20-42B4-A1D2-890337CBCE8B}"/>
    <cellStyle name="SAPBEXaggDataEmph 5" xfId="1931" xr:uid="{A1AA8E92-7FB3-42C7-AA4E-FECCEB8D4864}"/>
    <cellStyle name="SAPBEXaggDataEmph 6" xfId="1921" xr:uid="{1B79EF0C-1E61-4A6E-9DF0-73398065D4BF}"/>
    <cellStyle name="SAPBEXaggDataEmph 7" xfId="2233" xr:uid="{B34F4806-FC51-46FB-8A27-F3BF3C663DB5}"/>
    <cellStyle name="SAPBEXaggDataEmph 8" xfId="1842" xr:uid="{E8C2F4B4-B83C-49AC-B29D-DE2BE28BA127}"/>
    <cellStyle name="SAPBEXaggDataEmph 9" xfId="2882" xr:uid="{ACFDFE1B-61CC-407C-B103-ECA5D2C0319E}"/>
    <cellStyle name="SAPBEXaggDataEmph_Jurisdictional Study" xfId="10633" xr:uid="{5DAA3F2C-1C96-4247-A61C-C7CC6E6CA8D1}"/>
    <cellStyle name="SAPBEXaggItem" xfId="202" xr:uid="{603AD7C5-EEBC-4840-8EE7-E3D47E6F2946}"/>
    <cellStyle name="SAPBEXaggItem 10" xfId="1823" xr:uid="{17A77C37-0664-4C42-AD40-9377CDE16EE7}"/>
    <cellStyle name="SAPBEXaggItem 11" xfId="2703" xr:uid="{B595FA28-65B4-4758-B679-BD4163C47006}"/>
    <cellStyle name="SAPBEXaggItem 12" xfId="3051" xr:uid="{76782CDF-5D62-4ED0-B22A-DEE6122AD54D}"/>
    <cellStyle name="SAPBEXaggItem 2" xfId="337" xr:uid="{FA2DBD08-CD40-4AF8-BCD3-377F85314379}"/>
    <cellStyle name="SAPBEXaggItem 2 10" xfId="2842" xr:uid="{FE3F9E4F-58D0-403D-8E97-363F222E1C9C}"/>
    <cellStyle name="SAPBEXaggItem 2 11" xfId="3045" xr:uid="{D6008E38-15C4-4407-AF37-472C61E74A85}"/>
    <cellStyle name="SAPBEXaggItem 2 2" xfId="721" xr:uid="{8B2FDF09-4B72-4294-A4A7-F82BEDE1E418}"/>
    <cellStyle name="SAPBEXaggItem 2 3" xfId="1307" xr:uid="{8446E4E0-98D9-4160-A919-03AF91348317}"/>
    <cellStyle name="SAPBEXaggItem 2 4" xfId="1423" xr:uid="{5FFDB22B-A621-4F45-8668-4F0FDD8A780E}"/>
    <cellStyle name="SAPBEXaggItem 2 5" xfId="1816" xr:uid="{DAA007D0-2B6E-42C1-B3F4-6FBDD94D60C6}"/>
    <cellStyle name="SAPBEXaggItem 2 6" xfId="2057" xr:uid="{17956565-68E2-4EC1-A160-EBE041E71F9F}"/>
    <cellStyle name="SAPBEXaggItem 2 7" xfId="2089" xr:uid="{4ACF45F1-D6A7-4B42-A93E-0C457A9061C5}"/>
    <cellStyle name="SAPBEXaggItem 2 8" xfId="2643" xr:uid="{4199B24B-A189-48F1-9957-7F336A06A36D}"/>
    <cellStyle name="SAPBEXaggItem 2 9" xfId="2843" xr:uid="{28BB6BE5-43D1-4643-BC94-3E23269CAE70}"/>
    <cellStyle name="SAPBEXaggItem 2_Jurisdictional Study" xfId="10635" xr:uid="{0FCF29ED-8866-48E9-90FF-C9DE0A9CB186}"/>
    <cellStyle name="SAPBEXaggItem 3" xfId="487" xr:uid="{AC36091C-C120-4F99-91C5-DA487FF4C5A5}"/>
    <cellStyle name="SAPBEXaggItem 4" xfId="1094" xr:uid="{D82D049D-A631-45AC-9ED5-65734043FE9D}"/>
    <cellStyle name="SAPBEXaggItem 5" xfId="1487" xr:uid="{123D1743-81F7-42D1-94CF-E711CF04A366}"/>
    <cellStyle name="SAPBEXaggItem 6" xfId="2091" xr:uid="{7C607CD3-070B-49B2-9ABD-573126E57C4C}"/>
    <cellStyle name="SAPBEXaggItem 7" xfId="2001" xr:uid="{C598FE14-6DB9-4528-825E-5F561BB34E25}"/>
    <cellStyle name="SAPBEXaggItem 8" xfId="1854" xr:uid="{EFFF1058-002E-46F9-9A16-D9B7250C9A29}"/>
    <cellStyle name="SAPBEXaggItem 9" xfId="2596" xr:uid="{8F256771-2B80-4701-A598-40D329BF29EF}"/>
    <cellStyle name="SAPBEXaggItem_Jurisdictional Study" xfId="10634" xr:uid="{F3948B5A-CA83-41DB-A710-4376D40B16B3}"/>
    <cellStyle name="SAPBEXaggItemX" xfId="203" xr:uid="{50431598-FFBE-4541-BF33-C2EDDE2502F9}"/>
    <cellStyle name="SAPBEXaggItemX 10" xfId="1849" xr:uid="{FBC2D585-BF4D-4499-A10C-564D689D69D4}"/>
    <cellStyle name="SAPBEXaggItemX 11" xfId="2988" xr:uid="{87DEB64B-83D4-4D53-870D-3473C38A2B8C}"/>
    <cellStyle name="SAPBEXaggItemX 12" xfId="2974" xr:uid="{416A6AC5-9C7B-4F47-B2C3-DB274D7A4587}"/>
    <cellStyle name="SAPBEXaggItemX 2" xfId="338" xr:uid="{E948F865-9C9D-4213-ABFC-F173C42AA0D5}"/>
    <cellStyle name="SAPBEXaggItemX 2 10" xfId="3063" xr:uid="{66B74B53-6413-4D81-BCA8-6DFD980E5A12}"/>
    <cellStyle name="SAPBEXaggItemX 2 11" xfId="2951" xr:uid="{F28F3F13-17C2-4C08-8C0B-9DE117B20BF5}"/>
    <cellStyle name="SAPBEXaggItemX 2 2" xfId="576" xr:uid="{05A93553-5215-4B14-A257-D7888A02C44B}"/>
    <cellStyle name="SAPBEXaggItemX 2 3" xfId="1408" xr:uid="{BA267014-4DDC-4205-9D8C-1E9B6B8F175F}"/>
    <cellStyle name="SAPBEXaggItemX 2 4" xfId="1577" xr:uid="{55E73487-1EDA-43CA-AA30-05FCA6FBA87E}"/>
    <cellStyle name="SAPBEXaggItemX 2 5" xfId="1815" xr:uid="{A2E6A598-348F-46E4-BF8A-B0A922946FD2}"/>
    <cellStyle name="SAPBEXaggItemX 2 6" xfId="1968" xr:uid="{8864F2D8-7C82-4CB5-9F08-1FEC9096BC9F}"/>
    <cellStyle name="SAPBEXaggItemX 2 7" xfId="2313" xr:uid="{B4B47D28-1907-44B3-A082-5026FD9BE04C}"/>
    <cellStyle name="SAPBEXaggItemX 2 8" xfId="2568" xr:uid="{F505E633-5506-40B2-A83D-4712D48804C8}"/>
    <cellStyle name="SAPBEXaggItemX 2 9" xfId="1777" xr:uid="{EEDE1B9B-6AB2-4443-807D-8EAC1AF9D5FA}"/>
    <cellStyle name="SAPBEXaggItemX 2_Jurisdictional Study" xfId="10637" xr:uid="{7D92EC23-0100-48F4-8B3A-F80DAD5431FD}"/>
    <cellStyle name="SAPBEXaggItemX 3" xfId="712" xr:uid="{6510980F-590C-43E2-8011-F2779D4513D7}"/>
    <cellStyle name="SAPBEXaggItemX 4" xfId="888" xr:uid="{522FDDB0-3304-478E-944D-4F5EA86569C1}"/>
    <cellStyle name="SAPBEXaggItemX 5" xfId="536" xr:uid="{D6A58E45-F6F1-4F93-BA63-5B12B25B499B}"/>
    <cellStyle name="SAPBEXaggItemX 6" xfId="1971" xr:uid="{51A4B7D9-BC2D-4FE7-9FEC-EEBEFFB0414C}"/>
    <cellStyle name="SAPBEXaggItemX 7" xfId="2119" xr:uid="{23A585A8-9906-4A65-9046-1CE88EFD1CBE}"/>
    <cellStyle name="SAPBEXaggItemX 8" xfId="1767" xr:uid="{1862478A-C0F3-4116-AE5C-A4DA849EA87F}"/>
    <cellStyle name="SAPBEXaggItemX 9" xfId="2705" xr:uid="{40C9084C-CF3B-4303-AB2E-176BA8E8D1E4}"/>
    <cellStyle name="SAPBEXaggItemX_Jurisdictional Study" xfId="10636" xr:uid="{935771FC-621F-4570-AEFA-17D3CDEB6FAA}"/>
    <cellStyle name="SAPBEXchaText" xfId="204" xr:uid="{A0D23CB8-404D-4BF6-9EB6-C1B9155302AC}"/>
    <cellStyle name="SAPBEXchaText 2" xfId="339" xr:uid="{535BFBAF-795B-4A3B-B26C-9830A71E8542}"/>
    <cellStyle name="SAPBEXchaText_Jurisdictional Study" xfId="10638" xr:uid="{BA3ACA6B-0242-41CC-94FD-1623EE48481E}"/>
    <cellStyle name="SAPBEXexcBad7" xfId="205" xr:uid="{8552B2EE-77E8-454C-809D-49EF680B6545}"/>
    <cellStyle name="SAPBEXexcBad7 10" xfId="2886" xr:uid="{CC05571F-A8EF-4BD1-948E-315C971A036B}"/>
    <cellStyle name="SAPBEXexcBad7 11" xfId="3035" xr:uid="{4F87D4EB-D5DE-4492-B630-0365F88B407B}"/>
    <cellStyle name="SAPBEXexcBad7 12" xfId="2925" xr:uid="{0B657F49-45FF-4F15-B4B1-84291B992BE7}"/>
    <cellStyle name="SAPBEXexcBad7 2" xfId="340" xr:uid="{5541E0CB-FAA1-4AAA-95B2-9239337DE778}"/>
    <cellStyle name="SAPBEXexcBad7 2 10" xfId="1766" xr:uid="{C7C2FD65-82BF-4F4B-AA12-1E032406F23E}"/>
    <cellStyle name="SAPBEXexcBad7 2 11" xfId="2972" xr:uid="{AC68E46C-3701-4B7C-935C-87BED84C1CCA}"/>
    <cellStyle name="SAPBEXexcBad7 2 2" xfId="540" xr:uid="{0D1B3B47-343D-44B8-8E5E-9E6DEE82960A}"/>
    <cellStyle name="SAPBEXexcBad7 2 3" xfId="509" xr:uid="{D3A69BA3-F963-4966-903D-E6B93FEA1536}"/>
    <cellStyle name="SAPBEXexcBad7 2 4" xfId="1407" xr:uid="{B029A7C4-C66C-466B-B4A5-94F866EC2385}"/>
    <cellStyle name="SAPBEXexcBad7 2 5" xfId="2143" xr:uid="{10991780-0BE6-421D-82D0-08A32A524C4E}"/>
    <cellStyle name="SAPBEXexcBad7 2 6" xfId="1947" xr:uid="{AB7C6724-08C2-4E90-9EC1-B38C78CE8465}"/>
    <cellStyle name="SAPBEXexcBad7 2 7" xfId="2356" xr:uid="{B4DE9434-F156-4D8B-8F90-E9C886DB9206}"/>
    <cellStyle name="SAPBEXexcBad7 2 8" xfId="2542" xr:uid="{85CEA9FF-5D27-43A2-B9D0-78954D5184E9}"/>
    <cellStyle name="SAPBEXexcBad7 2 9" xfId="1764" xr:uid="{2107992D-7C45-41FD-B435-7BECF130DC65}"/>
    <cellStyle name="SAPBEXexcBad7 2_Jurisdictional Study" xfId="10640" xr:uid="{A51DDE13-9CEA-4FF3-A302-E1D12AF70A01}"/>
    <cellStyle name="SAPBEXexcBad7 3" xfId="799" xr:uid="{4A8CB14B-2683-4312-BF87-8DEDA0ED7DA2}"/>
    <cellStyle name="SAPBEXexcBad7 4" xfId="778" xr:uid="{854AFBAD-8FAF-464F-B4FA-77B601230A20}"/>
    <cellStyle name="SAPBEXexcBad7 5" xfId="844" xr:uid="{F873BD29-0DD1-452F-AE2D-42CCFA19AEB3}"/>
    <cellStyle name="SAPBEXexcBad7 6" xfId="1937" xr:uid="{48A145D9-6F69-46F7-96BA-25A2CAAC1E68}"/>
    <cellStyle name="SAPBEXexcBad7 7" xfId="2120" xr:uid="{85CCF7F6-4CBF-4FD1-8004-97AC307D81A1}"/>
    <cellStyle name="SAPBEXexcBad7 8" xfId="1769" xr:uid="{F7C7D550-63C5-4A27-9AD9-E0067E4CB093}"/>
    <cellStyle name="SAPBEXexcBad7 9" xfId="2706" xr:uid="{DE8B60FA-AA1F-45D8-B3CF-62A6B7D0AB19}"/>
    <cellStyle name="SAPBEXexcBad7_Jurisdictional Study" xfId="10639" xr:uid="{92102122-4354-43C8-A6F8-709A756A2A06}"/>
    <cellStyle name="SAPBEXexcBad8" xfId="206" xr:uid="{6682DC75-E581-4543-953D-BE68CD387DE5}"/>
    <cellStyle name="SAPBEXexcBad8 10" xfId="1894" xr:uid="{B3953D86-28A2-49F0-A369-47B2D223522D}"/>
    <cellStyle name="SAPBEXexcBad8 11" xfId="3052" xr:uid="{AC78AC7D-C93A-45B0-85F8-9263ACA882F5}"/>
    <cellStyle name="SAPBEXexcBad8 2" xfId="488" xr:uid="{2E4A7CF3-FC5E-4FE3-93B3-8DBD978904D5}"/>
    <cellStyle name="SAPBEXexcBad8 3" xfId="753" xr:uid="{1E6BB4D9-1914-48B2-9CC5-2093149FE111}"/>
    <cellStyle name="SAPBEXexcBad8 4" xfId="1476" xr:uid="{481FABF6-FA7A-44ED-842C-EF31050422F6}"/>
    <cellStyle name="SAPBEXexcBad8 5" xfId="2079" xr:uid="{4ECA4175-79BD-4553-9FAD-EF0161F8D425}"/>
    <cellStyle name="SAPBEXexcBad8 6" xfId="2003" xr:uid="{3D1BE0D3-CF3E-46E4-98C8-E42C445EA2E1}"/>
    <cellStyle name="SAPBEXexcBad8 7" xfId="1770" xr:uid="{E6C5BDF1-F974-4348-82C0-3E2B2CB32DB5}"/>
    <cellStyle name="SAPBEXexcBad8 8" xfId="2598" xr:uid="{51CD82A8-901B-4BF6-B666-93201F2608BC}"/>
    <cellStyle name="SAPBEXexcBad8 9" xfId="2523" xr:uid="{15251A54-C22D-413E-AF60-576DF0124619}"/>
    <cellStyle name="SAPBEXexcBad8_Jurisdictional Study" xfId="10641" xr:uid="{0B0869EA-3CFE-4E45-9BC3-A653389EF91A}"/>
    <cellStyle name="SAPBEXexcBad9" xfId="207" xr:uid="{3F34784E-2A85-453B-8FA9-427EC98AC9A2}"/>
    <cellStyle name="SAPBEXexcBad9 10" xfId="2901" xr:uid="{34EE97F9-0E08-4D37-80A3-96B56A5C8FD3}"/>
    <cellStyle name="SAPBEXexcBad9 11" xfId="2887" xr:uid="{BF4CE42C-69E5-48EE-A094-931F6ED8F1F1}"/>
    <cellStyle name="SAPBEXexcBad9 2" xfId="489" xr:uid="{60C89DA4-93B2-447A-B64C-7194A64FE741}"/>
    <cellStyle name="SAPBEXexcBad9 3" xfId="1093" xr:uid="{AD282FC5-52AE-4EE4-9E42-97CB48630EAF}"/>
    <cellStyle name="SAPBEXexcBad9 4" xfId="1419" xr:uid="{051436DE-CC89-4C92-9498-0BD818B84667}"/>
    <cellStyle name="SAPBEXexcBad9 5" xfId="1958" xr:uid="{11AE5B5D-6B19-4867-878A-E34EEAAA641D}"/>
    <cellStyle name="SAPBEXexcBad9 6" xfId="2121" xr:uid="{F2522804-0459-4EB2-B46D-C7B78B1BB1E7}"/>
    <cellStyle name="SAPBEXexcBad9 7" xfId="1899" xr:uid="{5AE9C627-DEF5-420E-93C9-E4AE77C45A79}"/>
    <cellStyle name="SAPBEXexcBad9 8" xfId="2707" xr:uid="{B8562DC4-090B-4385-BEF4-A4F5C670427A}"/>
    <cellStyle name="SAPBEXexcBad9 9" xfId="2567" xr:uid="{4DB26EA1-6150-47B5-A607-F3C273C13AB5}"/>
    <cellStyle name="SAPBEXexcBad9_Jurisdictional Study" xfId="10642" xr:uid="{4F702C7E-D7AA-48E1-B387-37E792FC1559}"/>
    <cellStyle name="SAPBEXexcCritical4" xfId="208" xr:uid="{F1D7A0D9-BE11-43DF-BEFE-B8FBBF630ED6}"/>
    <cellStyle name="SAPBEXexcCritical4 10" xfId="2402" xr:uid="{9B0C31FD-7A0D-4E6B-B065-135DFC05CC6B}"/>
    <cellStyle name="SAPBEXexcCritical4 11" xfId="2649" xr:uid="{2E4E9753-9267-43AD-A315-5A246EE52CA0}"/>
    <cellStyle name="SAPBEXexcCritical4 12" xfId="3110" xr:uid="{52B33044-20BC-4D9B-A4B2-964E3F948C89}"/>
    <cellStyle name="SAPBEXexcCritical4 2" xfId="341" xr:uid="{4CCDE202-8615-4C1D-9F97-4ADFB9D9AF14}"/>
    <cellStyle name="SAPBEXexcCritical4 2 10" xfId="2971" xr:uid="{B36ED8F8-2253-43D1-AF3A-ECE2C6EC8F31}"/>
    <cellStyle name="SAPBEXexcCritical4 2 11" xfId="3099" xr:uid="{44E0BDAE-39C8-4ABD-8D68-A98AD6506E87}"/>
    <cellStyle name="SAPBEXexcCritical4 2 2" xfId="707" xr:uid="{6D0E20C5-ECCA-4FF9-A1C7-6C634424C715}"/>
    <cellStyle name="SAPBEXexcCritical4 2 3" xfId="1309" xr:uid="{B0755E0F-C7EA-4614-88D1-DF137C2EBA10}"/>
    <cellStyle name="SAPBEXexcCritical4 2 4" xfId="1490" xr:uid="{4DB76F50-D1D0-4FFF-86A9-EA5B33FF038E}"/>
    <cellStyle name="SAPBEXexcCritical4 2 5" xfId="2144" xr:uid="{4D9013B9-C764-4DE5-8F8C-5781720397E6}"/>
    <cellStyle name="SAPBEXexcCritical4 2 6" xfId="2059" xr:uid="{6DCE106B-25B3-4EA6-9FA3-7A5DA0C49901}"/>
    <cellStyle name="SAPBEXexcCritical4 2 7" xfId="2227" xr:uid="{2FCA7D6A-4AB1-476A-9A6E-F6CEE7D53804}"/>
    <cellStyle name="SAPBEXexcCritical4 2 8" xfId="2554" xr:uid="{ABA76D2E-C25C-42D2-92D2-CE8A2BEA8F2A}"/>
    <cellStyle name="SAPBEXexcCritical4 2 9" xfId="2739" xr:uid="{CBA45B03-05F9-43BC-8DDA-BCFFB5D5AFB6}"/>
    <cellStyle name="SAPBEXexcCritical4 2_Jurisdictional Study" xfId="10644" xr:uid="{E9B7A61E-6368-4681-96D2-8DE3C59DC33E}"/>
    <cellStyle name="SAPBEXexcCritical4 3" xfId="902" xr:uid="{4FC96E98-9FD8-4E38-A8C7-293F9E9B0347}"/>
    <cellStyle name="SAPBEXexcCritical4 4" xfId="480" xr:uid="{AAAA085B-0917-4F71-A045-CF1B2EABA9D8}"/>
    <cellStyle name="SAPBEXexcCritical4 5" xfId="1504" xr:uid="{DB9F9409-999D-430B-B23E-72FCC67E8A5C}"/>
    <cellStyle name="SAPBEXexcCritical4 6" xfId="1948" xr:uid="{DBA4C918-CF29-4E9F-931D-E712A152172E}"/>
    <cellStyle name="SAPBEXexcCritical4 7" xfId="2004" xr:uid="{DDA36458-405B-4E33-84FD-BEB0AF3DEBDE}"/>
    <cellStyle name="SAPBEXexcCritical4 8" xfId="1771" xr:uid="{FC3A3554-5432-4118-95C8-7FA5C238D57D}"/>
    <cellStyle name="SAPBEXexcCritical4 9" xfId="2599" xr:uid="{B7E071EF-06FC-47BF-AB9C-458B77DECBE9}"/>
    <cellStyle name="SAPBEXexcCritical4_Jurisdictional Study" xfId="10643" xr:uid="{9765EC16-8CCD-4C5E-A03D-D9C2AEEC4FF1}"/>
    <cellStyle name="SAPBEXexcCritical5" xfId="209" xr:uid="{13324FA5-BB75-4B5D-B799-650B38E7429B}"/>
    <cellStyle name="SAPBEXexcCritical5 10" xfId="2550" xr:uid="{1F9C0704-2B6D-4289-A72D-0BA085FBD7DE}"/>
    <cellStyle name="SAPBEXexcCritical5 11" xfId="1893" xr:uid="{CA1A61E6-6AE5-4539-933F-3710EBCD39C5}"/>
    <cellStyle name="SAPBEXexcCritical5 12" xfId="2179" xr:uid="{52EA9398-C83E-4966-B956-636AA9DD9B55}"/>
    <cellStyle name="SAPBEXexcCritical5 2" xfId="342" xr:uid="{8E575F87-3635-4FAD-A323-1EF56BC670EC}"/>
    <cellStyle name="SAPBEXexcCritical5 2 10" xfId="2958" xr:uid="{8FC60950-6B6E-44DD-99CB-87C5E70F5091}"/>
    <cellStyle name="SAPBEXexcCritical5 2 11" xfId="2629" xr:uid="{B2885E4F-E372-4546-97A7-48C71F2053C7}"/>
    <cellStyle name="SAPBEXexcCritical5 2 2" xfId="507" xr:uid="{4093BA0E-E679-4421-BCDD-DC268FF16641}"/>
    <cellStyle name="SAPBEXexcCritical5 2 3" xfId="1184" xr:uid="{9B7D76CA-C7DF-45E4-A52F-6399BBC7E478}"/>
    <cellStyle name="SAPBEXexcCritical5 2 4" xfId="1124" xr:uid="{16E06DB0-E5C3-4BFC-9890-99ED0DAA7F12}"/>
    <cellStyle name="SAPBEXexcCritical5 2 5" xfId="2145" xr:uid="{70A33233-0D9C-42EA-913C-3A2247C1777F}"/>
    <cellStyle name="SAPBEXexcCritical5 2 6" xfId="1831" xr:uid="{5EFAFFA0-E93E-42EA-97C2-B35A3E5CD9B5}"/>
    <cellStyle name="SAPBEXexcCritical5 2 7" xfId="2302" xr:uid="{828F448C-8E18-43B8-9B06-20F7A31CA507}"/>
    <cellStyle name="SAPBEXexcCritical5 2 8" xfId="2203" xr:uid="{F9C7462B-FFF1-47A8-9CB5-D12F5C8FE0D2}"/>
    <cellStyle name="SAPBEXexcCritical5 2 9" xfId="2909" xr:uid="{65E9956A-4BFF-4DA0-8ABC-298871BEF27A}"/>
    <cellStyle name="SAPBEXexcCritical5 2_Jurisdictional Study" xfId="10646" xr:uid="{EBA0ACDB-7400-4227-BCA2-22245A3FA1E8}"/>
    <cellStyle name="SAPBEXexcCritical5 3" xfId="580" xr:uid="{4873CA11-B36B-4285-A5A3-69C190F1BFE7}"/>
    <cellStyle name="SAPBEXexcCritical5 4" xfId="884" xr:uid="{1490E7C3-C4C5-4B6B-A867-38EA03E2FA10}"/>
    <cellStyle name="SAPBEXexcCritical5 5" xfId="650" xr:uid="{9491EC2B-093B-4005-B684-BF4B4E2C3DA3}"/>
    <cellStyle name="SAPBEXexcCritical5 6" xfId="2087" xr:uid="{4946B703-18FE-49A0-A7DF-E2953E3A0785}"/>
    <cellStyle name="SAPBEXexcCritical5 7" xfId="2122" xr:uid="{3A8F8DA9-4567-49F7-83B2-4CA07EC3C22B}"/>
    <cellStyle name="SAPBEXexcCritical5 8" xfId="1772" xr:uid="{DF4D9A8E-FB86-4F73-8C57-3EA3789AAFE2}"/>
    <cellStyle name="SAPBEXexcCritical5 9" xfId="2708" xr:uid="{348E8CF1-D356-48E1-9568-A8A924491A8F}"/>
    <cellStyle name="SAPBEXexcCritical5_Jurisdictional Study" xfId="10645" xr:uid="{4AD49BDA-90B7-40BD-A5A7-CDE1473E419D}"/>
    <cellStyle name="SAPBEXexcCritical6" xfId="210" xr:uid="{4B565140-3E6B-441A-95DB-41FFAB66AFAD}"/>
    <cellStyle name="SAPBEXexcCritical6 10" xfId="2410" xr:uid="{F603ACC4-E892-496C-99AF-0A7FE0BCFB83}"/>
    <cellStyle name="SAPBEXexcCritical6 11" xfId="2987" xr:uid="{531A885B-FABF-4AAF-BD61-42077B10460A}"/>
    <cellStyle name="SAPBEXexcCritical6 12" xfId="3044" xr:uid="{C5142D09-369F-4037-A52C-0754C9E8FACA}"/>
    <cellStyle name="SAPBEXexcCritical6 2" xfId="343" xr:uid="{DB86F627-33FA-4731-93F0-BBEA281B5618}"/>
    <cellStyle name="SAPBEXexcCritical6 2 10" xfId="2945" xr:uid="{6E232CF5-6DFB-4551-B35D-64E1CEFE2C9A}"/>
    <cellStyle name="SAPBEXexcCritical6 2 11" xfId="3078" xr:uid="{55EEC58C-7E82-4369-870D-086524147B1A}"/>
    <cellStyle name="SAPBEXexcCritical6 2 2" xfId="893" xr:uid="{DDB11120-CA0A-4A3B-BCD5-E8855A6DB42F}"/>
    <cellStyle name="SAPBEXexcCritical6 2 3" xfId="1306" xr:uid="{C84EC877-627C-49CA-9533-92EBD2B59725}"/>
    <cellStyle name="SAPBEXexcCritical6 2 4" xfId="1509" xr:uid="{DC2C4552-6209-401A-8553-E621B8D1A7F4}"/>
    <cellStyle name="SAPBEXexcCritical6 2 5" xfId="2146" xr:uid="{1292E95E-06B0-4267-94A8-D8A819C51347}"/>
    <cellStyle name="SAPBEXexcCritical6 2 6" xfId="2066" xr:uid="{CE152C4A-A30C-4237-A876-B5B5F0D51EAA}"/>
    <cellStyle name="SAPBEXexcCritical6 2 7" xfId="2176" xr:uid="{D736F46E-34E4-489F-8655-5C10109D1E61}"/>
    <cellStyle name="SAPBEXexcCritical6 2 8" xfId="2652" xr:uid="{FCD8A094-1059-4764-81AC-4D0AA061A66A}"/>
    <cellStyle name="SAPBEXexcCritical6 2 9" xfId="2578" xr:uid="{C2D75B90-5A53-4D0A-8254-6A3F48F0F15C}"/>
    <cellStyle name="SAPBEXexcCritical6 2_Jurisdictional Study" xfId="10648" xr:uid="{7E1D18DD-7B12-41EE-AE33-5801AB6FDB06}"/>
    <cellStyle name="SAPBEXexcCritical6 3" xfId="581" xr:uid="{4EF705D6-4B4C-4D97-96AC-0606CA0941A1}"/>
    <cellStyle name="SAPBEXexcCritical6 4" xfId="765" xr:uid="{C144F01E-177A-4222-AFCF-379DFBA070C8}"/>
    <cellStyle name="SAPBEXexcCritical6 5" xfId="1471" xr:uid="{FC8CB184-9B3A-4E19-AF01-FB0EBF01444C}"/>
    <cellStyle name="SAPBEXexcCritical6 6" xfId="1967" xr:uid="{BE740BE7-D389-47C6-946E-A47715A83D31}"/>
    <cellStyle name="SAPBEXexcCritical6 7" xfId="2005" xr:uid="{0035306F-458E-4614-AD9A-18A53387F344}"/>
    <cellStyle name="SAPBEXexcCritical6 8" xfId="1900" xr:uid="{15D4CA34-7294-45DF-9FE9-D211F1717EBC}"/>
    <cellStyle name="SAPBEXexcCritical6 9" xfId="2600" xr:uid="{47830FE6-636D-41BC-B95B-3A175688FEBB}"/>
    <cellStyle name="SAPBEXexcCritical6_Jurisdictional Study" xfId="10647" xr:uid="{B37DF3CF-7592-4A31-8F08-D5BD022A9F48}"/>
    <cellStyle name="SAPBEXexcGood1" xfId="211" xr:uid="{217D2BB9-6A0A-4F64-AF7C-FF01F4AA4810}"/>
    <cellStyle name="SAPBEXexcGood1 10" xfId="1865" xr:uid="{D9225B0D-FEC8-43C8-809E-4A745F40BF8F}"/>
    <cellStyle name="SAPBEXexcGood1 11" xfId="2888" xr:uid="{75B5B1EE-1E02-49FD-B557-41406CFB313B}"/>
    <cellStyle name="SAPBEXexcGood1 2" xfId="856" xr:uid="{39CE0635-BFDD-4077-A708-B0AE05511A46}"/>
    <cellStyle name="SAPBEXexcGood1 3" xfId="848" xr:uid="{419AD9D7-7D19-4AFD-B6C0-98406B9E38B8}"/>
    <cellStyle name="SAPBEXexcGood1 4" xfId="1421" xr:uid="{411AF008-B887-4C21-AF48-71B9E9D8923E}"/>
    <cellStyle name="SAPBEXexcGood1 5" xfId="2058" xr:uid="{67C63CC5-D0DC-4202-9C15-0722B19AD1E5}"/>
    <cellStyle name="SAPBEXexcGood1 6" xfId="2123" xr:uid="{7CC253D2-7662-47BB-ACFD-CABEA0F4BC3C}"/>
    <cellStyle name="SAPBEXexcGood1 7" xfId="1773" xr:uid="{51E56DB2-ADA0-4EA5-9F34-2053E2567A9F}"/>
    <cellStyle name="SAPBEXexcGood1 8" xfId="2709" xr:uid="{E7C1155F-F043-48C8-9A60-3D65435407C5}"/>
    <cellStyle name="SAPBEXexcGood1 9" xfId="2268" xr:uid="{59686B89-AECF-45DE-9AF9-1A2DC3FC49FF}"/>
    <cellStyle name="SAPBEXexcGood1_Jurisdictional Study" xfId="10649" xr:uid="{7B172F4A-BAA9-4C39-8376-84B5E3EF9A99}"/>
    <cellStyle name="SAPBEXexcGood2" xfId="212" xr:uid="{58C1D67F-5347-471C-923D-823BC6E2F28B}"/>
    <cellStyle name="SAPBEXexcGood2 10" xfId="2732" xr:uid="{34AE801F-D73E-4C43-9888-0F50E475A5D2}"/>
    <cellStyle name="SAPBEXexcGood2 11" xfId="3101" xr:uid="{77CF15B6-1C3F-4075-8C19-1ED9BA9267B2}"/>
    <cellStyle name="SAPBEXexcGood2 2" xfId="582" xr:uid="{38A95E24-6E1D-422A-9066-438866F6DA51}"/>
    <cellStyle name="SAPBEXexcGood2 3" xfId="542" xr:uid="{29FE27E5-6AA7-4A74-91D3-BF7F4470DD32}"/>
    <cellStyle name="SAPBEXexcGood2 4" xfId="1507" xr:uid="{C75DC9C4-51DD-4693-86A6-3CF81D0C45A7}"/>
    <cellStyle name="SAPBEXexcGood2 5" xfId="1941" xr:uid="{A04EA6F6-59CF-4286-91A5-096CB66BAE07}"/>
    <cellStyle name="SAPBEXexcGood2 6" xfId="2006" xr:uid="{B78730F3-68C8-4915-AA5E-A736AB0EF12A}"/>
    <cellStyle name="SAPBEXexcGood2 7" xfId="1901" xr:uid="{113A0484-D051-4DC3-A132-D4E4C5E9EE82}"/>
    <cellStyle name="SAPBEXexcGood2 8" xfId="2601" xr:uid="{ABFA95F6-8BF9-4C3B-B252-8001F0427B7F}"/>
    <cellStyle name="SAPBEXexcGood2 9" xfId="2063" xr:uid="{DABD9CC2-7842-4595-924F-96AE80D38C51}"/>
    <cellStyle name="SAPBEXexcGood2_Jurisdictional Study" xfId="10650" xr:uid="{B3D4A1BE-88B1-40D6-A5FA-C11A3335FADB}"/>
    <cellStyle name="SAPBEXexcGood3" xfId="213" xr:uid="{6837E6D7-BC75-4F6F-B926-508DBFD544D7}"/>
    <cellStyle name="SAPBEXexcGood3 10" xfId="1934" xr:uid="{0E03A811-6B2E-4523-ABFE-D1E89672F5E9}"/>
    <cellStyle name="SAPBEXexcGood3 11" xfId="1892" xr:uid="{815523C3-3F7F-44F8-841A-CDB9D978ECDF}"/>
    <cellStyle name="SAPBEXexcGood3 12" xfId="2978" xr:uid="{7A094FE8-C86C-452B-8966-9C7122751A3A}"/>
    <cellStyle name="SAPBEXexcGood3 2" xfId="344" xr:uid="{6D83F9FA-1417-46B6-A06F-0DCC7A68DB86}"/>
    <cellStyle name="SAPBEXexcGood3 2 10" xfId="3055" xr:uid="{6EC1D00E-7687-46B5-97B3-9D13AE8D1720}"/>
    <cellStyle name="SAPBEXexcGood3 2 11" xfId="2149" xr:uid="{4CE64426-FBF6-4733-A5C6-3A1AAFC84D1C}"/>
    <cellStyle name="SAPBEXexcGood3 2 2" xfId="879" xr:uid="{B08C504C-30AC-4CF4-8927-CB9F36F0AC71}"/>
    <cellStyle name="SAPBEXexcGood3 2 3" xfId="694" xr:uid="{622F3D08-7F1F-410C-A38A-90CE0F1766EB}"/>
    <cellStyle name="SAPBEXexcGood3 2 4" xfId="745" xr:uid="{BA5545F8-1860-4CFC-83E8-3C025D4AEB78}"/>
    <cellStyle name="SAPBEXexcGood3 2 5" xfId="2147" xr:uid="{30CE1822-B3CC-4D3A-808F-25721F665B3C}"/>
    <cellStyle name="SAPBEXexcGood3 2 6" xfId="1982" xr:uid="{CD188B37-F744-4997-8474-C22FFAEBB9C5}"/>
    <cellStyle name="SAPBEXexcGood3 2 7" xfId="2345" xr:uid="{1AD1C8D0-AA73-484E-9E6B-E19B68792C4E}"/>
    <cellStyle name="SAPBEXexcGood3 2 8" xfId="2661" xr:uid="{94666C4D-D8DA-4E67-A0A3-85883A592043}"/>
    <cellStyle name="SAPBEXexcGood3 2 9" xfId="2916" xr:uid="{B758AFF4-98FE-4B1B-B95C-A037775B7B8E}"/>
    <cellStyle name="SAPBEXexcGood3 2_Jurisdictional Study" xfId="10652" xr:uid="{635EC466-A6FC-4687-A5CA-403E42B35F3E}"/>
    <cellStyle name="SAPBEXexcGood3 3" xfId="781" xr:uid="{E3ABD465-145A-4E94-B1D4-E3CBC9B08C03}"/>
    <cellStyle name="SAPBEXexcGood3 4" xfId="874" xr:uid="{F4EECDB0-7565-4285-A3DC-941CC6F8FC65}"/>
    <cellStyle name="SAPBEXexcGood3 5" xfId="858" xr:uid="{D7EF08A0-07FD-46A1-B750-8260E9730998}"/>
    <cellStyle name="SAPBEXexcGood3 6" xfId="2024" xr:uid="{42D04E9D-FC5E-445A-A3B5-D7B586CFD3CA}"/>
    <cellStyle name="SAPBEXexcGood3 7" xfId="2124" xr:uid="{ECB35A5A-6D92-4AD2-82C1-C85FD0B8DAD9}"/>
    <cellStyle name="SAPBEXexcGood3 8" xfId="1774" xr:uid="{ED4B4475-48DE-4815-9B4A-29D0895B9ACD}"/>
    <cellStyle name="SAPBEXexcGood3 9" xfId="2710" xr:uid="{5474BB42-AA29-459C-A2A3-EE4E2F1EBCEF}"/>
    <cellStyle name="SAPBEXexcGood3_Jurisdictional Study" xfId="10651" xr:uid="{515A7D3E-C665-4AAD-815D-E315585A91C8}"/>
    <cellStyle name="SAPBEXfilterDrill" xfId="214" xr:uid="{45FECE31-903E-4216-9121-184AD94992D5}"/>
    <cellStyle name="SAPBEXfilterDrill 2" xfId="345" xr:uid="{CB64CCF7-1496-41A3-A8B2-FF8A665C715E}"/>
    <cellStyle name="SAPBEXfilterDrill_Jurisdictional Study" xfId="10653" xr:uid="{3A160761-ECEE-429E-8AAD-99241C3F5033}"/>
    <cellStyle name="SAPBEXfilterItem" xfId="215" xr:uid="{E7A888A2-4100-49EE-9E40-09F10307895D}"/>
    <cellStyle name="SAPBEXfilterItem 2" xfId="346" xr:uid="{5E0C9408-F0D0-44F4-89CE-964404C6F110}"/>
    <cellStyle name="SAPBEXfilterItem_Jurisdictional Study" xfId="10654" xr:uid="{1090645C-B598-4326-AE76-A8DB4126D50B}"/>
    <cellStyle name="SAPBEXfilterText" xfId="216" xr:uid="{DB550D8E-0A90-4B73-9EE7-450B4C3F5DA2}"/>
    <cellStyle name="SAPBEXfilterText 2" xfId="347" xr:uid="{78A1914C-B463-4C11-A5F8-3E296E1304C7}"/>
    <cellStyle name="SAPBEXfilterText_Jurisdictional Study" xfId="10655" xr:uid="{60A56439-000C-461A-9B52-4FFF0713A565}"/>
    <cellStyle name="SAPBEXformats" xfId="217" xr:uid="{069B9023-344A-46C5-9BE0-F3E244CCFB18}"/>
    <cellStyle name="SAPBEXformats 10" xfId="1826" xr:uid="{BDC8CFD9-0956-4686-97D2-5F96A4368F26}"/>
    <cellStyle name="SAPBEXformats 11" xfId="2735" xr:uid="{ADF66A6C-30CA-4986-B9D6-8C0F59FF2A9A}"/>
    <cellStyle name="SAPBEXformats 12" xfId="3088" xr:uid="{ABB53212-FDC9-4895-AA3F-6917DFA23B14}"/>
    <cellStyle name="SAPBEXformats 2" xfId="348" xr:uid="{D37412F0-504E-4BAB-BAEF-C0A679352B89}"/>
    <cellStyle name="SAPBEXformats 2 10" xfId="1913" xr:uid="{1BCB1027-A1F0-4370-ACE9-34FD79FAACCB}"/>
    <cellStyle name="SAPBEXformats 2 11" xfId="2889" xr:uid="{FA1C4667-5209-4772-AA9C-88A379EC2DE6}"/>
    <cellStyle name="SAPBEXformats 2 2" xfId="776" xr:uid="{A7E0D5B8-804B-4020-93E8-0DD7C7C0353F}"/>
    <cellStyle name="SAPBEXformats 2 3" xfId="760" xr:uid="{31FD779F-40DE-41CF-9F0A-1839E5773ABA}"/>
    <cellStyle name="SAPBEXformats 2 4" xfId="620" xr:uid="{BA0065B9-4ABE-4B03-A9F0-1177428FA0B0}"/>
    <cellStyle name="SAPBEXformats 2 5" xfId="2151" xr:uid="{78E94794-7A06-469F-A515-AB6E8E28FA83}"/>
    <cellStyle name="SAPBEXformats 2 6" xfId="2396" xr:uid="{301E4393-90DC-4B97-A21B-F3421917FB36}"/>
    <cellStyle name="SAPBEXformats 2 7" xfId="2364" xr:uid="{7D562925-55BC-470E-931F-C3E6EF855115}"/>
    <cellStyle name="SAPBEXformats 2 8" xfId="1877" xr:uid="{FC21BF2A-E14A-4328-98B4-CB82D0F1DE05}"/>
    <cellStyle name="SAPBEXformats 2 9" xfId="2915" xr:uid="{499198AD-7214-40F9-81FB-56FC6D780362}"/>
    <cellStyle name="SAPBEXformats 2_Jurisdictional Study" xfId="10657" xr:uid="{7B302C45-C726-483C-B2A4-BB852A3BF0B0}"/>
    <cellStyle name="SAPBEXformats 3" xfId="664" xr:uid="{CFA84363-70CF-4393-BFB0-F9D80E23FDCC}"/>
    <cellStyle name="SAPBEXformats 4" xfId="719" xr:uid="{F63B3C40-67F2-45D8-BEAB-423EEA428E47}"/>
    <cellStyle name="SAPBEXformats 5" xfId="1521" xr:uid="{2CDFCA2A-5506-4FFF-8EC8-94B099FBC58F}"/>
    <cellStyle name="SAPBEXformats 6" xfId="2048" xr:uid="{EE5109E4-9B94-4887-BF7F-BBF570611532}"/>
    <cellStyle name="SAPBEXformats 7" xfId="2126" xr:uid="{07D48406-3403-4914-844E-30C18B8BE2D2}"/>
    <cellStyle name="SAPBEXformats 8" xfId="1903" xr:uid="{DA22F5BD-652C-4FEC-9E36-00DC71BD6B4A}"/>
    <cellStyle name="SAPBEXformats 9" xfId="2712" xr:uid="{6ABEB444-E159-4E08-B0D4-832533883EE7}"/>
    <cellStyle name="SAPBEXformats_Jurisdictional Study" xfId="10656" xr:uid="{D29B9CFB-060B-42C2-B0DE-A8E642B5ABCC}"/>
    <cellStyle name="SAPBEXheaderItem" xfId="218" xr:uid="{7A97B3A3-1BBF-4CE6-B380-6CD5453D0AF2}"/>
    <cellStyle name="SAPBEXheaderItem 2" xfId="349" xr:uid="{9ED7A14B-F48E-4885-9902-23C091995E21}"/>
    <cellStyle name="SAPBEXheaderItem_Jurisdictional Study" xfId="10658" xr:uid="{227719F0-07D4-468E-8CDB-169B88818F86}"/>
    <cellStyle name="SAPBEXheaderText" xfId="219" xr:uid="{3984EE7D-8D38-48F7-9F92-20EB0EEE1BB4}"/>
    <cellStyle name="SAPBEXheaderText 2" xfId="350" xr:uid="{BDBBFCCD-130B-4C51-9255-DB6E8F1906B7}"/>
    <cellStyle name="SAPBEXheaderText_Jurisdictional Study" xfId="10659" xr:uid="{99B741E0-4E56-4AEA-A74F-4B0A073A1807}"/>
    <cellStyle name="SAPBEXHLevel0" xfId="220" xr:uid="{155FB92F-2A1C-40D8-ABDF-B2DE46AF4CE3}"/>
    <cellStyle name="SAPBEXHLevel0 10" xfId="2338" xr:uid="{ECAC2DAC-3E8D-4C95-B3D8-BE1779AFA8F9}"/>
    <cellStyle name="SAPBEXHLevel0 11" xfId="2875" xr:uid="{E4A3A6F1-7E1C-47A6-A68F-C0D19AD5532A}"/>
    <cellStyle name="SAPBEXHLevel0 12" xfId="3086" xr:uid="{C15D5709-EEB0-4F17-AB87-C8291A71DE80}"/>
    <cellStyle name="SAPBEXHLevel0 2" xfId="289" xr:uid="{292AEA83-A937-4A2A-895E-C70AB3ECD3FB}"/>
    <cellStyle name="SAPBEXHLevel0 2 10" xfId="3113" xr:uid="{C35090C8-05B5-4B3A-8298-DBC9FD90B3DB}"/>
    <cellStyle name="SAPBEXHLevel0 2 11" xfId="3081" xr:uid="{FD7FA2D3-30CB-446A-806E-AD6A354D55F7}"/>
    <cellStyle name="SAPBEXHLevel0 2 2" xfId="1154" xr:uid="{2986E0F9-D83B-43BB-A1E6-B10BE0AC9CFB}"/>
    <cellStyle name="SAPBEXHLevel0 2 3" xfId="912" xr:uid="{B1A49A77-9744-4486-949C-14292FE1B360}"/>
    <cellStyle name="SAPBEXHLevel0 2 4" xfId="1111" xr:uid="{EDB7AD21-BBDD-408E-A789-03D4DC6BB8E3}"/>
    <cellStyle name="SAPBEXHLevel0 2 5" xfId="1997" xr:uid="{CBA30FCF-B3B6-43C2-8507-D1310F320044}"/>
    <cellStyle name="SAPBEXHLevel0 2 6" xfId="2222" xr:uid="{1C90FB61-89BC-42A4-938A-CE6358D477B9}"/>
    <cellStyle name="SAPBEXHLevel0 2 7" xfId="2635" xr:uid="{E70B71C2-BC0C-488D-9115-46EACBC3B31A}"/>
    <cellStyle name="SAPBEXHLevel0 2 8" xfId="2678" xr:uid="{AC23AA6F-2CEA-4931-B954-5E53C5B38C68}"/>
    <cellStyle name="SAPBEXHLevel0 2 9" xfId="2312" xr:uid="{49AD4A72-C28F-4AF6-A38E-C6ED3809C739}"/>
    <cellStyle name="SAPBEXHLevel0 2_Jurisdictional Study" xfId="10661" xr:uid="{2CA5842C-E5A5-4802-AA17-7935F3166D3B}"/>
    <cellStyle name="SAPBEXHLevel0 3" xfId="665" xr:uid="{8AB79AFD-A117-40E1-9EAE-E87F0C259257}"/>
    <cellStyle name="SAPBEXHLevel0 4" xfId="532" xr:uid="{BD050C08-03A3-482A-B8D0-F711CB8865EA}"/>
    <cellStyle name="SAPBEXHLevel0 5" xfId="1434" xr:uid="{F3BF24A4-4811-4796-ADE5-179D61ED7C12}"/>
    <cellStyle name="SAPBEXHLevel0 6" xfId="1965" xr:uid="{0B14C87C-AD9A-4DB8-827E-884D2E540087}"/>
    <cellStyle name="SAPBEXHLevel0 7" xfId="2010" xr:uid="{09A48DCD-FEC3-4011-AD86-3F200CF10AA0}"/>
    <cellStyle name="SAPBEXHLevel0 8" xfId="1778" xr:uid="{F795CEC3-53F6-4CAE-8186-06BD307E74AA}"/>
    <cellStyle name="SAPBEXHLevel0 9" xfId="2603" xr:uid="{650A15FC-F5B9-4CC7-9B9C-7256BE41B404}"/>
    <cellStyle name="SAPBEXHLevel0_Jurisdictional Study" xfId="10660" xr:uid="{6F86A937-3224-4063-BE17-4FB5EA30279A}"/>
    <cellStyle name="SAPBEXHLevel0X" xfId="221" xr:uid="{4C3DD85B-8065-4020-B60F-D77AD9B35704}"/>
    <cellStyle name="SAPBEXHLevel0X 10" xfId="2107" xr:uid="{74C98F0B-9A57-4FDA-97B3-CD5C6B7A1143}"/>
    <cellStyle name="SAPBEXHLevel0X 11" xfId="1813" xr:uid="{EB1ABDDE-667E-4350-97FE-C8750346BD5E}"/>
    <cellStyle name="SAPBEXHLevel0X 12" xfId="3040" xr:uid="{30300F5F-888F-44B1-A5A7-FBAA60F4E873}"/>
    <cellStyle name="SAPBEXHLevel0X 2" xfId="290" xr:uid="{34767406-F422-43F8-838F-D85408E4721A}"/>
    <cellStyle name="SAPBEXHLevel0X 2 10" xfId="3053" xr:uid="{82356EE6-E23B-42DB-A6D3-62AEE7F50716}"/>
    <cellStyle name="SAPBEXHLevel0X 2 11" xfId="2103" xr:uid="{8B20B5CF-7144-465D-8D30-96E2B6B6E6E4}"/>
    <cellStyle name="SAPBEXHLevel0X 2 2" xfId="895" xr:uid="{2676CCD7-4B0E-447B-9832-EEBB32786E9C}"/>
    <cellStyle name="SAPBEXHLevel0X 2 3" xfId="1308" xr:uid="{A69DFE71-A3E2-41CC-A2F7-F07D354D9EFF}"/>
    <cellStyle name="SAPBEXHLevel0X 2 4" xfId="1494" xr:uid="{C2EE4508-CD45-4EDD-92B9-5D815FCB04EE}"/>
    <cellStyle name="SAPBEXHLevel0X 2 5" xfId="2113" xr:uid="{FFE0ACB2-EBD4-4720-B187-84EA1D9376E7}"/>
    <cellStyle name="SAPBEXHLevel0X 2 6" xfId="2310" xr:uid="{5DE4B917-350D-4E02-9CD7-8E6BE8D0F6F6}"/>
    <cellStyle name="SAPBEXHLevel0X 2 7" xfId="2526" xr:uid="{A0BD654E-8937-4506-988A-37B858ADA61F}"/>
    <cellStyle name="SAPBEXHLevel0X 2 8" xfId="2009" xr:uid="{BC288EAF-F81E-4AD9-9E30-7E2205B64151}"/>
    <cellStyle name="SAPBEXHLevel0X 2 9" xfId="2328" xr:uid="{B2780D05-DC2F-4835-8206-9669FD9B54AE}"/>
    <cellStyle name="SAPBEXHLevel0X 2_Jurisdictional Study" xfId="10663" xr:uid="{98EBD07E-96E8-4D43-ADBD-968E4F2BB441}"/>
    <cellStyle name="SAPBEXHLevel0X 3" xfId="744" xr:uid="{D8E74D6D-F664-4C85-82D9-B547E78D54BA}"/>
    <cellStyle name="SAPBEXHLevel0X 4" xfId="883" xr:uid="{74450614-44E6-488E-8DCB-04FF863506B9}"/>
    <cellStyle name="SAPBEXHLevel0X 5" xfId="1522" xr:uid="{901C546C-6A77-4B59-A6CD-733C8290DCAD}"/>
    <cellStyle name="SAPBEXHLevel0X 6" xfId="2060" xr:uid="{5E3C9140-3D83-4C06-9CD3-0AB52BD5516A}"/>
    <cellStyle name="SAPBEXHLevel0X 7" xfId="2128" xr:uid="{0F6C35EC-268A-41F7-82AA-E6DE39C1727C}"/>
    <cellStyle name="SAPBEXHLevel0X 8" xfId="1904" xr:uid="{A0FC531B-5AC6-4A77-B604-00243A289A0F}"/>
    <cellStyle name="SAPBEXHLevel0X 9" xfId="2713" xr:uid="{0AADF143-DAC8-430F-A370-35478B5BD47B}"/>
    <cellStyle name="SAPBEXHLevel0X_Jurisdictional Study" xfId="10662" xr:uid="{DC952796-CB69-4105-A113-D6ED84D571B2}"/>
    <cellStyle name="SAPBEXHLevel1" xfId="222" xr:uid="{CA9484AB-0831-4399-90E0-479606D2506E}"/>
    <cellStyle name="SAPBEXHLevel1 10" xfId="2072" xr:uid="{DEB7896A-F7C5-4E63-A30A-1A47ED458EAC}"/>
    <cellStyle name="SAPBEXHLevel1 11" xfId="1763" xr:uid="{D03FBCDD-F0DD-4824-AABE-3852E5A0F7D4}"/>
    <cellStyle name="SAPBEXHLevel1 12" xfId="3042" xr:uid="{FCB2B41E-16A0-4F48-9265-AC1B5475E18C}"/>
    <cellStyle name="SAPBEXHLevel1 2" xfId="291" xr:uid="{5BB71613-02CC-424B-A5D1-15BE239581CE}"/>
    <cellStyle name="SAPBEXHLevel1 2 10" xfId="3057" xr:uid="{FF3C6BE8-12D0-4A9F-84FC-BFDE932C16AC}"/>
    <cellStyle name="SAPBEXHLevel1 2 11" xfId="3077" xr:uid="{6090E8C6-3581-4ED4-A436-34F06464B2E5}"/>
    <cellStyle name="SAPBEXHLevel1 2 2" xfId="1136" xr:uid="{8D3AB07F-78CB-485E-BF60-404A44021444}"/>
    <cellStyle name="SAPBEXHLevel1 2 3" xfId="551" xr:uid="{FE273829-C2B8-4482-97E6-2EAD5BB1698A}"/>
    <cellStyle name="SAPBEXHLevel1 2 4" xfId="1409" xr:uid="{B9CD516D-AA4B-433B-94DB-D7949A2A363E}"/>
    <cellStyle name="SAPBEXHLevel1 2 5" xfId="1995" xr:uid="{169B9256-241F-4D47-8B55-84A083ACFD2D}"/>
    <cellStyle name="SAPBEXHLevel1 2 6" xfId="2184" xr:uid="{00B7AB22-7CB4-4A3B-BAA1-E36CF7E05EB5}"/>
    <cellStyle name="SAPBEXHLevel1 2 7" xfId="2671" xr:uid="{39AEF28D-4C70-41BC-BF44-C9F8E9CC982F}"/>
    <cellStyle name="SAPBEXHLevel1 2 8" xfId="2056" xr:uid="{38A6EF72-9BA1-412D-BBF7-B10099D66843}"/>
    <cellStyle name="SAPBEXHLevel1 2 9" xfId="2648" xr:uid="{453CA1A6-E27C-473E-B59A-699C3D7BA641}"/>
    <cellStyle name="SAPBEXHLevel1 2_Jurisdictional Study" xfId="10665" xr:uid="{4DB6B61C-7FDE-4F31-8F7E-E1BFB6377B9C}"/>
    <cellStyle name="SAPBEXHLevel1 3" xfId="679" xr:uid="{81B7E143-E8EC-4667-8B80-DB3685179A4C}"/>
    <cellStyle name="SAPBEXHLevel1 4" xfId="842" xr:uid="{8A75312F-7700-4733-ACDF-CFC804CA4F19}"/>
    <cellStyle name="SAPBEXHLevel1 5" xfId="1435" xr:uid="{684A8423-DFE8-4061-B84B-26062AEFCDB1}"/>
    <cellStyle name="SAPBEXHLevel1 6" xfId="1943" xr:uid="{2E0FB00E-721E-4068-8275-4783C409B148}"/>
    <cellStyle name="SAPBEXHLevel1 7" xfId="1988" xr:uid="{C683C725-176B-4081-A397-1DE4EAEFA5B9}"/>
    <cellStyle name="SAPBEXHLevel1 8" xfId="1779" xr:uid="{12DD557F-1CF9-471A-92AA-22DC99368601}"/>
    <cellStyle name="SAPBEXHLevel1 9" xfId="2584" xr:uid="{C8211F3F-A461-490A-9933-80FF51DB2A42}"/>
    <cellStyle name="SAPBEXHLevel1_Jurisdictional Study" xfId="10664" xr:uid="{3C250735-1CC5-48EE-B095-53A0B76DFF16}"/>
    <cellStyle name="SAPBEXHLevel1X" xfId="223" xr:uid="{6853EDA9-2A44-4EB0-BC21-1CD9BC380B54}"/>
    <cellStyle name="SAPBEXHLevel1X 10" xfId="1827" xr:uid="{29313A87-B863-4CF7-B1E3-9A012DDBD535}"/>
    <cellStyle name="SAPBEXHLevel1X 11" xfId="1891" xr:uid="{D9FEBAC8-3211-4B78-9603-A93C8D5B483B}"/>
    <cellStyle name="SAPBEXHLevel1X 12" xfId="3108" xr:uid="{B4D17504-B9B1-4F0F-A920-3621EDFC4F99}"/>
    <cellStyle name="SAPBEXHLevel1X 2" xfId="292" xr:uid="{B263F12F-C22B-4517-A83F-E60A85E5F181}"/>
    <cellStyle name="SAPBEXHLevel1X 2 10" xfId="3011" xr:uid="{DD766392-8302-49AB-89B5-968C8EFA3697}"/>
    <cellStyle name="SAPBEXHLevel1X 2 11" xfId="3082" xr:uid="{332CACE3-E77B-4E2A-9119-261E6359329E}"/>
    <cellStyle name="SAPBEXHLevel1X 2 2" xfId="520" xr:uid="{D5F7820C-A630-4F1D-9CC5-AC9A5737C6F2}"/>
    <cellStyle name="SAPBEXHLevel1X 2 3" xfId="1305" xr:uid="{5B5A500A-0209-4AEA-8A14-C72DB090D440}"/>
    <cellStyle name="SAPBEXHLevel1X 2 4" xfId="1430" xr:uid="{6DA0766B-5784-44C2-99BA-6AD4D64370D9}"/>
    <cellStyle name="SAPBEXHLevel1X 2 5" xfId="2023" xr:uid="{A646C776-792D-4EDD-AC8C-C88880E041A7}"/>
    <cellStyle name="SAPBEXHLevel1X 2 6" xfId="2357" xr:uid="{10482209-DEB9-4638-AB1A-AA625D30C59E}"/>
    <cellStyle name="SAPBEXHLevel1X 2 7" xfId="2566" xr:uid="{6C1E740A-865F-4E67-81F3-D306D00594D9}"/>
    <cellStyle name="SAPBEXHLevel1X 2 8" xfId="2544" xr:uid="{8625B746-EB78-45C2-9742-26473483C89F}"/>
    <cellStyle name="SAPBEXHLevel1X 2 9" xfId="2870" xr:uid="{AEB52A5D-7D80-4713-803C-F196A6111CF6}"/>
    <cellStyle name="SAPBEXHLevel1X 2_Jurisdictional Study" xfId="10667" xr:uid="{3AD48CB4-6187-4E17-9162-A2211F92DCE4}"/>
    <cellStyle name="SAPBEXHLevel1X 3" xfId="899" xr:uid="{934A7590-2DB9-46A2-8AE7-E1EE5B40C51E}"/>
    <cellStyle name="SAPBEXHLevel1X 4" xfId="725" xr:uid="{35500153-50F6-4D34-9805-2C9D16A4473F}"/>
    <cellStyle name="SAPBEXHLevel1X 5" xfId="1523" xr:uid="{4EC67EFC-E214-4C1D-A654-185FB859CC26}"/>
    <cellStyle name="SAPBEXHLevel1X 6" xfId="2102" xr:uid="{9CCA4955-D870-4108-BB5E-510F817F37A7}"/>
    <cellStyle name="SAPBEXHLevel1X 7" xfId="2106" xr:uid="{BF0BA6B0-E2CE-48D6-9B1E-BF42E8F54ABC}"/>
    <cellStyle name="SAPBEXHLevel1X 8" xfId="1905" xr:uid="{1356AA9B-E294-4002-AA58-9F7781F10E73}"/>
    <cellStyle name="SAPBEXHLevel1X 9" xfId="2693" xr:uid="{5EB2596F-CB7D-4891-9D4D-B1221213A781}"/>
    <cellStyle name="SAPBEXHLevel1X_Jurisdictional Study" xfId="10666" xr:uid="{F487270D-2BF6-4C87-8A47-E95D21BD362F}"/>
    <cellStyle name="SAPBEXHLevel2" xfId="224" xr:uid="{8298E6CE-2787-4134-8B7E-16A767019F22}"/>
    <cellStyle name="SAPBEXHLevel2 10" xfId="2049" xr:uid="{F868CF11-6EBC-47FE-8464-6C202E993DD9}"/>
    <cellStyle name="SAPBEXHLevel2 11" xfId="2336" xr:uid="{469A8B93-3C93-4565-9258-65F768111B83}"/>
    <cellStyle name="SAPBEXHLevel2 12" xfId="3058" xr:uid="{71D53B04-59AD-4451-8577-455C47138BB6}"/>
    <cellStyle name="SAPBEXHLevel2 2" xfId="293" xr:uid="{F5273A52-716F-4E92-904E-0F8F25CBB104}"/>
    <cellStyle name="SAPBEXHLevel2 2 10" xfId="2061" xr:uid="{7057EE29-8B01-4CF2-B439-D9A67FB6390A}"/>
    <cellStyle name="SAPBEXHLevel2 2 11" xfId="3026" xr:uid="{C0350888-7666-46E9-9EB8-E245E51E32D6}"/>
    <cellStyle name="SAPBEXHLevel2 2 2" xfId="878" xr:uid="{4010CCFA-475F-4B49-8DC8-83AC477DFCB4}"/>
    <cellStyle name="SAPBEXHLevel2 2 3" xfId="1059" xr:uid="{404DF338-79F4-4559-A223-78A46BACF2F1}"/>
    <cellStyle name="SAPBEXHLevel2 2 4" xfId="1251" xr:uid="{C69E4CEA-77BF-4C94-9AB5-4C6AF2D69898}"/>
    <cellStyle name="SAPBEXHLevel2 2 5" xfId="1839" xr:uid="{A39D9C6A-2F0A-4105-B316-2C0DC8C4F247}"/>
    <cellStyle name="SAPBEXHLevel2 2 6" xfId="2229" xr:uid="{02D1019D-01B5-4E2C-8A13-D69B3A824084}"/>
    <cellStyle name="SAPBEXHLevel2 2 7" xfId="2614" xr:uid="{BB55A1C1-A51C-431B-970D-5EFE0608865C}"/>
    <cellStyle name="SAPBEXHLevel2 2 8" xfId="2530" xr:uid="{D70FD2D5-1395-4A49-BF4B-23BC0F16CB54}"/>
    <cellStyle name="SAPBEXHLevel2 2 9" xfId="2545" xr:uid="{B041E33C-6F74-4FA1-B788-0A505C14FCA0}"/>
    <cellStyle name="SAPBEXHLevel2 2_Jurisdictional Study" xfId="10669" xr:uid="{877F1733-2354-4F55-BF02-854B0E660CFF}"/>
    <cellStyle name="SAPBEXHLevel2 3" xfId="652" xr:uid="{01E73146-494C-45AE-B27B-2F17AAFD6A69}"/>
    <cellStyle name="SAPBEXHLevel2 4" xfId="681" xr:uid="{F8E8AC25-6975-4738-A0FD-C9E7FAA17319}"/>
    <cellStyle name="SAPBEXHLevel2 5" xfId="1436" xr:uid="{44C6206D-D975-4263-B98F-DC1AAC123A20}"/>
    <cellStyle name="SAPBEXHLevel2 6" xfId="1984" xr:uid="{F82FC4D0-62F1-453A-8401-2F1CB3388A65}"/>
    <cellStyle name="SAPBEXHLevel2 7" xfId="2011" xr:uid="{98B86CD1-FEF8-4C0A-9B25-6F694914411F}"/>
    <cellStyle name="SAPBEXHLevel2 8" xfId="1780" xr:uid="{DD675AA5-65BF-4B16-B424-91CFFC8C3310}"/>
    <cellStyle name="SAPBEXHLevel2 9" xfId="2604" xr:uid="{23BE4238-A2F0-4A66-8661-80DF11D68C4C}"/>
    <cellStyle name="SAPBEXHLevel2_Jurisdictional Study" xfId="10668" xr:uid="{DCA5CD9A-0A92-480F-B254-422BE83C3FF1}"/>
    <cellStyle name="SAPBEXHLevel2X" xfId="225" xr:uid="{0ECDBD88-615B-4C51-AAE2-BD659AC3336B}"/>
    <cellStyle name="SAPBEXHLevel2X 10" xfId="2406" xr:uid="{E6094B7E-F3C5-4A1D-B6C4-341C30231775}"/>
    <cellStyle name="SAPBEXHLevel2X 11" xfId="1762" xr:uid="{45C6E3B8-DC44-45CE-A7FB-C2786A81D718}"/>
    <cellStyle name="SAPBEXHLevel2X 12" xfId="2998" xr:uid="{4E6B5C13-23FA-4ED8-9BF3-F601F8E9E7F1}"/>
    <cellStyle name="SAPBEXHLevel2X 2" xfId="294" xr:uid="{024D0639-8EC9-45B0-8E99-168DB2025AB8}"/>
    <cellStyle name="SAPBEXHLevel2X 2 10" xfId="3114" xr:uid="{0C498320-D4B0-4A15-9F24-010DADA3AEF7}"/>
    <cellStyle name="SAPBEXHLevel2X 2 11" xfId="2237" xr:uid="{95DBF1A3-79ED-4116-808C-75273C411345}"/>
    <cellStyle name="SAPBEXHLevel2X 2 2" xfId="577" xr:uid="{28FD2C8F-AA33-481A-A35A-5D2A91FFAF9B}"/>
    <cellStyle name="SAPBEXHLevel2X 2 3" xfId="1304" xr:uid="{9A1968BB-1713-4908-9DEA-2F6BCDA01E31}"/>
    <cellStyle name="SAPBEXHLevel2X 2 4" xfId="1518" xr:uid="{14CB71D7-1E8E-4518-860D-3734FC778969}"/>
    <cellStyle name="SAPBEXHLevel2X 2 5" xfId="2111" xr:uid="{276A164A-059D-42B6-B6EE-CAB319954AAE}"/>
    <cellStyle name="SAPBEXHLevel2X 2 6" xfId="2301" xr:uid="{9433ED0D-1E94-434C-A1D8-559146BCA158}"/>
    <cellStyle name="SAPBEXHLevel2X 2 7" xfId="2413" xr:uid="{37C3155F-C3FF-4A0B-82F5-6B98EC9FAE65}"/>
    <cellStyle name="SAPBEXHLevel2X 2 8" xfId="2622" xr:uid="{7131DC74-5EC2-49F2-ADA3-25BABA26FC48}"/>
    <cellStyle name="SAPBEXHLevel2X 2 9" xfId="2992" xr:uid="{D58ECEA2-A11A-43CB-8A0D-5373999009CF}"/>
    <cellStyle name="SAPBEXHLevel2X 2_Jurisdictional Study" xfId="10671" xr:uid="{B534E22D-8C13-4F24-9394-2CC59243D504}"/>
    <cellStyle name="SAPBEXHLevel2X 3" xfId="596" xr:uid="{6F82D1F3-3E0C-4411-A816-940F515A9DA6}"/>
    <cellStyle name="SAPBEXHLevel2X 4" xfId="527" xr:uid="{2D0F6E52-D93D-49C3-8494-8048A314B51E}"/>
    <cellStyle name="SAPBEXHLevel2X 5" xfId="1524" xr:uid="{20A3540C-BE3E-4605-B845-4A6874703B6E}"/>
    <cellStyle name="SAPBEXHLevel2X 6" xfId="2051" xr:uid="{DC722D39-CDAC-4553-B497-7AE88653D6A3}"/>
    <cellStyle name="SAPBEXHLevel2X 7" xfId="2129" xr:uid="{39C9AA1E-CB28-4A65-A32C-BC2CD1AB849D}"/>
    <cellStyle name="SAPBEXHLevel2X 8" xfId="1906" xr:uid="{C5AD2E25-4D97-48AE-A522-5255BC4CFCD8}"/>
    <cellStyle name="SAPBEXHLevel2X 9" xfId="2714" xr:uid="{774E7502-3EEA-4F0A-8700-10C223CE268D}"/>
    <cellStyle name="SAPBEXHLevel2X_Jurisdictional Study" xfId="10670" xr:uid="{AAA4556C-D537-4D90-A8F1-31C7C0E4F0F0}"/>
    <cellStyle name="SAPBEXHLevel3" xfId="226" xr:uid="{EA38C3D9-7CEF-405C-A783-241CF7327FB3}"/>
    <cellStyle name="SAPBEXHLevel3 10" xfId="1933" xr:uid="{93A1DF17-2667-44B9-A19F-8065E3D29B27}"/>
    <cellStyle name="SAPBEXHLevel3 11" xfId="2938" xr:uid="{33E7709E-6E2D-41E0-A08E-BBA55DDE4B1F}"/>
    <cellStyle name="SAPBEXHLevel3 12" xfId="1747" xr:uid="{840175A1-F2F7-4690-BE17-153F259005A5}"/>
    <cellStyle name="SAPBEXHLevel3 2" xfId="295" xr:uid="{262CC967-B93B-4051-9C06-C17E59A436E5}"/>
    <cellStyle name="SAPBEXHLevel3 2 10" xfId="3002" xr:uid="{85EA1E70-7C12-4581-93EC-BC1DE16AA57C}"/>
    <cellStyle name="SAPBEXHLevel3 2 11" xfId="1818" xr:uid="{7F72AF29-B38F-4493-B97C-711B8AD07A62}"/>
    <cellStyle name="SAPBEXHLevel3 2 2" xfId="853" xr:uid="{5A6119C5-3A96-4891-AD2D-C0504075029D}"/>
    <cellStyle name="SAPBEXHLevel3 2 3" xfId="847" xr:uid="{9E9F68A0-82DD-437B-A542-7D6DD2AC5EFE}"/>
    <cellStyle name="SAPBEXHLevel3 2 4" xfId="1466" xr:uid="{A176B47A-7F0F-469E-A4BE-5BAED2674EC0}"/>
    <cellStyle name="SAPBEXHLevel3 2 5" xfId="1993" xr:uid="{6705A881-6E72-4FAF-BB33-E2610262E819}"/>
    <cellStyle name="SAPBEXHLevel3 2 6" xfId="2173" xr:uid="{482632B9-9AC3-4B0F-8C3A-C5A3CCC1D27A}"/>
    <cellStyle name="SAPBEXHLevel3 2 7" xfId="2645" xr:uid="{43C9AC7A-E1B9-4032-BA76-5825B4D9E0A4}"/>
    <cellStyle name="SAPBEXHLevel3 2 8" xfId="2082" xr:uid="{9D7F73D1-A447-4A7E-BF7B-12F405897412}"/>
    <cellStyle name="SAPBEXHLevel3 2 9" xfId="2937" xr:uid="{EE318997-8DAC-486D-95A9-EBBC87C0F238}"/>
    <cellStyle name="SAPBEXHLevel3 2_Jurisdictional Study" xfId="10673" xr:uid="{D01D30A2-1F9B-430E-A6FC-00E55447DBFC}"/>
    <cellStyle name="SAPBEXHLevel3 3" xfId="700" xr:uid="{30EA27A5-53CC-480F-922D-CAD3ABD607DE}"/>
    <cellStyle name="SAPBEXHLevel3 4" xfId="877" xr:uid="{8684E619-36C7-404C-9435-DDBAFB743F24}"/>
    <cellStyle name="SAPBEXHLevel3 5" xfId="1437" xr:uid="{275BBD5A-EE3B-4CB6-B467-BD81F3632003}"/>
    <cellStyle name="SAPBEXHLevel3 6" xfId="1935" xr:uid="{55D08CBD-F658-4D98-9743-CDC163E345CC}"/>
    <cellStyle name="SAPBEXHLevel3 7" xfId="2012" xr:uid="{63AB653B-E94F-422D-9070-FEC6EF9D99FC}"/>
    <cellStyle name="SAPBEXHLevel3 8" xfId="1781" xr:uid="{0A7E9AF3-0FE2-46C8-8818-90E7263E8F49}"/>
    <cellStyle name="SAPBEXHLevel3 9" xfId="2605" xr:uid="{56222D00-97FB-4B5C-A823-E73FD8BE63B9}"/>
    <cellStyle name="SAPBEXHLevel3_Jurisdictional Study" xfId="10672" xr:uid="{56607A6C-98D8-4251-B711-B14D286C1927}"/>
    <cellStyle name="SAPBEXHLevel3X" xfId="227" xr:uid="{C462A6D3-C52B-44F5-8DA9-7BB46CC9ED6F}"/>
    <cellStyle name="SAPBEXHLevel3X 10" xfId="2574" xr:uid="{E92FD896-AAFC-4BF7-88A6-EDDFF1D8E319}"/>
    <cellStyle name="SAPBEXHLevel3X 11" xfId="1890" xr:uid="{96538433-1741-487D-BA4C-FDC6A9A8D19D}"/>
    <cellStyle name="SAPBEXHLevel3X 12" xfId="3112" xr:uid="{90BD20D7-1109-4A75-9C07-919ED5032D87}"/>
    <cellStyle name="SAPBEXHLevel3X 2" xfId="296" xr:uid="{39E2C52E-B602-4FF0-B835-933A0079121A}"/>
    <cellStyle name="SAPBEXHLevel3X 2 10" xfId="3109" xr:uid="{9F4E026F-74FA-4873-A5E2-C99347EFBBFD}"/>
    <cellStyle name="SAPBEXHLevel3X 2 11" xfId="3003" xr:uid="{901120BC-2171-4ABF-A9D5-CE71BA69884A}"/>
    <cellStyle name="SAPBEXHLevel3X 2 2" xfId="1167" xr:uid="{2B9CD682-2DD2-4F10-A12A-AA9803CB8EC1}"/>
    <cellStyle name="SAPBEXHLevel3X 2 3" xfId="1126" xr:uid="{6D42F77A-2404-4484-8F97-CE2B537CB129}"/>
    <cellStyle name="SAPBEXHLevel3X 2 4" xfId="819" xr:uid="{7969E820-3F18-4432-BB3D-F1421CEBBA8A}"/>
    <cellStyle name="SAPBEXHLevel3X 2 5" xfId="2109" xr:uid="{3F4F35FC-A50A-427A-9624-CF129AE45897}"/>
    <cellStyle name="SAPBEXHLevel3X 2 6" xfId="2353" xr:uid="{F157FB3C-964B-4DCF-961A-311C8285B821}"/>
    <cellStyle name="SAPBEXHLevel3X 2 7" xfId="2535" xr:uid="{6C8F66BF-91B7-4E00-847D-46D0E54AE71A}"/>
    <cellStyle name="SAPBEXHLevel3X 2 8" xfId="2548" xr:uid="{EFA0A574-B2BC-4E7D-AA8A-F2BB32BEF40E}"/>
    <cellStyle name="SAPBEXHLevel3X 2 9" xfId="2986" xr:uid="{699594EC-69EA-4C8C-A9BD-FD6B9F0EDCF3}"/>
    <cellStyle name="SAPBEXHLevel3X 2_Jurisdictional Study" xfId="10675" xr:uid="{6E26EB95-353E-4EFA-8717-11215F4EDB4C}"/>
    <cellStyle name="SAPBEXHLevel3X 3" xfId="660" xr:uid="{289FCEE8-CFFC-4CD2-A6CC-9507F5DCB884}"/>
    <cellStyle name="SAPBEXHLevel3X 4" xfId="638" xr:uid="{04F00A58-3524-4D01-97B0-50D1F5D9B1B6}"/>
    <cellStyle name="SAPBEXHLevel3X 5" xfId="1525" xr:uid="{BD942CB6-2193-4630-A515-B8552A3CE8D8}"/>
    <cellStyle name="SAPBEXHLevel3X 6" xfId="2081" xr:uid="{E09C0E27-EDF9-4B2B-89D2-964EC3938F66}"/>
    <cellStyle name="SAPBEXHLevel3X 7" xfId="1990" xr:uid="{FFF8A282-3E1A-4273-A639-EAD4A70D1C45}"/>
    <cellStyle name="SAPBEXHLevel3X 8" xfId="1782" xr:uid="{7BCC0162-BF39-46D8-8D5B-EB84476D46EC}"/>
    <cellStyle name="SAPBEXHLevel3X 9" xfId="2586" xr:uid="{AE59463C-AB7F-4C0A-B481-A5C9BF668DAE}"/>
    <cellStyle name="SAPBEXHLevel3X_Jurisdictional Study" xfId="10674" xr:uid="{AE4A3B01-534D-47F0-989E-C9713ABCDC64}"/>
    <cellStyle name="SAPBEXresData" xfId="228" xr:uid="{A758FD3C-CBB3-4A62-9A56-6E41F2EE3843}"/>
    <cellStyle name="SAPBEXresData 10" xfId="2966" xr:uid="{84C4FA19-7BD4-4D89-A591-A48B9A459DBA}"/>
    <cellStyle name="SAPBEXresData 11" xfId="3080" xr:uid="{FEFEDD0F-2125-4D1A-818E-7FAA88E8B147}"/>
    <cellStyle name="SAPBEXresData 2" xfId="684" xr:uid="{F08C195D-FCBC-40B0-816A-D64E95B49FC4}"/>
    <cellStyle name="SAPBEXresData 3" xfId="523" xr:uid="{487DBA19-3748-49F7-AA30-1F2DC6814152}"/>
    <cellStyle name="SAPBEXresData 4" xfId="1438" xr:uid="{256913A5-2D3A-422E-B370-E76191A20741}"/>
    <cellStyle name="SAPBEXresData 5" xfId="1961" xr:uid="{C5DB7663-F0F0-40E0-A76E-30D0BD8B76E9}"/>
    <cellStyle name="SAPBEXresData 6" xfId="2108" xr:uid="{5019559A-DD9F-4D0B-8271-4CDE83332B60}"/>
    <cellStyle name="SAPBEXresData 7" xfId="1783" xr:uid="{8CAAE194-DAE2-4F89-9B8F-8A2B34B35C1F}"/>
    <cellStyle name="SAPBEXresData 8" xfId="2695" xr:uid="{6ABC3AF7-0A70-4FFE-8CD9-261B358EB340}"/>
    <cellStyle name="SAPBEXresData 9" xfId="2689" xr:uid="{54312D29-11FE-40C3-955D-14F762CE2906}"/>
    <cellStyle name="SAPBEXresData_Jurisdictional Study" xfId="10676" xr:uid="{6B73F18C-3DC2-450A-B86C-9296D5498D83}"/>
    <cellStyle name="SAPBEXresDataEmph" xfId="229" xr:uid="{137A99FC-2CC2-4731-AE44-4825FA29ABD5}"/>
    <cellStyle name="SAPBEXresDataEmph 10" xfId="1746" xr:uid="{2110911F-1536-4C47-BDCE-81134023504D}"/>
    <cellStyle name="SAPBEXresDataEmph 11" xfId="1748" xr:uid="{AF4C81A3-DDC5-40EA-8A28-E6698DF42D07}"/>
    <cellStyle name="SAPBEXresDataEmph 2" xfId="837" xr:uid="{0573DD26-E502-43D5-85A1-C40E043EC1E9}"/>
    <cellStyle name="SAPBEXresDataEmph 3" xfId="800" xr:uid="{B8B77394-09A0-4C61-95DA-4DCC8C414A23}"/>
    <cellStyle name="SAPBEXresDataEmph 4" xfId="1526" xr:uid="{EF1900AD-1C8E-4DDC-BCE5-1659CB6B564F}"/>
    <cellStyle name="SAPBEXresDataEmph 5" xfId="2069" xr:uid="{7ED0191B-D454-484D-9345-B11DF50E5388}"/>
    <cellStyle name="SAPBEXresDataEmph 6" xfId="1992" xr:uid="{F90C5CF9-CE06-44DB-9186-6714AA452E27}"/>
    <cellStyle name="SAPBEXresDataEmph 7" xfId="1907" xr:uid="{3048D6A9-5788-4FDA-B3E8-F486EDA0F86B}"/>
    <cellStyle name="SAPBEXresDataEmph 8" xfId="2587" xr:uid="{A8EEA535-877D-4E1C-9736-BDDD23A4AB09}"/>
    <cellStyle name="SAPBEXresDataEmph 9" xfId="1930" xr:uid="{A73A5C44-8E18-4A8A-AF8C-3D995BEDE29F}"/>
    <cellStyle name="SAPBEXresDataEmph_Jurisdictional Study" xfId="10677" xr:uid="{1038E907-8288-4BDD-B718-C97960CBF25F}"/>
    <cellStyle name="SAPBEXresItem" xfId="230" xr:uid="{1E119ABD-DEA0-405B-AEE7-0764E44FC7CD}"/>
    <cellStyle name="SAPBEXresItem 10" xfId="2175" xr:uid="{40A8831B-C897-4840-9DA2-43BC2217547D}"/>
    <cellStyle name="SAPBEXresItem 11" xfId="1853" xr:uid="{357CE70D-8CF2-43DC-99A4-D299BD6EA7D4}"/>
    <cellStyle name="SAPBEXresItem 12" xfId="3103" xr:uid="{4D0280EF-9C43-4474-92D8-91A7D8EF9A09}"/>
    <cellStyle name="SAPBEXresItem 2" xfId="351" xr:uid="{2FB0E627-EEC7-4EF8-A1A1-90E870615A2F}"/>
    <cellStyle name="SAPBEXresItem 2 10" xfId="2910" xr:uid="{6B87B048-DCB3-4E72-A5C9-F6FE2541E190}"/>
    <cellStyle name="SAPBEXresItem 2 11" xfId="3064" xr:uid="{99682B6D-C8F1-450A-B151-B1D5924B792F}"/>
    <cellStyle name="SAPBEXresItem 2 2" xfId="861" xr:uid="{37A99370-00DE-43F3-BB7C-F296FAB393F5}"/>
    <cellStyle name="SAPBEXresItem 2 3" xfId="1301" xr:uid="{A9996B89-9628-49DA-8A2C-6D2676270066}"/>
    <cellStyle name="SAPBEXresItem 2 4" xfId="494" xr:uid="{1C53B6E7-2F06-42B0-9811-046A70C06F19}"/>
    <cellStyle name="SAPBEXresItem 2 5" xfId="2154" xr:uid="{3BF9BCF7-1593-46F6-B0A3-FFBA98F3A99E}"/>
    <cellStyle name="SAPBEXresItem 2 6" xfId="2297" xr:uid="{E51D252F-E1B2-4330-BEC6-16102496D012}"/>
    <cellStyle name="SAPBEXresItem 2 7" xfId="2182" xr:uid="{E0819037-1AFC-4DD7-B680-9C587A774987}"/>
    <cellStyle name="SAPBEXresItem 2 8" xfId="2609" xr:uid="{B550D074-5B77-41E7-8D73-E9BB3372FBC9}"/>
    <cellStyle name="SAPBEXresItem 2 9" xfId="2679" xr:uid="{F177BB32-37FC-461F-902B-501A4AC0D679}"/>
    <cellStyle name="SAPBEXresItem 2_Jurisdictional Study" xfId="10679" xr:uid="{837444E3-6977-4EF0-AA31-FC13FB828F25}"/>
    <cellStyle name="SAPBEXresItem 3" xfId="649" xr:uid="{CAFF41E9-6544-46B4-8145-681C4C27CFB7}"/>
    <cellStyle name="SAPBEXresItem 4" xfId="642" xr:uid="{C3668F79-B5B2-46C8-9F5D-5077ABEC8CC7}"/>
    <cellStyle name="SAPBEXresItem 5" xfId="1439" xr:uid="{2E2FCDF0-C0CC-480C-9EA6-1D45D4FD7091}"/>
    <cellStyle name="SAPBEXresItem 6" xfId="1951" xr:uid="{4727C432-3224-44F3-9E96-2E03A22F1B23}"/>
    <cellStyle name="SAPBEXresItem 7" xfId="2110" xr:uid="{BCDFCE0F-BA3D-4B15-9153-212253C832D6}"/>
    <cellStyle name="SAPBEXresItem 8" xfId="1784" xr:uid="{2DE70D2D-479C-4A1B-96C9-8850FE2CD5D6}"/>
    <cellStyle name="SAPBEXresItem 9" xfId="2697" xr:uid="{FAF75E44-2A6B-48AC-95E6-3D616AEDEE00}"/>
    <cellStyle name="SAPBEXresItem_Jurisdictional Study" xfId="10678" xr:uid="{18579286-28C4-42D7-A55D-F7ACA2A40352}"/>
    <cellStyle name="SAPBEXresItemX" xfId="231" xr:uid="{1C8A25A2-DD73-4935-B8C8-672D0C68E7E4}"/>
    <cellStyle name="SAPBEXresItemX 10" xfId="1985" xr:uid="{E979B934-44B0-4FD1-8233-FDD64042D233}"/>
    <cellStyle name="SAPBEXresItemX 11" xfId="1745" xr:uid="{AE773083-1A0F-4655-8253-F8EB05D2A45F}"/>
    <cellStyle name="SAPBEXresItemX 12" xfId="3105" xr:uid="{9E3A9E10-1B5F-4BC0-A42F-B8A820936453}"/>
    <cellStyle name="SAPBEXresItemX 2" xfId="352" xr:uid="{FC9D286B-3BC5-4D0D-92F4-0774B01AA370}"/>
    <cellStyle name="SAPBEXresItemX 2 10" xfId="2292" xr:uid="{2EBA96C5-FD12-4EF0-BECF-2B3652BDEACF}"/>
    <cellStyle name="SAPBEXresItemX 2 11" xfId="3061" xr:uid="{9AFC5A7A-86BC-45C8-9B2C-677DABA09A2B}"/>
    <cellStyle name="SAPBEXresItemX 2 2" xfId="512" xr:uid="{20834209-9093-48C9-8D60-6C66C98F8752}"/>
    <cellStyle name="SAPBEXresItemX 2 3" xfId="641" xr:uid="{647937C6-DF1D-4461-9E4A-C923C1246F5C}"/>
    <cellStyle name="SAPBEXresItemX 2 4" xfId="482" xr:uid="{ADCCF8D0-3AAE-434B-90FB-40B69A6CC389}"/>
    <cellStyle name="SAPBEXresItemX 2 5" xfId="2155" xr:uid="{897A77CA-28EB-4125-A26B-EB67DE62AC2F}"/>
    <cellStyle name="SAPBEXresItemX 2 6" xfId="2169" xr:uid="{8F28040B-D160-4AD1-8E4D-32CCBD8F6F53}"/>
    <cellStyle name="SAPBEXresItemX 2 7" xfId="2332" xr:uid="{14C592C7-1D8C-40AE-A803-E4210115E596}"/>
    <cellStyle name="SAPBEXresItemX 2 8" xfId="1950" xr:uid="{203C857E-5664-4D05-A51F-3353553DA46E}"/>
    <cellStyle name="SAPBEXresItemX 2 9" xfId="2914" xr:uid="{05550D27-DDEB-430A-B2B7-6160EAE46979}"/>
    <cellStyle name="SAPBEXresItemX 2_Jurisdictional Study" xfId="10681" xr:uid="{66B72F43-9663-4D05-8798-3CB5EE256F9A}"/>
    <cellStyle name="SAPBEXresItemX 3" xfId="571" xr:uid="{6EDF5DB3-8534-4F6E-B5FF-045B23D74BF5}"/>
    <cellStyle name="SAPBEXresItemX 4" xfId="1000" xr:uid="{C5B236A3-A6A3-40EC-B5DC-BEED90CCF5B0}"/>
    <cellStyle name="SAPBEXresItemX 5" xfId="1527" xr:uid="{1FC82483-B39B-46F4-88D2-E0A55E48028A}"/>
    <cellStyle name="SAPBEXresItemX 6" xfId="2100" xr:uid="{59D7516E-B731-4C2F-9DAA-65E50A9EFD85}"/>
    <cellStyle name="SAPBEXresItemX 7" xfId="1994" xr:uid="{7076F780-141F-4681-B213-F52FCE551B6E}"/>
    <cellStyle name="SAPBEXresItemX 8" xfId="1908" xr:uid="{8AB6B58B-BA72-48AE-8A8C-3578CE1DDF8C}"/>
    <cellStyle name="SAPBEXresItemX 9" xfId="2589" xr:uid="{66797E84-DE05-4500-98BD-C55D7C2DA004}"/>
    <cellStyle name="SAPBEXresItemX_Jurisdictional Study" xfId="10680" xr:uid="{2589CD5E-13C6-45FF-A908-FA54E9BC1C44}"/>
    <cellStyle name="SAPBEXstdData" xfId="232" xr:uid="{A97C1C27-0E41-4124-9472-D1250DD3A997}"/>
    <cellStyle name="SAPBEXstdData 10" xfId="2348" xr:uid="{F2A13498-CEE7-41C1-A20D-8295D8ED5353}"/>
    <cellStyle name="SAPBEXstdData 11" xfId="1761" xr:uid="{49DD3D4F-F173-4AB3-BAB4-79EC3ED61B70}"/>
    <cellStyle name="SAPBEXstdData 12" xfId="3074" xr:uid="{565973AC-3EFD-4DA1-B91C-D9AC940A8CA2}"/>
    <cellStyle name="SAPBEXstdData 2" xfId="353" xr:uid="{4C2E8285-882B-4436-A5E2-8A53AE74B669}"/>
    <cellStyle name="SAPBEXstdData 2 10" xfId="1851" xr:uid="{F8CD2316-BEE9-4D94-8FF3-313136B5C934}"/>
    <cellStyle name="SAPBEXstdData 2 11" xfId="2953" xr:uid="{00DF0E06-E70F-4DF3-9AC8-3237AFC78F4B}"/>
    <cellStyle name="SAPBEXstdData 2 2" xfId="818" xr:uid="{781CAC7C-F6AB-4E75-986C-236C761E083B}"/>
    <cellStyle name="SAPBEXstdData 2 3" xfId="1300" xr:uid="{B5EFCCB3-835C-43F6-98A1-252982871E6A}"/>
    <cellStyle name="SAPBEXstdData 2 4" xfId="1450" xr:uid="{1FE45230-55F8-4A24-AF96-D8AF4480AE99}"/>
    <cellStyle name="SAPBEXstdData 2 5" xfId="2156" xr:uid="{68CDC109-F617-4634-8B57-D24A2BBB5F14}"/>
    <cellStyle name="SAPBEXstdData 2 6" xfId="1832" xr:uid="{4564580D-0AB9-4424-B1BC-1CAB6B0CFD9A}"/>
    <cellStyle name="SAPBEXstdData 2 7" xfId="2205" xr:uid="{558C1128-14C0-4F7E-9AFB-949F436A98F1}"/>
    <cellStyle name="SAPBEXstdData 2 8" xfId="2330" xr:uid="{B5597C90-6CD1-43A4-8A75-DFFF3CE17EA2}"/>
    <cellStyle name="SAPBEXstdData 2 9" xfId="2532" xr:uid="{B2B85A19-74C6-4BBE-8A70-1D84273E3163}"/>
    <cellStyle name="SAPBEXstdData 2_Jurisdictional Study" xfId="10683" xr:uid="{08B18A1E-D04C-4B8A-8A94-52B4244138DE}"/>
    <cellStyle name="SAPBEXstdData 3" xfId="702" xr:uid="{43126A76-21C5-4950-81C6-67604FFCC481}"/>
    <cellStyle name="SAPBEXstdData 4" xfId="547" xr:uid="{4696050B-93B9-4776-A7CB-F64010F36FFD}"/>
    <cellStyle name="SAPBEXstdData 5" xfId="1440" xr:uid="{93BABC0D-3B8E-4B8B-951E-9632146B28FC}"/>
    <cellStyle name="SAPBEXstdData 6" xfId="1980" xr:uid="{85EEFCC7-5434-4155-80D2-6EEEC67DCD84}"/>
    <cellStyle name="SAPBEXstdData 7" xfId="2112" xr:uid="{54A91D5F-9B60-46F4-B2FA-85C3FA813EC4}"/>
    <cellStyle name="SAPBEXstdData 8" xfId="1785" xr:uid="{C02502D3-DDAB-4D97-9EFA-48A00BC0E280}"/>
    <cellStyle name="SAPBEXstdData 9" xfId="2698" xr:uid="{29AC0C5E-D146-4403-AC49-BC1AF858D6EC}"/>
    <cellStyle name="SAPBEXstdData_Jurisdictional Study" xfId="10682" xr:uid="{3E79F13B-BABD-410E-8110-E5261C2BA8B4}"/>
    <cellStyle name="SAPBEXstdDataEmph" xfId="233" xr:uid="{9BCBA850-41DF-4CD1-A2AB-6BE1FFEA6C92}"/>
    <cellStyle name="SAPBEXstdDataEmph 10" xfId="2725" xr:uid="{4E2B7970-90FF-430F-B962-D4EF923997A1}"/>
    <cellStyle name="SAPBEXstdDataEmph 11" xfId="1889" xr:uid="{7D6C6E66-348F-4E72-82CE-EA62AE6BF789}"/>
    <cellStyle name="SAPBEXstdDataEmph 12" xfId="2319" xr:uid="{720DCAA2-1C7E-4509-AF80-A05BA5F9B2CD}"/>
    <cellStyle name="SAPBEXstdDataEmph 2" xfId="354" xr:uid="{81082D3F-4693-4B50-BE23-900C8B7A4AD7}"/>
    <cellStyle name="SAPBEXstdDataEmph 2 10" xfId="3062" xr:uid="{6765BC66-8D1A-4AB7-A43A-B8230A27B153}"/>
    <cellStyle name="SAPBEXstdDataEmph 2 11" xfId="1916" xr:uid="{430C2CAD-98B2-4C01-8E18-41D2DA6AD70E}"/>
    <cellStyle name="SAPBEXstdDataEmph 2 2" xfId="533" xr:uid="{DA7CDEA1-1F4E-445A-A247-D8A9595EFE17}"/>
    <cellStyle name="SAPBEXstdDataEmph 2 3" xfId="815" xr:uid="{7A532DEC-A37C-40EA-B6B1-A6080CA3E051}"/>
    <cellStyle name="SAPBEXstdDataEmph 2 4" xfId="1180" xr:uid="{C7ABBD4E-A91E-42BF-823D-DC97D4D675F2}"/>
    <cellStyle name="SAPBEXstdDataEmph 2 5" xfId="2157" xr:uid="{439BC085-1292-4CC6-A7BC-2172BB9444DA}"/>
    <cellStyle name="SAPBEXstdDataEmph 2 6" xfId="1833" xr:uid="{725973FD-4F00-4D5A-9DC2-7849A9666278}"/>
    <cellStyle name="SAPBEXstdDataEmph 2 7" xfId="2333" xr:uid="{AD9F3230-5578-4CC3-AD0B-8B3E3D3AFB5A}"/>
    <cellStyle name="SAPBEXstdDataEmph 2 8" xfId="2207" xr:uid="{D64F95C1-C296-49DB-A29B-EC26D8B5664A}"/>
    <cellStyle name="SAPBEXstdDataEmph 2 9" xfId="2663" xr:uid="{C875CB16-0B8D-4EBF-A615-491BC951EF11}"/>
    <cellStyle name="SAPBEXstdDataEmph 2_Jurisdictional Study" xfId="10685" xr:uid="{3990062F-858A-49CC-9003-D61BEDD881CB}"/>
    <cellStyle name="SAPBEXstdDataEmph 3" xfId="876" xr:uid="{97ED2509-871A-4B05-AF98-3CC7E4A8B870}"/>
    <cellStyle name="SAPBEXstdDataEmph 4" xfId="574" xr:uid="{5C5F71CC-C4CC-4F48-98E1-51DBBD130B8F}"/>
    <cellStyle name="SAPBEXstdDataEmph 5" xfId="1528" xr:uid="{A6A39F99-A1EB-4D42-95E4-A14227C1EADC}"/>
    <cellStyle name="SAPBEXstdDataEmph 6" xfId="2064" xr:uid="{6F101DED-89AB-47C8-B2FC-2D6652411928}"/>
    <cellStyle name="SAPBEXstdDataEmph 7" xfId="1996" xr:uid="{0529635A-039A-4D89-ABA1-EF8221182366}"/>
    <cellStyle name="SAPBEXstdDataEmph 8" xfId="1909" xr:uid="{D8175907-76B0-41C2-A8DE-EE17D0248B41}"/>
    <cellStyle name="SAPBEXstdDataEmph 9" xfId="2591" xr:uid="{63EA335E-3857-44BB-B77C-6C5A9DD754A7}"/>
    <cellStyle name="SAPBEXstdDataEmph_Jurisdictional Study" xfId="10684" xr:uid="{C0F6D9B0-53B1-4A52-AAAC-26C61DF321A1}"/>
    <cellStyle name="SAPBEXstdItem" xfId="234" xr:uid="{69CF7D13-DE09-400F-872F-ECDD357C7309}"/>
    <cellStyle name="SAPBEXstdItem 10" xfId="2405" xr:uid="{FCA42A9F-078F-4BAF-AD34-FDD2CA64D482}"/>
    <cellStyle name="SAPBEXstdItem 11" xfId="1760" xr:uid="{7B418203-5062-4C5B-B82C-1B9C79133707}"/>
    <cellStyle name="SAPBEXstdItem 12" xfId="2959" xr:uid="{2D383E3F-B2A4-4BDA-BCBC-DE4F94B74153}"/>
    <cellStyle name="SAPBEXstdItem 2" xfId="355" xr:uid="{A79EFB87-4F4A-4D02-98D1-76373CD8F00F}"/>
    <cellStyle name="SAPBEXstdItem 2 10" xfId="3027" xr:uid="{3F59CBF7-7119-4941-8343-2D322E280F18}"/>
    <cellStyle name="SAPBEXstdItem 2 11" xfId="3001" xr:uid="{1A61BABA-99BF-47B7-AEA1-EB5F74C94CA7}"/>
    <cellStyle name="SAPBEXstdItem 2 2" xfId="824" xr:uid="{163E933F-9A6F-45FD-8796-8EB94520C7AA}"/>
    <cellStyle name="SAPBEXstdItem 2 3" xfId="1299" xr:uid="{65085226-47E0-47C7-A129-8D7369158E35}"/>
    <cellStyle name="SAPBEXstdItem 2 4" xfId="1431" xr:uid="{C43411EF-1418-489D-995A-8662BA3757DA}"/>
    <cellStyle name="SAPBEXstdItem 2 5" xfId="2158" xr:uid="{B656816E-9A2A-4F4B-BE7A-6D618A3A8C9E}"/>
    <cellStyle name="SAPBEXstdItem 2 6" xfId="2078" xr:uid="{D23E3385-EFF8-4C65-AAF3-04CA99AD1ED3}"/>
    <cellStyle name="SAPBEXstdItem 2 7" xfId="2206" xr:uid="{9B9F1834-F5CF-4328-91A2-87D7AA0E0A62}"/>
    <cellStyle name="SAPBEXstdItem 2 8" xfId="2564" xr:uid="{F89142DB-1296-41CF-8663-6E4FFA296FD7}"/>
    <cellStyle name="SAPBEXstdItem 2 9" xfId="2941" xr:uid="{9F9FB6D1-EE2A-4E21-AB5D-EC699A17EA5F}"/>
    <cellStyle name="SAPBEXstdItem 2_Jurisdictional Study" xfId="10687" xr:uid="{245CE233-F054-49BB-BCF9-C4F967829A81}"/>
    <cellStyle name="SAPBEXstdItem 3" xfId="584" xr:uid="{CCC28B4F-6333-4594-B6B2-D3666DA969EE}"/>
    <cellStyle name="SAPBEXstdItem 4" xfId="716" xr:uid="{52A00639-D262-4E35-87AC-DCD00AD2340D}"/>
    <cellStyle name="SAPBEXstdItem 5" xfId="1441" xr:uid="{9A0907CF-8D4B-4C29-A65C-4A2B33841506}"/>
    <cellStyle name="SAPBEXstdItem 6" xfId="1945" xr:uid="{3EC64066-C0F5-4867-80D6-667DDD4D2FC3}"/>
    <cellStyle name="SAPBEXstdItem 7" xfId="2114" xr:uid="{43B20E69-3AE8-46A2-B8DF-24F3D27FE902}"/>
    <cellStyle name="SAPBEXstdItem 8" xfId="1786" xr:uid="{83379BFE-26EA-47D2-90FB-8C3D39E19647}"/>
    <cellStyle name="SAPBEXstdItem 9" xfId="2700" xr:uid="{6F3363A0-24F8-4B18-8DD8-72082308B817}"/>
    <cellStyle name="SAPBEXstdItem_Jurisdictional Study" xfId="10686" xr:uid="{6583F6A7-FC6D-44C1-83E3-8529F1CA3056}"/>
    <cellStyle name="SAPBEXstdItemX" xfId="235" xr:uid="{CE29BD51-CAE5-4973-A5D2-2B950228136C}"/>
    <cellStyle name="SAPBEXstdItemX 10" xfId="2521" xr:uid="{0C8C1AAB-BB87-438B-A67C-43D049E4ABDF}"/>
    <cellStyle name="SAPBEXstdItemX 11" xfId="1744" xr:uid="{42242ED5-0974-4E74-A430-DC0E6D1A23B3}"/>
    <cellStyle name="SAPBEXstdItemX 12" xfId="3111" xr:uid="{31D09845-C178-4C04-9DA7-19AE856B2A5C}"/>
    <cellStyle name="SAPBEXstdItemX 2" xfId="356" xr:uid="{B71F7EC1-B303-4C99-8C95-809322349667}"/>
    <cellStyle name="SAPBEXstdItemX 2 10" xfId="2541" xr:uid="{D060AD73-B97D-414B-8B5A-7BB385F6CCA5}"/>
    <cellStyle name="SAPBEXstdItemX 2 11" xfId="3048" xr:uid="{21644DE3-AFAA-41FB-8093-D20F1533E5F2}"/>
    <cellStyle name="SAPBEXstdItemX 2 2" xfId="594" xr:uid="{22079DAE-EE97-427F-B8FA-BE7CEF11519C}"/>
    <cellStyle name="SAPBEXstdItemX 2 3" xfId="1047" xr:uid="{1BF01C8F-72E8-4CEF-8CE2-92BFB3AB1FE5}"/>
    <cellStyle name="SAPBEXstdItemX 2 4" xfId="1164" xr:uid="{13A62660-D2C8-4B29-A59B-BE70E5868742}"/>
    <cellStyle name="SAPBEXstdItemX 2 5" xfId="2159" xr:uid="{8BC115E7-E047-4EBF-AF6F-BB869F56122C}"/>
    <cellStyle name="SAPBEXstdItemX 2 6" xfId="2099" xr:uid="{728E5976-7FF3-426C-9FDE-AC6CA1BA72E1}"/>
    <cellStyle name="SAPBEXstdItemX 2 7" xfId="1964" xr:uid="{9BEBABF9-AEF2-4F22-9CDD-54E894DDE5DD}"/>
    <cellStyle name="SAPBEXstdItemX 2 8" xfId="2683" xr:uid="{9CD9D77E-B9FA-4B1A-AC1E-6E20CEB71221}"/>
    <cellStyle name="SAPBEXstdItemX 2 9" xfId="2322" xr:uid="{B78A3EAF-0280-45D4-B04C-A6D67951FB57}"/>
    <cellStyle name="SAPBEXstdItemX 2_Jurisdictional Study" xfId="10689" xr:uid="{7FBC3F9F-927C-4035-921D-BA07BB49CE11}"/>
    <cellStyle name="SAPBEXstdItemX 3" xfId="896" xr:uid="{A1D9C355-22BA-464F-B491-ACE3B95628FC}"/>
    <cellStyle name="SAPBEXstdItemX 4" xfId="481" xr:uid="{0AE35280-5944-4731-A51E-6DAA6DF9302F}"/>
    <cellStyle name="SAPBEXstdItemX 5" xfId="1529" xr:uid="{460F8597-AB7D-4F63-A5D0-5509B2104512}"/>
    <cellStyle name="SAPBEXstdItemX 6" xfId="1847" xr:uid="{06707534-19F8-46C3-9856-3B5D6653C31A}"/>
    <cellStyle name="SAPBEXstdItemX 7" xfId="1998" xr:uid="{01173170-7B05-4F85-A4DF-DA0E3608112F}"/>
    <cellStyle name="SAPBEXstdItemX 8" xfId="1910" xr:uid="{B3FF5D01-DEA4-4742-A1F9-981D6E8EA4CE}"/>
    <cellStyle name="SAPBEXstdItemX 9" xfId="2593" xr:uid="{2F39B177-0300-48B7-BA64-B5713E6E83CE}"/>
    <cellStyle name="SAPBEXstdItemX_Jurisdictional Study" xfId="10688" xr:uid="{B8641D5F-AC52-4F1C-B559-4A0F276B66F3}"/>
    <cellStyle name="SAPBEXtitle" xfId="236" xr:uid="{31D3EB92-A5B7-4CCE-8D14-989A68C7E798}"/>
    <cellStyle name="SAPBEXundefined" xfId="237" xr:uid="{F7767059-50A4-42B2-B2B4-44BE768CB959}"/>
    <cellStyle name="SAPBEXundefined 10" xfId="2690" xr:uid="{38C44A4F-24AC-4A1B-A434-DD6F234E3241}"/>
    <cellStyle name="SAPBEXundefined 11" xfId="1888" xr:uid="{D4DDAC66-6216-4D55-8907-677E7269086E}"/>
    <cellStyle name="SAPBEXundefined 12" xfId="2674" xr:uid="{1313342B-4096-41E5-A8EA-B0CC34B290B2}"/>
    <cellStyle name="SAPBEXundefined 2" xfId="357" xr:uid="{E84940F8-DA49-457E-8E03-52D2700CACEA}"/>
    <cellStyle name="SAPBEXundefined 2 10" xfId="1850" xr:uid="{C96092FB-70EE-497E-A4EA-051305DDBAE7}"/>
    <cellStyle name="SAPBEXundefined 2 11" xfId="3008" xr:uid="{3411293B-BB91-4683-B65E-02EB402D9C71}"/>
    <cellStyle name="SAPBEXundefined 2 2" xfId="814" xr:uid="{E6FA4CA2-0873-4285-9171-3A4F98052403}"/>
    <cellStyle name="SAPBEXundefined 2 3" xfId="915" xr:uid="{8304364A-7EAF-4052-9269-2127B9D5A283}"/>
    <cellStyle name="SAPBEXundefined 2 4" xfId="872" xr:uid="{5F21F5FC-BCDD-4BB1-A8E4-BB700A60AF8F}"/>
    <cellStyle name="SAPBEXundefined 2 5" xfId="2160" xr:uid="{AD4505B8-706A-47DC-8726-5DD6BF5EC5E6}"/>
    <cellStyle name="SAPBEXundefined 2 6" xfId="1952" xr:uid="{15988C7B-FC77-45D9-ABED-3B4952530D80}"/>
    <cellStyle name="SAPBEXundefined 2 7" xfId="2165" xr:uid="{B7704467-EA2A-437A-8DFC-5AF472A8BAB5}"/>
    <cellStyle name="SAPBEXundefined 2 8" xfId="2547" xr:uid="{C45719B0-F45C-4545-A408-21E4F7207DD6}"/>
    <cellStyle name="SAPBEXundefined 2 9" xfId="2597" xr:uid="{BC90EBC4-CA99-4E4F-A07C-4A5AD8CD447D}"/>
    <cellStyle name="SAPBEXundefined 2_Jurisdictional Study" xfId="10691" xr:uid="{27556439-AEA7-4E7F-AFFB-C41DD9BD5CE2}"/>
    <cellStyle name="SAPBEXundefined 3" xfId="797" xr:uid="{E6DE7B7D-12F6-4E71-B7FD-C265CEC32D07}"/>
    <cellStyle name="SAPBEXundefined 4" xfId="519" xr:uid="{08916C95-AC8D-432B-ADB0-5B4843D2DB5C}"/>
    <cellStyle name="SAPBEXundefined 5" xfId="1517" xr:uid="{4AE283F5-A7AB-4D01-A7A5-8F20F2D6C0FF}"/>
    <cellStyle name="SAPBEXundefined 6" xfId="1845" xr:uid="{5A720CA6-2747-4C5A-837A-430CC3EB4E1C}"/>
    <cellStyle name="SAPBEXundefined 7" xfId="1738" xr:uid="{6ADEB9D1-D6D9-4B4E-AE97-2BB1173B10CF}"/>
    <cellStyle name="SAPBEXundefined 8" xfId="1911" xr:uid="{B7D3CA60-0008-42A3-94DB-53E763F46D69}"/>
    <cellStyle name="SAPBEXundefined 9" xfId="1791" xr:uid="{DCFD12D6-8D44-4EB7-B539-A12789324052}"/>
    <cellStyle name="SAPBEXundefined_Jurisdictional Study" xfId="10690" xr:uid="{C0ECFC6F-9949-41EC-9939-0DF7E480FE31}"/>
    <cellStyle name="SAPLocked" xfId="238" xr:uid="{A1CEF2A6-55EE-4CDA-B12B-229BBDC84B7D}"/>
    <cellStyle name="SAPLocked 10" xfId="429" xr:uid="{7F6C107E-FC11-490F-87A6-B905A6FBB347}"/>
    <cellStyle name="SAPLocked 10 10" xfId="2525" xr:uid="{A468E732-16F3-49BD-A279-643BB9E033C3}"/>
    <cellStyle name="SAPLocked 10 11" xfId="1824" xr:uid="{A2BC7AA5-750C-44D8-8334-351AF337AA30}"/>
    <cellStyle name="SAPLocked 10 12" xfId="2898" xr:uid="{02792AA4-A9C5-4162-A2EF-6DB64EB6FDEB}"/>
    <cellStyle name="SAPLocked 10 13" xfId="2404" xr:uid="{E58694DA-969A-418B-9B8D-492FEC0751B9}"/>
    <cellStyle name="SAPLocked 10 2" xfId="984" xr:uid="{AFE0AF21-AB6A-4BEF-8400-8C6CA90C6E21}"/>
    <cellStyle name="SAPLocked 10 2 10" xfId="2797" xr:uid="{C66B44F2-E50F-40FE-98C1-DCB294758F47}"/>
    <cellStyle name="SAPLocked 10 2 11" xfId="2855" xr:uid="{CF8FDCB5-E39F-4C8D-BD68-64739024ACFF}"/>
    <cellStyle name="SAPLocked 10 2 12" xfId="3118" xr:uid="{16F8DB63-A259-4EBD-92B4-171E8DE6D8C3}"/>
    <cellStyle name="SAPLocked 10 2 2" xfId="831" xr:uid="{BC966A52-EA3C-4F88-9447-E95EACFD6B6F}"/>
    <cellStyle name="SAPLocked 10 2 3" xfId="708" xr:uid="{46DE05FF-E007-4B5E-B75A-6A9E400458DE}"/>
    <cellStyle name="SAPLocked 10 2 4" xfId="1367" xr:uid="{005B0652-C4F2-445F-B1E2-897CD2BF7D84}"/>
    <cellStyle name="SAPLocked 10 2 5" xfId="1538" xr:uid="{22D4902B-955C-4CD1-9EAD-6648637D91A5}"/>
    <cellStyle name="SAPLocked 10 2 6" xfId="1686" xr:uid="{B5FF720E-818D-4DFA-AEB4-F33D880CE822}"/>
    <cellStyle name="SAPLocked 10 2 7" xfId="2354" xr:uid="{6C7F3F86-8351-4FE5-8D06-5CFDDCB7321B}"/>
    <cellStyle name="SAPLocked 10 2 8" xfId="2474" xr:uid="{F119022C-6DC3-4D68-8BE1-73F48746BE50}"/>
    <cellStyle name="SAPLocked 10 2 9" xfId="2668" xr:uid="{339FC657-5049-4CDD-9A9B-9288C2214CDB}"/>
    <cellStyle name="SAPLocked 10 2_Jurisdictional Study" xfId="10694" xr:uid="{F4349217-49D8-4732-85A0-853D3C9F9518}"/>
    <cellStyle name="SAPLocked 10 3" xfId="549" xr:uid="{F9635961-4328-474F-AD4D-D2F57B56B721}"/>
    <cellStyle name="SAPLocked 10 4" xfId="796" xr:uid="{1F5419A1-FEA9-4CF2-9D93-29CC1C0C0F6F}"/>
    <cellStyle name="SAPLocked 10 5" xfId="1244" xr:uid="{9116C285-6993-4C9C-A49B-578C4D5EF363}"/>
    <cellStyle name="SAPLocked 10 6" xfId="1530" xr:uid="{0D7AAE58-6872-423B-B00E-44E69230B106}"/>
    <cellStyle name="SAPLocked 10 7" xfId="1585" xr:uid="{477C96BF-2594-4E01-BF33-7BA0C5B1D879}"/>
    <cellStyle name="SAPLocked 10 8" xfId="2225" xr:uid="{0E07DE71-95BE-488B-A5A8-C3443ADB7C94}"/>
    <cellStyle name="SAPLocked 10 9" xfId="2209" xr:uid="{DCBA725C-80AB-4A53-8232-F5B8ADA88DB2}"/>
    <cellStyle name="SAPLocked 10_Jurisdictional Study" xfId="10693" xr:uid="{C1B304C4-8ECC-4FA0-8C25-6F3E91040376}"/>
    <cellStyle name="SAPLocked 11" xfId="388" xr:uid="{7FF4BF3F-D841-479D-8873-76790FF467E0}"/>
    <cellStyle name="SAPLocked 11 10" xfId="1972" xr:uid="{73AC5E2D-5754-46D1-B2B4-2F63E62E2163}"/>
    <cellStyle name="SAPLocked 11 11" xfId="2565" xr:uid="{267F17F4-EE86-4CF3-A5CC-6DFF0DF38627}"/>
    <cellStyle name="SAPLocked 11 12" xfId="2308" xr:uid="{C167C5EF-270F-4304-8DBE-12E7AF92E52A}"/>
    <cellStyle name="SAPLocked 11 13" xfId="1852" xr:uid="{03C60DFA-3AB6-4C43-B337-3C0D2499EF4D}"/>
    <cellStyle name="SAPLocked 11 2" xfId="945" xr:uid="{8C312ACD-BCDF-42E8-BC0E-DBCBD9663D84}"/>
    <cellStyle name="SAPLocked 11 2 10" xfId="2758" xr:uid="{3954E501-F985-4A6D-8FB8-147FE5629B86}"/>
    <cellStyle name="SAPLocked 11 2 11" xfId="2881" xr:uid="{1580686C-8847-42DD-878D-E12320FED9B1}"/>
    <cellStyle name="SAPLocked 11 2 12" xfId="1887" xr:uid="{5FE36BD3-F1E6-4AE1-86C1-329FC1ACA47A}"/>
    <cellStyle name="SAPLocked 11 2 2" xfId="1041" xr:uid="{C72EEA7A-5DBC-43CE-99F4-F40EF177811F}"/>
    <cellStyle name="SAPLocked 11 2 3" xfId="1117" xr:uid="{5B8A827A-7611-4C68-92F2-9035684E256D}"/>
    <cellStyle name="SAPLocked 11 2 4" xfId="1328" xr:uid="{DA42EBA3-99CE-43DF-9F78-0A0596B41381}"/>
    <cellStyle name="SAPLocked 11 2 5" xfId="491" xr:uid="{81EE838C-EB7F-4683-ACA0-90B1703BCEC4}"/>
    <cellStyle name="SAPLocked 11 2 6" xfId="1647" xr:uid="{154F7005-EF6F-48F9-869E-3ACA8DFE4D43}"/>
    <cellStyle name="SAPLocked 11 2 7" xfId="2316" xr:uid="{877EF077-EBA1-4DC8-877B-20EF4401EEB2}"/>
    <cellStyle name="SAPLocked 11 2 8" xfId="2435" xr:uid="{CBF9F2E7-46CC-4D0D-BB89-789F33EC775E}"/>
    <cellStyle name="SAPLocked 11 2 9" xfId="2224" xr:uid="{020A32B3-1F33-4A48-B87C-77BA6807900A}"/>
    <cellStyle name="SAPLocked 11 2_Jurisdictional Study" xfId="10696" xr:uid="{67A5F5D8-C303-44CE-94ED-670BB49BDB2E}"/>
    <cellStyle name="SAPLocked 11 3" xfId="900" xr:uid="{6CF040A8-9E52-44D1-B610-75D5B3DDB8D6}"/>
    <cellStyle name="SAPLocked 11 4" xfId="795" xr:uid="{95D15927-5B8A-427A-BB7B-3356BCBF8757}"/>
    <cellStyle name="SAPLocked 11 5" xfId="1203" xr:uid="{8A085506-0E9A-48FA-81A7-F9114A2B7944}"/>
    <cellStyle name="SAPLocked 11 6" xfId="1515" xr:uid="{E8ED82DE-6C57-4F2D-835B-5BE6098AF4CE}"/>
    <cellStyle name="SAPLocked 11 7" xfId="1295" xr:uid="{415C3F51-2EE5-430D-A3C1-8B4DB6886979}"/>
    <cellStyle name="SAPLocked 11 8" xfId="2189" xr:uid="{BED719A2-DC08-49C8-9368-C656CE829735}"/>
    <cellStyle name="SAPLocked 11 9" xfId="2240" xr:uid="{19341754-F1CB-4F4F-827D-B9F0DBD8687B}"/>
    <cellStyle name="SAPLocked 11_Jurisdictional Study" xfId="10695" xr:uid="{11CB43FD-2F13-4B1E-BF79-67955506E9FA}"/>
    <cellStyle name="SAPLocked 12" xfId="441" xr:uid="{F9964DD2-1B3D-48EA-A3D0-F73BBA4B82E7}"/>
    <cellStyle name="SAPLocked 12 10" xfId="2613" xr:uid="{BF45F1FA-465E-4271-A2D5-23425B88CD8F}"/>
    <cellStyle name="SAPLocked 12 11" xfId="1919" xr:uid="{1D338FD5-BB0F-4D9B-9ECE-983BECA93B36}"/>
    <cellStyle name="SAPLocked 12 12" xfId="2908" xr:uid="{53C109C9-BB09-4730-8633-975D69A698A8}"/>
    <cellStyle name="SAPLocked 12 13" xfId="1751" xr:uid="{E98E18EA-0DC6-4D06-839C-4EE26479F739}"/>
    <cellStyle name="SAPLocked 12 2" xfId="994" xr:uid="{D727A1D6-C66B-41CE-8EF5-243F109458AF}"/>
    <cellStyle name="SAPLocked 12 2 10" xfId="2805" xr:uid="{FBEFB70F-E800-4DB5-8C90-5064CA2B262B}"/>
    <cellStyle name="SAPLocked 12 2 11" xfId="2346" xr:uid="{3996FB5D-55B7-4245-8DB8-60FCB1E9F4EF}"/>
    <cellStyle name="SAPLocked 12 2 12" xfId="3126" xr:uid="{B631B878-F642-438C-9E64-022E3A39773C}"/>
    <cellStyle name="SAPLocked 12 2 2" xfId="561" xr:uid="{AFB185CE-221E-49A1-88EC-DE1F8283FC81}"/>
    <cellStyle name="SAPLocked 12 2 3" xfId="589" xr:uid="{124145DA-D684-4903-988E-89D9AC8BA874}"/>
    <cellStyle name="SAPLocked 12 2 4" xfId="1376" xr:uid="{2EC44B76-4DA7-43D4-BF68-D21A8F6EF724}"/>
    <cellStyle name="SAPLocked 12 2 5" xfId="1547" xr:uid="{F225FC42-36EF-47B3-AB9D-F49208E2582B}"/>
    <cellStyle name="SAPLocked 12 2 6" xfId="1694" xr:uid="{5E2436D7-1D8B-454D-8833-4DB64AE1425C}"/>
    <cellStyle name="SAPLocked 12 2 7" xfId="2362" xr:uid="{7038569F-50BD-4C3E-8AAE-16BF56EBE330}"/>
    <cellStyle name="SAPLocked 12 2 8" xfId="2483" xr:uid="{2E089972-4F86-468A-BA4C-922C7DE8B3AE}"/>
    <cellStyle name="SAPLocked 12 2 9" xfId="2516" xr:uid="{DB7FCBC1-9BF9-4E07-91A5-1CF3685D5D81}"/>
    <cellStyle name="SAPLocked 12 2_Jurisdictional Study" xfId="10698" xr:uid="{5FF95FDD-5FA3-4D6F-BD31-B71DBFF95C5C}"/>
    <cellStyle name="SAPLocked 12 3" xfId="1081" xr:uid="{3DFB54B9-5023-4EC2-B900-88CE641EDE75}"/>
    <cellStyle name="SAPLocked 12 4" xfId="1155" xr:uid="{94B0844A-3D87-431F-8E6F-8146CD46CC80}"/>
    <cellStyle name="SAPLocked 12 5" xfId="1255" xr:uid="{AEC66824-3487-4772-ADF2-660BD291614C}"/>
    <cellStyle name="SAPLocked 12 6" xfId="1537" xr:uid="{2F6DAD0C-6A89-40FB-9D01-88D19DA2986D}"/>
    <cellStyle name="SAPLocked 12 7" xfId="1594" xr:uid="{FE40575C-7CFC-4E76-830A-0A6E619F6C37}"/>
    <cellStyle name="SAPLocked 12 8" xfId="2235" xr:uid="{3779396E-4905-4524-8D2A-5EA76DC612CC}"/>
    <cellStyle name="SAPLocked 12 9" xfId="1727" xr:uid="{8BDC32BD-99D1-427D-B83C-D78EE263F33B}"/>
    <cellStyle name="SAPLocked 12_Jurisdictional Study" xfId="10697" xr:uid="{006F1176-DDCB-489E-A59D-FF0F7371F8F0}"/>
    <cellStyle name="SAPLocked 13" xfId="396" xr:uid="{A54F839A-6EBF-431A-B137-EAE479934E3D}"/>
    <cellStyle name="SAPLocked 13 10" xfId="1978" xr:uid="{89445EEB-0772-4CBE-9800-19DB7EC22F8F}"/>
    <cellStyle name="SAPLocked 13 11" xfId="2408" xr:uid="{718BD649-F457-4CD1-A068-01B0D6737465}"/>
    <cellStyle name="SAPLocked 13 12" xfId="2872" xr:uid="{CD460007-B7F2-45D6-8D60-E1EB77A463B5}"/>
    <cellStyle name="SAPLocked 13 13" xfId="2076" xr:uid="{99235F6B-57E2-4F3A-9040-414ADE23A8EE}"/>
    <cellStyle name="SAPLocked 13 2" xfId="952" xr:uid="{529EF848-BA12-4690-A329-319744BDEF19}"/>
    <cellStyle name="SAPLocked 13 2 10" xfId="2765" xr:uid="{1AC7F37D-A113-4F79-B8BD-A154FC3B5C3B}"/>
    <cellStyle name="SAPLocked 13 2 11" xfId="2919" xr:uid="{8782EA08-38B6-45EC-BE99-0AB03B8EAFCB}"/>
    <cellStyle name="SAPLocked 13 2 12" xfId="1756" xr:uid="{D0F043B6-38EA-4B3E-A2BD-A9CE6CCF7C6E}"/>
    <cellStyle name="SAPLocked 13 2 2" xfId="747" xr:uid="{EF3C3554-23B9-4F98-9C69-E5FCC7FB6C41}"/>
    <cellStyle name="SAPLocked 13 2 3" xfId="592" xr:uid="{95951AAF-A6F1-4D9E-85F8-54E9068303EA}"/>
    <cellStyle name="SAPLocked 13 2 4" xfId="1335" xr:uid="{DEB3D460-B82F-4883-ABB1-62B1A317A465}"/>
    <cellStyle name="SAPLocked 13 2 5" xfId="1302" xr:uid="{4F9C681B-50A9-415F-9B60-DEB9BEB4EA2B}"/>
    <cellStyle name="SAPLocked 13 2 6" xfId="1654" xr:uid="{8B6DA817-0549-49DD-9563-2A1AF8AF5BE4}"/>
    <cellStyle name="SAPLocked 13 2 7" xfId="2323" xr:uid="{B99C9280-7491-4DF4-93A6-96FEA34CF87A}"/>
    <cellStyle name="SAPLocked 13 2 8" xfId="2442" xr:uid="{B33AA4F4-9D9E-40E6-B06B-66D5B1A57FBC}"/>
    <cellStyle name="SAPLocked 13 2 9" xfId="2580" xr:uid="{61787452-29C2-450A-AA7F-B7B6D032F2D5}"/>
    <cellStyle name="SAPLocked 13 2_Jurisdictional Study" xfId="10700" xr:uid="{757CC428-DB83-49D6-ADD1-FC064B3FE32A}"/>
    <cellStyle name="SAPLocked 13 3" xfId="1051" xr:uid="{53AED6E8-BC87-4782-81D0-938BC87CAE12}"/>
    <cellStyle name="SAPLocked 13 4" xfId="1125" xr:uid="{EEB3F436-E3EC-4B60-A780-50B2C76A66ED}"/>
    <cellStyle name="SAPLocked 13 5" xfId="1211" xr:uid="{C224962C-0B81-4A24-BAFA-DED780AEC3A6}"/>
    <cellStyle name="SAPLocked 13 6" xfId="1513" xr:uid="{2C4BF078-B82C-47D0-A88E-C49648012028}"/>
    <cellStyle name="SAPLocked 13 7" xfId="1115" xr:uid="{D5F86E91-6586-4C0D-8351-E3DB1E59487D}"/>
    <cellStyle name="SAPLocked 13 8" xfId="2197" xr:uid="{5C8449B9-6131-4D59-991F-E1B3C9E36599}"/>
    <cellStyle name="SAPLocked 13 9" xfId="1862" xr:uid="{10C89EDB-6730-4248-A7E3-0FC02F188EED}"/>
    <cellStyle name="SAPLocked 13_Jurisdictional Study" xfId="10699" xr:uid="{478EA3F8-3B98-45D7-9175-10B4892C9896}"/>
    <cellStyle name="SAPLocked 14" xfId="416" xr:uid="{DDA5D688-D81F-47AA-B845-24952B1B793C}"/>
    <cellStyle name="SAPLocked 14 10" xfId="2181" xr:uid="{D60C735F-EA31-44D7-B78C-2AC715F9AF32}"/>
    <cellStyle name="SAPLocked 14 11" xfId="1939" xr:uid="{1B2C6CF3-5252-43D1-BC9D-890FF2BE7DC5}"/>
    <cellStyle name="SAPLocked 14 12" xfId="2934" xr:uid="{3EC3B65A-FF9C-4BD6-85DF-412D2F53A6A1}"/>
    <cellStyle name="SAPLocked 14 13" xfId="3023" xr:uid="{F14119D1-3866-4085-957E-2CDF0AE0C275}"/>
    <cellStyle name="SAPLocked 14 2" xfId="972" xr:uid="{797EFBD4-3D7D-4CB8-A8A7-998E2E49A7C1}"/>
    <cellStyle name="SAPLocked 14 2 10" xfId="2785" xr:uid="{974C8EE8-388D-4842-A0D9-752A39FD3125}"/>
    <cellStyle name="SAPLocked 14 2 11" xfId="2188" xr:uid="{ACAA0DE1-B019-4FB8-9567-7B67F96FD9C3}"/>
    <cellStyle name="SAPLocked 14 2 12" xfId="3018" xr:uid="{37C2203F-0EEF-4D92-A4E5-0B89CE9AEDA2}"/>
    <cellStyle name="SAPLocked 14 2 2" xfId="1095" xr:uid="{4C5CCB6A-51B0-4B83-83C4-9EB7730648DD}"/>
    <cellStyle name="SAPLocked 14 2 3" xfId="1169" xr:uid="{F1C828A0-DA38-4D4A-81AB-F6CB25960577}"/>
    <cellStyle name="SAPLocked 14 2 4" xfId="1355" xr:uid="{913B7BC7-3E54-483F-A20A-67192728BEA8}"/>
    <cellStyle name="SAPLocked 14 2 5" xfId="1454" xr:uid="{08AE93AE-86BE-4205-B6A8-278D9BC3DBF5}"/>
    <cellStyle name="SAPLocked 14 2 6" xfId="1674" xr:uid="{3564440A-B4D4-4F96-BCBD-4A4C8C0CCA9F}"/>
    <cellStyle name="SAPLocked 14 2 7" xfId="2342" xr:uid="{DBAE8655-609E-4F3C-BCB5-5F5F57A80342}"/>
    <cellStyle name="SAPLocked 14 2 8" xfId="2462" xr:uid="{D246C390-77E1-4AC3-BDCA-B71845EE8725}"/>
    <cellStyle name="SAPLocked 14 2 9" xfId="2694" xr:uid="{86BEF037-7C28-4274-952A-56C55E7E4C34}"/>
    <cellStyle name="SAPLocked 14 2_Jurisdictional Study" xfId="10702" xr:uid="{0D539E38-1924-4558-B1E5-E1B7629AD3EB}"/>
    <cellStyle name="SAPLocked 14 3" xfId="1089" xr:uid="{9B61FBB6-88E4-4478-A557-83A813228703}"/>
    <cellStyle name="SAPLocked 14 4" xfId="1163" xr:uid="{62161DEF-3CA3-4F12-9A67-9CBF0397EDE3}"/>
    <cellStyle name="SAPLocked 14 5" xfId="1231" xr:uid="{669A4E06-F071-41C8-BDB5-D6E059D8EF85}"/>
    <cellStyle name="SAPLocked 14 6" xfId="863" xr:uid="{8CE27CE8-A4F4-4A76-8D2A-3C84F02EA26C}"/>
    <cellStyle name="SAPLocked 14 7" xfId="634" xr:uid="{6BC889A5-B5B7-4036-822C-CC854321E561}"/>
    <cellStyle name="SAPLocked 14 8" xfId="2213" xr:uid="{529DEF10-D308-4708-AB91-042D0577076F}"/>
    <cellStyle name="SAPLocked 14 9" xfId="2376" xr:uid="{F18C6D0E-8201-4926-801A-03FD3997C174}"/>
    <cellStyle name="SAPLocked 14_Jurisdictional Study" xfId="10701" xr:uid="{A2C5599E-6FA3-49DB-999B-F3D1075B1571}"/>
    <cellStyle name="SAPLocked 15" xfId="376" xr:uid="{D7ECAD35-C4D0-4E55-B828-90919C3250F3}"/>
    <cellStyle name="SAPLocked 15 10" xfId="2400" xr:uid="{CA52BD24-404E-465E-ADBC-CF33D4C4E2A4}"/>
    <cellStyle name="SAPLocked 15 11" xfId="2722" xr:uid="{D6BE45AB-2640-4CDC-86F0-823CA0E8E9A3}"/>
    <cellStyle name="SAPLocked 15 12" xfId="2967" xr:uid="{E3F9E8B7-35CC-4A7F-B719-E745C2B94700}"/>
    <cellStyle name="SAPLocked 15 13" xfId="2073" xr:uid="{A78D9FF6-4288-4EFB-BDD5-18B511625B86}"/>
    <cellStyle name="SAPLocked 15 2" xfId="933" xr:uid="{70CE15CF-F3E1-4A6D-8E0C-34E42E3C48C0}"/>
    <cellStyle name="SAPLocked 15 2 10" xfId="2746" xr:uid="{ADE9876B-83E6-4A35-A878-688A50C6571A}"/>
    <cellStyle name="SAPLocked 15 2 11" xfId="2294" xr:uid="{0164B5F4-E71D-4A5C-8004-2A3C4C12D748}"/>
    <cellStyle name="SAPLocked 15 2 12" xfId="1753" xr:uid="{B92641C4-73CB-4EC8-BC73-DF27E74C9033}"/>
    <cellStyle name="SAPLocked 15 2 2" xfId="738" xr:uid="{BFA89D24-4D6F-46AC-B0DB-2F745130D41F}"/>
    <cellStyle name="SAPLocked 15 2 3" xfId="855" xr:uid="{1C20FC24-96A2-40A9-BA01-A53A2F0A5F7B}"/>
    <cellStyle name="SAPLocked 15 2 4" xfId="1316" xr:uid="{CC6A046D-0299-4CD0-AD79-5CA035ECFB69}"/>
    <cellStyle name="SAPLocked 15 2 5" xfId="1250" xr:uid="{873FBDFE-82D6-470A-BF48-5B7675FA2C68}"/>
    <cellStyle name="SAPLocked 15 2 6" xfId="1635" xr:uid="{26E31D00-316B-487B-9E64-20D233F303D7}"/>
    <cellStyle name="SAPLocked 15 2 7" xfId="2304" xr:uid="{FB40ECE8-1119-4A16-8F06-C65F8ECC2D60}"/>
    <cellStyle name="SAPLocked 15 2 8" xfId="2423" xr:uid="{5F93C6B2-1128-4AD8-B800-45BD044F3CF6}"/>
    <cellStyle name="SAPLocked 15 2 9" xfId="2681" xr:uid="{5183E129-2D5C-4379-9E1D-34C3D38033BA}"/>
    <cellStyle name="SAPLocked 15 2_Jurisdictional Study" xfId="10704" xr:uid="{B5CFBC8A-B3A3-4EEC-B1BC-0436805DDE24}"/>
    <cellStyle name="SAPLocked 15 3" xfId="1076" xr:uid="{48BDC054-B88F-4420-8FAA-1F0012BC8FE5}"/>
    <cellStyle name="SAPLocked 15 4" xfId="1149" xr:uid="{3A74FC22-75F6-4DB6-AD4B-C3527A888C88}"/>
    <cellStyle name="SAPLocked 15 5" xfId="1191" xr:uid="{5129BA29-910F-4D61-8B8C-E664DA56AA5A}"/>
    <cellStyle name="SAPLocked 15 6" xfId="1418" xr:uid="{C6F1394E-106B-4EA0-A67D-5B0F372360C3}"/>
    <cellStyle name="SAPLocked 15 7" xfId="813" xr:uid="{105CE5C0-2263-48E0-B4FD-B96E2C49F254}"/>
    <cellStyle name="SAPLocked 15 8" xfId="2178" xr:uid="{84F185FF-B319-40E3-99F3-A2E155D48AB7}"/>
    <cellStyle name="SAPLocked 15 9" xfId="2273" xr:uid="{3511076A-5AAC-4B95-ABFF-EA44AA435D35}"/>
    <cellStyle name="SAPLocked 15_Jurisdictional Study" xfId="10703" xr:uid="{A4D88CA1-348D-43A4-ABEF-AA87D80B59EE}"/>
    <cellStyle name="SAPLocked 16" xfId="430" xr:uid="{0913D5D1-2CE1-4F9F-92E9-CDE76390236A}"/>
    <cellStyle name="SAPLocked 16 10" xfId="2675" xr:uid="{55AA0659-AEC7-46A5-9913-C2CF28E8BFAF}"/>
    <cellStyle name="SAPLocked 16 11" xfId="2562" xr:uid="{E4CB5894-3DED-4D59-A7D3-CA7802E8D8BA}"/>
    <cellStyle name="SAPLocked 16 12" xfId="2677" xr:uid="{D8332FA1-5B12-4494-939B-22EDDA39BC98}"/>
    <cellStyle name="SAPLocked 16 13" xfId="3009" xr:uid="{B6991E05-B15A-4A34-B092-7D42CC5E0EDB}"/>
    <cellStyle name="SAPLocked 16 2" xfId="985" xr:uid="{FA573395-16A2-4911-9139-AF3110F3CE5B}"/>
    <cellStyle name="SAPLocked 16 2 10" xfId="2798" xr:uid="{712B2F9E-9988-49C9-8A8A-25220B4CCE12}"/>
    <cellStyle name="SAPLocked 16 2 11" xfId="2950" xr:uid="{25517187-9453-4B97-A53E-32EC51DB0B8A}"/>
    <cellStyle name="SAPLocked 16 2 12" xfId="3119" xr:uid="{FD9B372D-653B-4822-A0BC-2AF969F6F177}"/>
    <cellStyle name="SAPLocked 16 2 2" xfId="735" xr:uid="{924776B0-0270-4D54-A892-FF4CCB8398BC}"/>
    <cellStyle name="SAPLocked 16 2 3" xfId="1039" xr:uid="{7AB7BEF1-3BF9-40FA-9DF1-778461CE9BDB}"/>
    <cellStyle name="SAPLocked 16 2 4" xfId="1368" xr:uid="{30509923-6813-48C7-8EFA-F3030E139D1C}"/>
    <cellStyle name="SAPLocked 16 2 5" xfId="1539" xr:uid="{D5CA95CC-F382-403A-A7B9-68F74850D790}"/>
    <cellStyle name="SAPLocked 16 2 6" xfId="1687" xr:uid="{C1444F1B-E7E3-4B87-BE2D-6B0516632F98}"/>
    <cellStyle name="SAPLocked 16 2 7" xfId="2355" xr:uid="{E713F95E-5AF1-40C4-A8F9-8B9DA1F693D9}"/>
    <cellStyle name="SAPLocked 16 2 8" xfId="2475" xr:uid="{F76097C4-07D0-4785-8670-7968EB56C8DC}"/>
    <cellStyle name="SAPLocked 16 2 9" xfId="2561" xr:uid="{4EE80F39-1E58-473F-A49A-90AFE5A4EC50}"/>
    <cellStyle name="SAPLocked 16 2_Jurisdictional Study" xfId="10706" xr:uid="{07497B41-2F0D-441D-8B6B-9682AB431257}"/>
    <cellStyle name="SAPLocked 16 3" xfId="715" xr:uid="{43432FC5-442C-46D0-ADFA-61A23063F554}"/>
    <cellStyle name="SAPLocked 16 4" xfId="914" xr:uid="{BBAA1587-C6C4-4579-9089-4A9923C60F81}"/>
    <cellStyle name="SAPLocked 16 5" xfId="1245" xr:uid="{8A75B88D-18AC-4110-BFED-2734C04F71F8}"/>
    <cellStyle name="SAPLocked 16 6" xfId="1443" xr:uid="{98691C2E-96ED-4D0A-9DCA-46F2578D3C19}"/>
    <cellStyle name="SAPLocked 16 7" xfId="1586" xr:uid="{6D7F88FD-046D-4C0D-874E-ACD165F7827B}"/>
    <cellStyle name="SAPLocked 16 8" xfId="2226" xr:uid="{C00856A9-E3D8-43AE-905C-BF6EDF6C7271}"/>
    <cellStyle name="SAPLocked 16 9" xfId="2327" xr:uid="{BB4E0875-28EA-4DFB-AC58-9367E760CEAB}"/>
    <cellStyle name="SAPLocked 16_Jurisdictional Study" xfId="10705" xr:uid="{4ABC8C2E-04FB-432D-98AC-012CF7B3795D}"/>
    <cellStyle name="SAPLocked 17" xfId="370" xr:uid="{C976521D-6A62-4190-A4A0-54EE29C0110D}"/>
    <cellStyle name="SAPLocked 17 10" xfId="2291" xr:uid="{BD27AC85-F542-41A5-B69C-E7E8D5750178}"/>
    <cellStyle name="SAPLocked 17 11" xfId="1825" xr:uid="{AD6381C5-3C71-4069-93AB-6F324E1B3678}"/>
    <cellStyle name="SAPLocked 17 12" xfId="2625" xr:uid="{DEF94B01-2D2F-4FAA-8881-8267945A6971}"/>
    <cellStyle name="SAPLocked 17 13" xfId="2411" xr:uid="{82D543F5-D2E1-4B35-AADB-A1130CCD499B}"/>
    <cellStyle name="SAPLocked 17 2" xfId="927" xr:uid="{70246E61-4200-4A92-AA52-6EE860EB362E}"/>
    <cellStyle name="SAPLocked 17 2 10" xfId="2740" xr:uid="{E68849F8-C81C-4361-BA57-4DAD003455CC}"/>
    <cellStyle name="SAPLocked 17 2 11" xfId="2963" xr:uid="{2FFDC456-221A-4544-993B-48F6F8DB59AD}"/>
    <cellStyle name="SAPLocked 17 2 12" xfId="3095" xr:uid="{2E9BDC21-445A-425B-A61F-04601C89000D}"/>
    <cellStyle name="SAPLocked 17 2 2" xfId="572" xr:uid="{04B82530-1F1C-4349-9D16-A718734E8B8E}"/>
    <cellStyle name="SAPLocked 17 2 3" xfId="1064" xr:uid="{38CC122B-66F5-4928-B10C-30FAA9ED494F}"/>
    <cellStyle name="SAPLocked 17 2 4" xfId="1310" xr:uid="{2566FEB1-C4FC-4056-80D6-F581DBC28045}"/>
    <cellStyle name="SAPLocked 17 2 5" xfId="1489" xr:uid="{D766F73A-CABB-421A-96F7-6C3220092615}"/>
    <cellStyle name="SAPLocked 17 2 6" xfId="1629" xr:uid="{06822D91-5F40-44A8-92A0-A67478603B42}"/>
    <cellStyle name="SAPLocked 17 2 7" xfId="2300" xr:uid="{0D8CAFCB-0E13-44E8-91F9-97C10CD88287}"/>
    <cellStyle name="SAPLocked 17 2 8" xfId="2417" xr:uid="{0AE703AA-0720-490C-9990-0AA1CB04BB1E}"/>
    <cellStyle name="SAPLocked 17 2 9" xfId="2267" xr:uid="{F55C3496-5BE3-41E7-AC81-F9E62CCADC0A}"/>
    <cellStyle name="SAPLocked 17 2_Jurisdictional Study" xfId="10708" xr:uid="{9BBE7056-106E-454E-8457-132956B0346A}"/>
    <cellStyle name="SAPLocked 17 3" xfId="886" xr:uid="{6842BB26-2938-4F87-8E70-B16C71328C5C}"/>
    <cellStyle name="SAPLocked 17 4" xfId="1057" xr:uid="{DC23DB7E-59F6-4802-B64E-95A6C4EEC9AE}"/>
    <cellStyle name="SAPLocked 17 5" xfId="1185" xr:uid="{9E8E1144-CB71-43FA-974C-FABB985A2C2E}"/>
    <cellStyle name="SAPLocked 17 6" xfId="1032" xr:uid="{B07CDEF1-8CC6-4D23-BB5E-CABCE057464C}"/>
    <cellStyle name="SAPLocked 17 7" xfId="1156" xr:uid="{E7721A4A-5229-4BF1-9705-2E8A82A320D8}"/>
    <cellStyle name="SAPLocked 17 8" xfId="2172" xr:uid="{05FF7B46-6FDB-4F05-96EE-5EEBC3690C8B}"/>
    <cellStyle name="SAPLocked 17 9" xfId="2293" xr:uid="{A9187850-C303-438B-9CF8-244AC177C655}"/>
    <cellStyle name="SAPLocked 17_Jurisdictional Study" xfId="10707" xr:uid="{E23D260C-BB58-4F12-844A-15ABC2A964B4}"/>
    <cellStyle name="SAPLocked 18" xfId="434" xr:uid="{AB69F0AB-527C-490B-ABFC-65750FB10882}"/>
    <cellStyle name="SAPLocked 18 10" xfId="2664" xr:uid="{5F89CF34-B536-46A4-ACF2-1CB93B05D576}"/>
    <cellStyle name="SAPLocked 18 11" xfId="2669" xr:uid="{6EF5E59A-D5F0-4C6E-AD85-61131E2016BD}"/>
    <cellStyle name="SAPLocked 18 12" xfId="1765" xr:uid="{592076B2-8EF2-4818-872B-996199AF60C2}"/>
    <cellStyle name="SAPLocked 18 13" xfId="3085" xr:uid="{DFABC73F-6851-491C-9D6D-3E94CAE79B51}"/>
    <cellStyle name="SAPLocked 18 2" xfId="988" xr:uid="{D1596F26-2304-41EB-96FF-001A50761053}"/>
    <cellStyle name="SAPLocked 18 2 10" xfId="2801" xr:uid="{2B68FC6C-0EA3-464C-8F5B-B91DB2BF6631}"/>
    <cellStyle name="SAPLocked 18 2 11" xfId="1856" xr:uid="{3E259FA4-F15E-48E9-B1B4-8753F815039A}"/>
    <cellStyle name="SAPLocked 18 2 12" xfId="3122" xr:uid="{1577E842-3AEF-4151-B4AB-C75F462EE9E0}"/>
    <cellStyle name="SAPLocked 18 2 2" xfId="737" xr:uid="{8860845C-2BFF-4597-ACE3-0DB20329D0C4}"/>
    <cellStyle name="SAPLocked 18 2 3" xfId="1078" xr:uid="{DBE91842-8136-4531-927D-46AAF971FDE5}"/>
    <cellStyle name="SAPLocked 18 2 4" xfId="1371" xr:uid="{396E2491-F5FB-4358-A580-6ABB5D97742B}"/>
    <cellStyle name="SAPLocked 18 2 5" xfId="1542" xr:uid="{E2DD9043-04FF-449D-B79E-0423817941FA}"/>
    <cellStyle name="SAPLocked 18 2 6" xfId="1690" xr:uid="{B74DFFB0-BA47-45E8-A608-E33DBC275C3F}"/>
    <cellStyle name="SAPLocked 18 2 7" xfId="2358" xr:uid="{9808DF9B-F4AB-440E-9260-52EFC3B8E9FD}"/>
    <cellStyle name="SAPLocked 18 2 8" xfId="2478" xr:uid="{342C80EE-6A81-4076-8649-32C6DBDE2978}"/>
    <cellStyle name="SAPLocked 18 2 9" xfId="2305" xr:uid="{4D90FEEA-26E4-431D-86B9-76218D9851B2}"/>
    <cellStyle name="SAPLocked 18 2_Jurisdictional Study" xfId="10710" xr:uid="{16393E5C-74D6-421E-B9D6-F4BD347E4B70}"/>
    <cellStyle name="SAPLocked 18 3" xfId="891" xr:uid="{90B1B9AD-4123-4409-AB45-E73225FE96BC}"/>
    <cellStyle name="SAPLocked 18 4" xfId="690" xr:uid="{A777E7BC-3347-4A66-B62A-810D1F72DB81}"/>
    <cellStyle name="SAPLocked 18 5" xfId="1249" xr:uid="{D9AE2D94-0103-4B64-9DAE-C53EC68F0C9B}"/>
    <cellStyle name="SAPLocked 18 6" xfId="630" xr:uid="{AEDD9BFE-CBDE-4074-B31B-0EC9479D36DA}"/>
    <cellStyle name="SAPLocked 18 7" xfId="1590" xr:uid="{693CCDDA-15D1-43A4-84A5-79D40A9CC2F8}"/>
    <cellStyle name="SAPLocked 18 8" xfId="2230" xr:uid="{23B38042-CE42-4672-A2A2-8144DEC7D30A}"/>
    <cellStyle name="SAPLocked 18 9" xfId="2326" xr:uid="{3C9B9434-285A-4584-AB9D-16AD15E0FFC1}"/>
    <cellStyle name="SAPLocked 18_Jurisdictional Study" xfId="10709" xr:uid="{E6935E92-991A-46CD-96A0-647A77A93EFC}"/>
    <cellStyle name="SAPLocked 19" xfId="381" xr:uid="{65F6C0C1-070E-4538-BD4D-6DD953B93E29}"/>
    <cellStyle name="SAPLocked 19 10" xfId="2343" xr:uid="{75986EC6-BECE-4390-9B5C-F032764E67F0}"/>
    <cellStyle name="SAPLocked 19 11" xfId="1920" xr:uid="{C15BA12E-0C68-4B03-8AA5-53B289F34538}"/>
    <cellStyle name="SAPLocked 19 12" xfId="2691" xr:uid="{5918A55B-C960-4187-89BE-A97B07199B9F}"/>
    <cellStyle name="SAPLocked 19 13" xfId="3065" xr:uid="{1A7E46AC-9044-4E47-B50C-715E4C9353E2}"/>
    <cellStyle name="SAPLocked 19 2" xfId="938" xr:uid="{CEF8205A-48EE-447A-802D-4221A9680994}"/>
    <cellStyle name="SAPLocked 19 2 10" xfId="2751" xr:uid="{F222EE92-ECE3-4B90-BCBF-99B9BCC9C6D0}"/>
    <cellStyle name="SAPLocked 19 2 11" xfId="2848" xr:uid="{38F9F6E8-AD5C-4C44-9328-7973CA376B86}"/>
    <cellStyle name="SAPLocked 19 2 12" xfId="2900" xr:uid="{95634ADA-D9E5-4F6C-B932-30F1C9B40EB3}"/>
    <cellStyle name="SAPLocked 19 2 2" xfId="869" xr:uid="{B5EF1598-C24C-4196-AC35-DCB56A3D80ED}"/>
    <cellStyle name="SAPLocked 19 2 3" xfId="616" xr:uid="{4592DD49-DDB7-4008-BAA3-25F6A17ADFE8}"/>
    <cellStyle name="SAPLocked 19 2 4" xfId="1321" xr:uid="{BD3D683E-312A-47DE-B6DA-5677687EE6E5}"/>
    <cellStyle name="SAPLocked 19 2 5" xfId="860" xr:uid="{85B6D842-A075-4FD2-81E1-AAFD410E9933}"/>
    <cellStyle name="SAPLocked 19 2 6" xfId="1640" xr:uid="{C5F05609-28F1-4333-AE98-3C6DEE819533}"/>
    <cellStyle name="SAPLocked 19 2 7" xfId="2309" xr:uid="{E6EBC98D-80BF-4B6E-9334-EE509A16947E}"/>
    <cellStyle name="SAPLocked 19 2 8" xfId="2428" xr:uid="{82899CA6-E64B-4935-B43A-DF1A4536E3E4}"/>
    <cellStyle name="SAPLocked 19 2 9" xfId="2398" xr:uid="{B004E78D-D7BD-4087-9538-4E2894A32943}"/>
    <cellStyle name="SAPLocked 19 2_Jurisdictional Study" xfId="10712" xr:uid="{A230EC00-A873-47F7-BC67-6503880A32D4}"/>
    <cellStyle name="SAPLocked 19 3" xfId="823" xr:uid="{D12BB49B-02F5-4366-A76F-DB112DC9963C}"/>
    <cellStyle name="SAPLocked 19 4" xfId="559" xr:uid="{AE306F59-E871-4465-B509-DD6D04ACC81E}"/>
    <cellStyle name="SAPLocked 19 5" xfId="1196" xr:uid="{87FD598B-5F5E-49A9-A51A-BCC52FD95546}"/>
    <cellStyle name="SAPLocked 19 6" xfId="1289" xr:uid="{9B538A13-6D15-468F-BC0C-C5F4284C770D}"/>
    <cellStyle name="SAPLocked 19 7" xfId="1170" xr:uid="{1DA20004-1095-4296-83AE-9CD15FD50B13}"/>
    <cellStyle name="SAPLocked 19 8" xfId="2183" xr:uid="{BE940651-C092-46FA-9BC7-D20061D39DAD}"/>
    <cellStyle name="SAPLocked 19 9" xfId="1837" xr:uid="{9403592A-A7F1-43F1-9409-451106EC93C1}"/>
    <cellStyle name="SAPLocked 19_Jurisdictional Study" xfId="10711" xr:uid="{1ABD30E2-5B21-4B3D-BD27-0180DD4DF106}"/>
    <cellStyle name="SAPLocked 2" xfId="358" xr:uid="{47E211CC-8FD5-4135-AABD-A407872698CC}"/>
    <cellStyle name="SAPLocked 2 10" xfId="463" xr:uid="{31802D7E-DD78-49E4-97D3-B128A8B7C7B5}"/>
    <cellStyle name="SAPLocked 2 10 10" xfId="2517" xr:uid="{3FCF5CB7-040A-4D75-8E92-988DAC5F71B8}"/>
    <cellStyle name="SAPLocked 2 10 11" xfId="2727" xr:uid="{DED9D91B-8244-41D9-81C7-B178E7AD63AF}"/>
    <cellStyle name="SAPLocked 2 10 12" xfId="2859" xr:uid="{35A1FFA7-9E43-4D62-B7CA-FE6FD788AD86}"/>
    <cellStyle name="SAPLocked 2 10 13" xfId="1758" xr:uid="{25B77216-7C35-495E-A5ED-32FB424887FB}"/>
    <cellStyle name="SAPLocked 2 10 2" xfId="1014" xr:uid="{6787B2E4-CFBB-4462-8E3E-ABCDEDEC0BDE}"/>
    <cellStyle name="SAPLocked 2 10 2 10" xfId="2825" xr:uid="{B29B2E6E-EDBF-4E4F-BC9F-945DA56FDC1E}"/>
    <cellStyle name="SAPLocked 2 10 2 11" xfId="2906" xr:uid="{810F16D9-1CFB-4D3F-BBF7-792902E21FCD}"/>
    <cellStyle name="SAPLocked 2 10 2 12" xfId="3145" xr:uid="{4AF60116-8B48-4CB3-867D-30350D4EAFBF}"/>
    <cellStyle name="SAPLocked 2 10 2 2" xfId="841" xr:uid="{58E18FB8-075B-49A5-B331-E3678BEFE11D}"/>
    <cellStyle name="SAPLocked 2 10 2 3" xfId="1105" xr:uid="{EF382E31-4C5E-44A0-BCC2-46DD4E06DCE8}"/>
    <cellStyle name="SAPLocked 2 10 2 4" xfId="1396" xr:uid="{E39CE56D-60D0-485A-96C0-13EDDAE03BEE}"/>
    <cellStyle name="SAPLocked 2 10 2 5" xfId="1566" xr:uid="{3FAC48B3-2026-4234-BC43-A8DD975F463D}"/>
    <cellStyle name="SAPLocked 2 10 2 6" xfId="1713" xr:uid="{7C36C995-3BE1-4E9D-8CAE-F4DE594E5A92}"/>
    <cellStyle name="SAPLocked 2 10 2 7" xfId="2382" xr:uid="{576D2340-0337-4ADB-A168-8E8D1DC6615B}"/>
    <cellStyle name="SAPLocked 2 10 2 8" xfId="2504" xr:uid="{49A13A74-C630-400F-8476-3DEB9C71926D}"/>
    <cellStyle name="SAPLocked 2 10 2 9" xfId="2619" xr:uid="{0BEA4D27-E11B-4973-BCD7-D2529654BDCB}"/>
    <cellStyle name="SAPLocked 2 10 2_Jurisdictional Study" xfId="10715" xr:uid="{87D4BA55-96BD-47FF-9F94-898B27E0257E}"/>
    <cellStyle name="SAPLocked 2 10 3" xfId="802" xr:uid="{4BC69164-2DB8-4A90-91EA-E0F96D095FA4}"/>
    <cellStyle name="SAPLocked 2 10 4" xfId="659" xr:uid="{874795E8-9B97-41B0-849F-E44D9AE9038C}"/>
    <cellStyle name="SAPLocked 2 10 5" xfId="1277" xr:uid="{2B8E3488-6153-4E82-99A0-D609EAE7006B}"/>
    <cellStyle name="SAPLocked 2 10 6" xfId="583" xr:uid="{AF60C5CD-CB2E-4A59-BFC7-F8E380F88BDE}"/>
    <cellStyle name="SAPLocked 2 10 7" xfId="1614" xr:uid="{97600FB0-0DC0-460C-A94B-4ADE4958F952}"/>
    <cellStyle name="SAPLocked 2 10 8" xfId="2255" xr:uid="{65B1523B-CA5C-45D2-B15E-574EEAF80B5C}"/>
    <cellStyle name="SAPLocked 2 10 9" xfId="2285" xr:uid="{DC55DC55-ED1B-4C02-B040-6B781A296243}"/>
    <cellStyle name="SAPLocked 2 10_Jurisdictional Study" xfId="10714" xr:uid="{BE0F47CB-83A9-4A93-9CE8-7A077B9A6786}"/>
    <cellStyle name="SAPLocked 2 11" xfId="464" xr:uid="{4063AE7F-4364-45F1-8EFA-662281768B5D}"/>
    <cellStyle name="SAPLocked 2 11 10" xfId="2519" xr:uid="{94B99B9C-B3CB-4F45-B845-B5E6A95FFBB5}"/>
    <cellStyle name="SAPLocked 2 11 11" xfId="2553" xr:uid="{5817F3C9-AAB9-4B38-A8E6-C697392DE6FE}"/>
    <cellStyle name="SAPLocked 2 11 12" xfId="2928" xr:uid="{01571318-62BF-44D7-B4EE-82573B0F7ACC}"/>
    <cellStyle name="SAPLocked 2 11 13" xfId="2676" xr:uid="{B1BFE7BB-4E38-4CF2-BE92-9B4433935D4D}"/>
    <cellStyle name="SAPLocked 2 11 2" xfId="1015" xr:uid="{3F98E454-BD64-4840-93EF-A9424B514BF0}"/>
    <cellStyle name="SAPLocked 2 11 2 10" xfId="2826" xr:uid="{4DF02972-F7E8-4E9B-AE01-F22F959EBF31}"/>
    <cellStyle name="SAPLocked 2 11 2 11" xfId="2903" xr:uid="{AC957FCE-B5E1-46DA-8E0C-E697E624361A}"/>
    <cellStyle name="SAPLocked 2 11 2 12" xfId="3146" xr:uid="{42BAE4A8-6CB0-401F-A9E2-F74053FA5483}"/>
    <cellStyle name="SAPLocked 2 11 2 2" xfId="709" xr:uid="{593D5B10-175D-4DEC-A0B1-689D6359A375}"/>
    <cellStyle name="SAPLocked 2 11 2 3" xfId="1066" xr:uid="{C5E8BF84-F963-4C8C-898E-163C166B920C}"/>
    <cellStyle name="SAPLocked 2 11 2 4" xfId="1397" xr:uid="{F1B99B83-BB13-4CC0-8510-EFE92C12B1CE}"/>
    <cellStyle name="SAPLocked 2 11 2 5" xfId="1567" xr:uid="{2473C569-55A0-4D1F-8100-09F0DD5C43CC}"/>
    <cellStyle name="SAPLocked 2 11 2 6" xfId="1714" xr:uid="{6F9EB20B-7631-401F-876A-D8F5780ACCE3}"/>
    <cellStyle name="SAPLocked 2 11 2 7" xfId="2383" xr:uid="{BE30954F-94DB-4317-ACD9-38B834535642}"/>
    <cellStyle name="SAPLocked 2 11 2 8" xfId="2505" xr:uid="{61CA9BCE-AB7A-4C35-9311-EAAFF4B74F01}"/>
    <cellStyle name="SAPLocked 2 11 2 9" xfId="2153" xr:uid="{854DE56F-7E37-46F3-9C55-0AFD9CEE6437}"/>
    <cellStyle name="SAPLocked 2 11 2_Jurisdictional Study" xfId="10717" xr:uid="{EAE4D358-F47E-42DB-9D94-E6E3A337F0C9}"/>
    <cellStyle name="SAPLocked 2 11 3" xfId="528" xr:uid="{202618CE-AFED-4B31-B9CA-B0FFB15F55A8}"/>
    <cellStyle name="SAPLocked 2 11 4" xfId="525" xr:uid="{8081E6E6-8331-47B4-A0C2-B1532E894509}"/>
    <cellStyle name="SAPLocked 2 11 5" xfId="1278" xr:uid="{58D12BC1-0C9D-4455-9939-5252DB1E3D44}"/>
    <cellStyle name="SAPLocked 2 11 6" xfId="742" xr:uid="{8185ECE0-B8E6-4E15-9A61-F08F60F2313C}"/>
    <cellStyle name="SAPLocked 2 11 7" xfId="1615" xr:uid="{BE27D0DC-A2F8-4F91-83A0-3C6E22565E09}"/>
    <cellStyle name="SAPLocked 2 11 8" xfId="2256" xr:uid="{E1A68164-77B3-4A49-B87E-4257BCA601CE}"/>
    <cellStyle name="SAPLocked 2 11 9" xfId="2067" xr:uid="{8B6683D8-2BB3-424B-A25A-C36395E950B9}"/>
    <cellStyle name="SAPLocked 2 11_Jurisdictional Study" xfId="10716" xr:uid="{D2EC3056-3278-400F-BAE6-E7D825EB98D6}"/>
    <cellStyle name="SAPLocked 2 12" xfId="465" xr:uid="{C7E6E368-E9C2-4384-9C27-D85ACE6AC098}"/>
    <cellStyle name="SAPLocked 2 12 10" xfId="2522" xr:uid="{663DB39D-2B96-4496-BD8C-C2913E286879}"/>
    <cellStyle name="SAPLocked 2 12 11" xfId="2524" xr:uid="{781A343D-1FE0-4C90-9916-AF7C6A2BFBFB}"/>
    <cellStyle name="SAPLocked 2 12 12" xfId="2982" xr:uid="{E7B2D6FB-3F24-4555-879C-7B87354D2B0C}"/>
    <cellStyle name="SAPLocked 2 12 13" xfId="2017" xr:uid="{56D8C960-9703-4A78-A6B5-73C118EEC652}"/>
    <cellStyle name="SAPLocked 2 12 2" xfId="1016" xr:uid="{E4860E71-C8A9-452D-A2FE-15F880D3C036}"/>
    <cellStyle name="SAPLocked 2 12 2 10" xfId="2827" xr:uid="{B32CDF68-69B4-424F-98D3-218C237B0310}"/>
    <cellStyle name="SAPLocked 2 12 2 11" xfId="2731" xr:uid="{82DA979A-2108-4F59-BFB9-2FE7F29AA8E7}"/>
    <cellStyle name="SAPLocked 2 12 2 12" xfId="3147" xr:uid="{25B024CF-60B2-4D25-9A03-F8B9A43BD99E}"/>
    <cellStyle name="SAPLocked 2 12 2 2" xfId="1087" xr:uid="{0224AD78-3D78-4319-8424-06B59E443000}"/>
    <cellStyle name="SAPLocked 2 12 2 3" xfId="1161" xr:uid="{33440E8D-121E-4C57-84E5-65D2524547B2}"/>
    <cellStyle name="SAPLocked 2 12 2 4" xfId="1398" xr:uid="{0B4AACA0-3352-4615-BF12-1630B874F9CC}"/>
    <cellStyle name="SAPLocked 2 12 2 5" xfId="1568" xr:uid="{F5A76E40-E251-451F-9C28-1C38FB6535CE}"/>
    <cellStyle name="SAPLocked 2 12 2 6" xfId="1715" xr:uid="{B52986C2-7DA9-495E-8B4E-2968CE86213E}"/>
    <cellStyle name="SAPLocked 2 12 2 7" xfId="2384" xr:uid="{5D1AD645-07F9-40F1-8CA7-0399E42906CB}"/>
    <cellStyle name="SAPLocked 2 12 2 8" xfId="2506" xr:uid="{22C68FD2-4277-41FA-BC7D-0185E292938B}"/>
    <cellStyle name="SAPLocked 2 12 2 9" xfId="2115" xr:uid="{ED297673-B9C2-44B7-8BEC-A5315DD59E15}"/>
    <cellStyle name="SAPLocked 2 12 2_Jurisdictional Study" xfId="10719" xr:uid="{E6A88C2C-A59D-4E35-BF8B-7E451FF48715}"/>
    <cellStyle name="SAPLocked 2 12 3" xfId="550" xr:uid="{8CA13EE3-82DD-4E98-9C24-D913A95C7DD8}"/>
    <cellStyle name="SAPLocked 2 12 4" xfId="682" xr:uid="{74B539B7-F09B-4F07-975E-9BF4105C05BE}"/>
    <cellStyle name="SAPLocked 2 12 5" xfId="1279" xr:uid="{4C8A7778-BC70-4DA5-B092-07B3B9EA0BC0}"/>
    <cellStyle name="SAPLocked 2 12 6" xfId="1508" xr:uid="{A11AA841-055C-419B-90CD-EC7B6CD79D79}"/>
    <cellStyle name="SAPLocked 2 12 7" xfId="1616" xr:uid="{29E57577-D289-4CE3-9C15-048FEB05D357}"/>
    <cellStyle name="SAPLocked 2 12 8" xfId="2257" xr:uid="{5BF64095-6D43-438F-BA6D-9DD2F430D2D4}"/>
    <cellStyle name="SAPLocked 2 12 9" xfId="2284" xr:uid="{DE58BA0F-7795-4839-8D7A-7431938A42E3}"/>
    <cellStyle name="SAPLocked 2 12_Jurisdictional Study" xfId="10718" xr:uid="{347DBFCE-3D40-4D21-BE96-8F978B47C400}"/>
    <cellStyle name="SAPLocked 2 13" xfId="466" xr:uid="{8FD8A9C6-EF88-4DE5-9C54-4749892A875A}"/>
    <cellStyle name="SAPLocked 2 13 10" xfId="2296" xr:uid="{58998A0C-BC8A-499B-808A-0DFBDDCAA182}"/>
    <cellStyle name="SAPLocked 2 13 11" xfId="2660" xr:uid="{39FF8444-FB3F-4F51-AF87-E336848A8C70}"/>
    <cellStyle name="SAPLocked 2 13 12" xfId="2907" xr:uid="{33B66140-50E0-4E20-BCA5-D95C772B3608}"/>
    <cellStyle name="SAPLocked 2 13 13" xfId="2921" xr:uid="{527ECE10-2014-4284-B975-97505F790B15}"/>
    <cellStyle name="SAPLocked 2 13 2" xfId="1017" xr:uid="{49C44395-8979-4F51-BD31-DF7FC441B209}"/>
    <cellStyle name="SAPLocked 2 13 2 10" xfId="2828" xr:uid="{D204D36F-76A6-47E6-9AEC-54FEDCDDE09B}"/>
    <cellStyle name="SAPLocked 2 13 2 11" xfId="2811" xr:uid="{D3B38A44-F404-48FA-9B97-FDE99B6F437C}"/>
    <cellStyle name="SAPLocked 2 13 2 12" xfId="3148" xr:uid="{1695745D-F6D4-4E9C-977C-E984D4542D03}"/>
    <cellStyle name="SAPLocked 2 13 2 2" xfId="718" xr:uid="{E68FE785-A89A-4D98-BC2A-7EBEC0FD83BE}"/>
    <cellStyle name="SAPLocked 2 13 2 3" xfId="926" xr:uid="{D27364D6-485B-4E4B-BDF6-43FA1B820BD6}"/>
    <cellStyle name="SAPLocked 2 13 2 4" xfId="1399" xr:uid="{54CDBFFD-8918-4819-BB77-382226DB3F10}"/>
    <cellStyle name="SAPLocked 2 13 2 5" xfId="1569" xr:uid="{1CCE4FC5-55B4-40D5-AB09-990E13828EBB}"/>
    <cellStyle name="SAPLocked 2 13 2 6" xfId="1716" xr:uid="{3E32EBE6-F8BA-4511-9A41-D978C90C4FF6}"/>
    <cellStyle name="SAPLocked 2 13 2 7" xfId="2385" xr:uid="{1B501F2F-57E2-4EDE-AD2C-0D6E5EF163FB}"/>
    <cellStyle name="SAPLocked 2 13 2 8" xfId="2507" xr:uid="{B0DC3A14-952D-4F4C-A4BD-40B5F4C28CCF}"/>
    <cellStyle name="SAPLocked 2 13 2 9" xfId="2610" xr:uid="{80E87F9E-AB92-4FA4-BCA2-FD03D2D685C6}"/>
    <cellStyle name="SAPLocked 2 13 2_Jurisdictional Study" xfId="10721" xr:uid="{276C9588-FD73-4A52-90AD-552177FE773C}"/>
    <cellStyle name="SAPLocked 2 13 3" xfId="1070" xr:uid="{72278494-C17C-4B7B-956C-EDCF84F6C5EB}"/>
    <cellStyle name="SAPLocked 2 13 4" xfId="790" xr:uid="{E6561EF5-7EA0-4A01-9A50-5D270F6E79F5}"/>
    <cellStyle name="SAPLocked 2 13 5" xfId="1280" xr:uid="{900A5B86-55B1-42B5-B6AD-A1EA2920D181}"/>
    <cellStyle name="SAPLocked 2 13 6" xfId="1422" xr:uid="{93763E64-29F1-4120-9127-46DDA0986940}"/>
    <cellStyle name="SAPLocked 2 13 7" xfId="1617" xr:uid="{822893B0-7FAA-45B5-988A-17F5B694D4C8}"/>
    <cellStyle name="SAPLocked 2 13 8" xfId="2258" xr:uid="{476F95C8-CA80-4EFC-9D3D-C6CA39CAF0D5}"/>
    <cellStyle name="SAPLocked 2 13 9" xfId="1962" xr:uid="{CDD3E445-1883-4D2B-8333-71A71CCCD0C6}"/>
    <cellStyle name="SAPLocked 2 13_Jurisdictional Study" xfId="10720" xr:uid="{7AB3DE5B-B6D3-407B-93B1-0887FB70C7E4}"/>
    <cellStyle name="SAPLocked 2 14" xfId="467" xr:uid="{7A6559AE-1B4B-4055-B00C-059A420990C7}"/>
    <cellStyle name="SAPLocked 2 14 10" xfId="2415" xr:uid="{27543D19-C716-4830-99BF-B2386D259C32}"/>
    <cellStyle name="SAPLocked 2 14 11" xfId="2631" xr:uid="{6AE3A747-FF17-48AE-92B7-21C1AF201B0B}"/>
    <cellStyle name="SAPLocked 2 14 12" xfId="2962" xr:uid="{3A6D3511-DF2F-4739-949A-40EBBBD66F43}"/>
    <cellStyle name="SAPLocked 2 14 13" xfId="3013" xr:uid="{C547D42D-3F31-4D62-A80B-19931D716709}"/>
    <cellStyle name="SAPLocked 2 14 2" xfId="1018" xr:uid="{66D22DA0-C829-4E6B-BF8C-DB7E9E5639F6}"/>
    <cellStyle name="SAPLocked 2 14 2 10" xfId="2829" xr:uid="{F1B86F0D-EEE8-4C6F-BFFB-6F8D1D6A831E}"/>
    <cellStyle name="SAPLocked 2 14 2 11" xfId="2711" xr:uid="{6AD07684-C435-4504-AFFB-AD7940267C88}"/>
    <cellStyle name="SAPLocked 2 14 2 12" xfId="3149" xr:uid="{30CDA69B-80A7-42FD-A00B-67C7C88A70C7}"/>
    <cellStyle name="SAPLocked 2 14 2 2" xfId="865" xr:uid="{BDE49B63-AD89-4D64-AEFF-021C495B2048}"/>
    <cellStyle name="SAPLocked 2 14 2 3" xfId="514" xr:uid="{F7B06D77-D6F2-4224-B17F-710FF1296840}"/>
    <cellStyle name="SAPLocked 2 14 2 4" xfId="1400" xr:uid="{12C6373A-4CFB-4F6C-A9CE-010368514106}"/>
    <cellStyle name="SAPLocked 2 14 2 5" xfId="1570" xr:uid="{DB75C087-0CAD-4EFE-A9E5-37F0292477D9}"/>
    <cellStyle name="SAPLocked 2 14 2 6" xfId="1717" xr:uid="{4CF39E56-8CFA-43E5-A5BC-94D08D264B49}"/>
    <cellStyle name="SAPLocked 2 14 2 7" xfId="2386" xr:uid="{6EB585B1-9EA8-4580-ADDD-401C6FFE6E97}"/>
    <cellStyle name="SAPLocked 2 14 2 8" xfId="2508" xr:uid="{C9B3BBB0-391A-4B7F-8347-486E168552C6}"/>
    <cellStyle name="SAPLocked 2 14 2 9" xfId="2618" xr:uid="{88044A32-F47A-4B3A-BD20-C021BADD9048}"/>
    <cellStyle name="SAPLocked 2 14 2_Jurisdictional Study" xfId="10723" xr:uid="{B24A20CF-C799-491B-AA77-060E783811C6}"/>
    <cellStyle name="SAPLocked 2 14 3" xfId="1086" xr:uid="{E3BED213-8840-4D26-A60A-111BA6CF7738}"/>
    <cellStyle name="SAPLocked 2 14 4" xfId="1160" xr:uid="{1227DF5F-2349-4E4D-89BC-2988519706DF}"/>
    <cellStyle name="SAPLocked 2 14 5" xfId="1281" xr:uid="{FD832627-D664-451A-8C7F-A6E532687072}"/>
    <cellStyle name="SAPLocked 2 14 6" xfId="1516" xr:uid="{EE8795C7-8011-46AF-9CEF-86E0B44D911D}"/>
    <cellStyle name="SAPLocked 2 14 7" xfId="1618" xr:uid="{9E311077-031F-43C6-9C75-76E9339673E9}"/>
    <cellStyle name="SAPLocked 2 14 8" xfId="2259" xr:uid="{B5302F61-C733-45EC-85B0-61AA303D176B}"/>
    <cellStyle name="SAPLocked 2 14 9" xfId="2283" xr:uid="{766035ED-ACBD-4296-859B-8BF9D283D900}"/>
    <cellStyle name="SAPLocked 2 14_Jurisdictional Study" xfId="10722" xr:uid="{4AE87188-9E41-427B-B492-E255A7994011}"/>
    <cellStyle name="SAPLocked 2 15" xfId="468" xr:uid="{72D41F33-E48E-458B-9DE2-B2028DAA9FF8}"/>
    <cellStyle name="SAPLocked 2 15 10" xfId="2351" xr:uid="{C436E2AD-8F46-48EF-A7B3-43FC10C66086}"/>
    <cellStyle name="SAPLocked 2 15 11" xfId="2552" xr:uid="{6477A756-02B6-4C6A-9F00-5B5866452249}"/>
    <cellStyle name="SAPLocked 2 15 12" xfId="2973" xr:uid="{F62F9344-3091-4164-A377-6FC3EF77E826}"/>
    <cellStyle name="SAPLocked 2 15 13" xfId="3017" xr:uid="{FDFF6D63-7710-45CB-9266-B62532F830E4}"/>
    <cellStyle name="SAPLocked 2 15 2" xfId="1019" xr:uid="{CDDADB26-3E90-44D9-B669-D6A476DB0B45}"/>
    <cellStyle name="SAPLocked 2 15 2 10" xfId="2830" xr:uid="{E6AE72DB-0467-4AE4-AE50-1ACA48214E94}"/>
    <cellStyle name="SAPLocked 2 15 2 11" xfId="2897" xr:uid="{289BBDA9-D2AA-44B6-A4CE-31CE73CAFC65}"/>
    <cellStyle name="SAPLocked 2 15 2 12" xfId="3150" xr:uid="{DAFB9040-54F0-4486-B3A9-54D4215D1E75}"/>
    <cellStyle name="SAPLocked 2 15 2 2" xfId="726" xr:uid="{D4CCB115-C364-43D2-B300-8E85360CB58B}"/>
    <cellStyle name="SAPLocked 2 15 2 3" xfId="499" xr:uid="{104DF804-FF97-4D28-979E-D0E9B261256B}"/>
    <cellStyle name="SAPLocked 2 15 2 4" xfId="1401" xr:uid="{EDCA0C01-D24B-4477-9C32-E01662C66868}"/>
    <cellStyle name="SAPLocked 2 15 2 5" xfId="1571" xr:uid="{A0CE7E73-F141-490B-AE8C-A891E365C41A}"/>
    <cellStyle name="SAPLocked 2 15 2 6" xfId="1718" xr:uid="{ACCD1E49-6524-4AB6-9D28-C81927661AF8}"/>
    <cellStyle name="SAPLocked 2 15 2 7" xfId="2387" xr:uid="{B1E84DC6-6960-43D7-8919-6552687536F5}"/>
    <cellStyle name="SAPLocked 2 15 2 8" xfId="2509" xr:uid="{F2E9784F-0945-47B9-950E-5B845F2ED633}"/>
    <cellStyle name="SAPLocked 2 15 2 9" xfId="2085" xr:uid="{3ECCFE3D-B4B2-4110-AD94-7C2C0386551C}"/>
    <cellStyle name="SAPLocked 2 15 2_Jurisdictional Study" xfId="10725" xr:uid="{A3452220-8576-4634-8CBD-DB1915713F8B}"/>
    <cellStyle name="SAPLocked 2 15 3" xfId="851" xr:uid="{45398414-DAA6-4D7F-B2AC-774D0BBA642B}"/>
    <cellStyle name="SAPLocked 2 15 4" xfId="768" xr:uid="{B51CC439-4EA9-4947-B41A-CF660F0AFB27}"/>
    <cellStyle name="SAPLocked 2 15 5" xfId="1282" xr:uid="{CAAD09BE-78A5-4C7F-8A6E-2E2346145BE8}"/>
    <cellStyle name="SAPLocked 2 15 6" xfId="1429" xr:uid="{78F4FB30-4211-49C5-8A6D-B207EA1DD43F}"/>
    <cellStyle name="SAPLocked 2 15 7" xfId="1619" xr:uid="{FDEC6C78-2473-42AA-82AC-450EBD6EA183}"/>
    <cellStyle name="SAPLocked 2 15 8" xfId="2260" xr:uid="{154B9C5E-6E17-4CF5-9EAB-2D3D116D123F}"/>
    <cellStyle name="SAPLocked 2 15 9" xfId="2083" xr:uid="{698ED85C-57F0-405D-AD18-A57C16A6DC8B}"/>
    <cellStyle name="SAPLocked 2 15_Jurisdictional Study" xfId="10724" xr:uid="{C954180A-85BE-4D22-91B0-45FBB2EBC25C}"/>
    <cellStyle name="SAPLocked 2 16" xfId="469" xr:uid="{CE618183-5BBC-4B43-B6E8-76FAEC86F7D9}"/>
    <cellStyle name="SAPLocked 2 16 10" xfId="1975" xr:uid="{AC4FD2EF-1914-4BC1-BD1C-17D13DB31DBB}"/>
    <cellStyle name="SAPLocked 2 16 11" xfId="1855" xr:uid="{0A146A17-F276-41B8-9A0E-9A4818E3EBC6}"/>
    <cellStyle name="SAPLocked 2 16 12" xfId="2736" xr:uid="{36F632C9-E05A-449A-8F87-42BF2DD7BC09}"/>
    <cellStyle name="SAPLocked 2 16 13" xfId="2946" xr:uid="{DFAF12C2-08E9-49C6-86B9-2F1CE5F03227}"/>
    <cellStyle name="SAPLocked 2 16 2" xfId="1020" xr:uid="{D5F3564B-2E0F-408C-8021-6024A8AB3CFE}"/>
    <cellStyle name="SAPLocked 2 16 2 10" xfId="2831" xr:uid="{2A6BECA0-64C9-45E3-B375-5BF132401AC2}"/>
    <cellStyle name="SAPLocked 2 16 2 11" xfId="2863" xr:uid="{EC22E65E-23E2-49DC-B25A-FAF5FBCC7C32}"/>
    <cellStyle name="SAPLocked 2 16 2 12" xfId="3151" xr:uid="{C393225D-C8FD-457F-9733-27BF882600AA}"/>
    <cellStyle name="SAPLocked 2 16 2 2" xfId="752" xr:uid="{2496B59C-0992-4A3A-83E7-2F6F906A3036}"/>
    <cellStyle name="SAPLocked 2 16 2 3" xfId="1036" xr:uid="{8F7B231B-763E-4FAF-907A-7C7D91D61E6F}"/>
    <cellStyle name="SAPLocked 2 16 2 4" xfId="1402" xr:uid="{BE7A0052-85C0-4164-B3C7-523F91062C8C}"/>
    <cellStyle name="SAPLocked 2 16 2 5" xfId="1572" xr:uid="{25C1EF0D-6994-41B8-BD7C-C772E2060539}"/>
    <cellStyle name="SAPLocked 2 16 2 6" xfId="1719" xr:uid="{1AD67A0F-AFAA-4261-88D9-CEC3EC6B3C1E}"/>
    <cellStyle name="SAPLocked 2 16 2 7" xfId="2388" xr:uid="{7DF5B3AA-79BF-4BA6-8F1E-D45340F5D9DB}"/>
    <cellStyle name="SAPLocked 2 16 2 8" xfId="2510" xr:uid="{C2AFFF82-37E4-48B2-88EB-2ADE00C6B809}"/>
    <cellStyle name="SAPLocked 2 16 2 9" xfId="2617" xr:uid="{33DEC095-483E-4E5E-821F-8BC2D01684A8}"/>
    <cellStyle name="SAPLocked 2 16 2_Jurisdictional Study" xfId="10727" xr:uid="{42E5D0F6-6B89-4FF8-8A92-3C459AE52B71}"/>
    <cellStyle name="SAPLocked 2 16 3" xfId="1080" xr:uid="{6D9F936F-A491-4D3E-80B3-5EDDAAABCF5B}"/>
    <cellStyle name="SAPLocked 2 16 4" xfId="1142" xr:uid="{23B5EC85-5490-4E24-AB76-C0C5753D7E22}"/>
    <cellStyle name="SAPLocked 2 16 5" xfId="1283" xr:uid="{47A81575-D2B6-41DC-876D-0C793354C186}"/>
    <cellStyle name="SAPLocked 2 16 6" xfId="678" xr:uid="{1F5D6FAA-2381-4EF3-BF53-5C1DA41D8183}"/>
    <cellStyle name="SAPLocked 2 16 7" xfId="1620" xr:uid="{1EEE334E-252B-4783-99A2-669D12146DB2}"/>
    <cellStyle name="SAPLocked 2 16 8" xfId="2261" xr:uid="{6469C85B-F526-4F29-AA11-AB3C13C18DF5}"/>
    <cellStyle name="SAPLocked 2 16 9" xfId="1739" xr:uid="{92E8E159-7E14-49BD-93CB-93178B0D8CFE}"/>
    <cellStyle name="SAPLocked 2 16_Jurisdictional Study" xfId="10726" xr:uid="{34823BCE-3477-4A78-8486-F2AA7086A657}"/>
    <cellStyle name="SAPLocked 2 17" xfId="470" xr:uid="{0CED80EC-4733-4D75-8972-C9D8DF51B763}"/>
    <cellStyle name="SAPLocked 2 17 10" xfId="1957" xr:uid="{CA52083F-5363-403A-97C6-9B211C753545}"/>
    <cellStyle name="SAPLocked 2 17 11" xfId="2719" xr:uid="{1E613386-387E-4E10-A4AE-DA375DD52B28}"/>
    <cellStyle name="SAPLocked 2 17 12" xfId="2980" xr:uid="{BEB16C8E-3008-4452-8CC7-AF4019304E28}"/>
    <cellStyle name="SAPLocked 2 17 13" xfId="2000" xr:uid="{5B27DEA3-480B-4D87-B725-EE73D0E9EDF8}"/>
    <cellStyle name="SAPLocked 2 17 2" xfId="1021" xr:uid="{808D7537-03D8-44B7-9825-83B34AB12464}"/>
    <cellStyle name="SAPLocked 2 17 2 10" xfId="2832" xr:uid="{018139B1-DBEE-46C8-B514-AB32DB8B6380}"/>
    <cellStyle name="SAPLocked 2 17 2 11" xfId="2329" xr:uid="{EE6083DD-B911-423A-813A-D5613D04484A}"/>
    <cellStyle name="SAPLocked 2 17 2 12" xfId="3152" xr:uid="{83BDAD10-1009-4684-B65C-B746549E5AEA}"/>
    <cellStyle name="SAPLocked 2 17 2 2" xfId="573" xr:uid="{4ED26045-820B-4FE6-9E3E-2C329C29F1AD}"/>
    <cellStyle name="SAPLocked 2 17 2 3" xfId="761" xr:uid="{BE7A939B-AC09-4FBF-BE0A-B23D6FA93DA2}"/>
    <cellStyle name="SAPLocked 2 17 2 4" xfId="1403" xr:uid="{8EC2CB06-FD27-4D0F-AEDC-39FB54B88D61}"/>
    <cellStyle name="SAPLocked 2 17 2 5" xfId="1573" xr:uid="{70061226-F9DA-45A3-A52E-36ED73A3FF1C}"/>
    <cellStyle name="SAPLocked 2 17 2 6" xfId="1720" xr:uid="{290E0ADB-2F49-4F0E-A7BC-1A592040D8F9}"/>
    <cellStyle name="SAPLocked 2 17 2 7" xfId="2389" xr:uid="{04B7BED6-76FB-4FC5-AE8E-15D7C255DE7C}"/>
    <cellStyle name="SAPLocked 2 17 2 8" xfId="2511" xr:uid="{12BC65D4-58B1-471B-98A2-7CADB6246AA8}"/>
    <cellStyle name="SAPLocked 2 17 2 9" xfId="2152" xr:uid="{4ADAB6BD-0325-4318-89A7-0BCF193DD024}"/>
    <cellStyle name="SAPLocked 2 17 2_Jurisdictional Study" xfId="10729" xr:uid="{58B89C8C-CCA9-49E2-B59A-A90630064E6E}"/>
    <cellStyle name="SAPLocked 2 17 3" xfId="756" xr:uid="{7C51070D-1502-4E27-930F-A365819AC18D}"/>
    <cellStyle name="SAPLocked 2 17 4" xfId="731" xr:uid="{AB76E364-487C-450B-AAC3-71B88F3EF75B}"/>
    <cellStyle name="SAPLocked 2 17 5" xfId="1284" xr:uid="{6DC7AA39-A418-413F-AE3C-6632B0AF5130}"/>
    <cellStyle name="SAPLocked 2 17 6" xfId="618" xr:uid="{8D7B279A-743A-49DE-AE8F-06C1B12EB275}"/>
    <cellStyle name="SAPLocked 2 17 7" xfId="1621" xr:uid="{6ED0F709-BBD7-40A8-B936-C4E5F95A67DF}"/>
    <cellStyle name="SAPLocked 2 17 8" xfId="2262" xr:uid="{A8644C68-C06B-4E87-AD88-23D78EAEDDAE}"/>
    <cellStyle name="SAPLocked 2 17 9" xfId="2274" xr:uid="{EC4FE36E-D0E1-4E84-B58B-082969961108}"/>
    <cellStyle name="SAPLocked 2 17_Jurisdictional Study" xfId="10728" xr:uid="{B23734B1-892B-4A74-94EE-6FE73FBCB5CC}"/>
    <cellStyle name="SAPLocked 2 18" xfId="471" xr:uid="{02C70427-F9EF-4F4A-85F6-0F68DBC67732}"/>
    <cellStyle name="SAPLocked 2 18 10" xfId="2095" xr:uid="{5C0A213A-0C05-4D67-A592-2CB974B9B42B}"/>
    <cellStyle name="SAPLocked 2 18 11" xfId="2608" xr:uid="{3722177C-3C80-4C91-B79A-D05F7539DB6A}"/>
    <cellStyle name="SAPLocked 2 18 12" xfId="2341" xr:uid="{19C048B7-6F2B-4CA7-8736-23D4B7276363}"/>
    <cellStyle name="SAPLocked 2 18 13" xfId="3073" xr:uid="{1681130E-19C3-4FC8-B321-033D8DE79D8D}"/>
    <cellStyle name="SAPLocked 2 18 2" xfId="1022" xr:uid="{65670F01-44D9-48ED-A957-B78F16DCC6A4}"/>
    <cellStyle name="SAPLocked 2 18 2 10" xfId="2833" xr:uid="{E690B1BF-2297-4CE8-9AC6-C792766D0002}"/>
    <cellStyle name="SAPLocked 2 18 2 11" xfId="2970" xr:uid="{F7FF67E1-B87E-44F9-8DA2-3203230DE2FD}"/>
    <cellStyle name="SAPLocked 2 18 2 12" xfId="3153" xr:uid="{B504EBD5-CA46-4F85-B7EB-ECCFD3CD36CB}"/>
    <cellStyle name="SAPLocked 2 18 2 2" xfId="889" xr:uid="{E499F445-6297-4257-818F-EDC21D8A0F64}"/>
    <cellStyle name="SAPLocked 2 18 2 3" xfId="1052" xr:uid="{B05421B2-360F-4A50-978A-2E5AE9B5D3D5}"/>
    <cellStyle name="SAPLocked 2 18 2 4" xfId="1404" xr:uid="{3FD9D2EE-E7D6-4A3C-924A-3112BC726F24}"/>
    <cellStyle name="SAPLocked 2 18 2 5" xfId="1574" xr:uid="{9A753248-56B6-4566-A5DB-FCE28733C256}"/>
    <cellStyle name="SAPLocked 2 18 2 6" xfId="1721" xr:uid="{22FBDEDD-04CD-4A75-BE8F-0F23A0CB14E8}"/>
    <cellStyle name="SAPLocked 2 18 2 7" xfId="2390" xr:uid="{CCF4B4CF-7DED-4CDA-9754-DF94CCA53513}"/>
    <cellStyle name="SAPLocked 2 18 2 8" xfId="2512" xr:uid="{BE7D6480-E3F0-410D-AE6A-42C750FAF469}"/>
    <cellStyle name="SAPLocked 2 18 2 9" xfId="2616" xr:uid="{9B05F7A3-8DCE-4F47-940F-48B75777D7A3}"/>
    <cellStyle name="SAPLocked 2 18 2_Jurisdictional Study" xfId="10731" xr:uid="{8B40F077-8AB1-462A-BF53-274336F6B2DF}"/>
    <cellStyle name="SAPLocked 2 18 3" xfId="1050" xr:uid="{B193D312-EC08-4A00-BAC1-48C1D9F61CC7}"/>
    <cellStyle name="SAPLocked 2 18 4" xfId="1153" xr:uid="{59978BD3-EB4C-4719-8BED-FC23B51122F7}"/>
    <cellStyle name="SAPLocked 2 18 5" xfId="1285" xr:uid="{26431ED5-B0B9-4BFD-9507-A9AEE8C38C1E}"/>
    <cellStyle name="SAPLocked 2 18 6" xfId="732" xr:uid="{8CEB8515-0AC9-4ABD-8F42-156B401B2C8C}"/>
    <cellStyle name="SAPLocked 2 18 7" xfId="1622" xr:uid="{18CA1157-BCC7-4B58-9343-F068A878FDBD}"/>
    <cellStyle name="SAPLocked 2 18 8" xfId="2263" xr:uid="{56EA9A26-3E9A-461D-A089-B362994C21EB}"/>
    <cellStyle name="SAPLocked 2 18 9" xfId="2282" xr:uid="{E4015BFB-5269-4B15-ACFE-FE49BFF8B202}"/>
    <cellStyle name="SAPLocked 2 18_Jurisdictional Study" xfId="10730" xr:uid="{487AA52C-64C1-4C52-A2DD-ACE85B539EDE}"/>
    <cellStyle name="SAPLocked 2 19" xfId="472" xr:uid="{78D9E520-137A-4BDF-BC57-F4CCC6B2C773}"/>
    <cellStyle name="SAPLocked 2 19 10" xfId="1938" xr:uid="{967DB218-8466-4E71-86A7-FC970CEE42DD}"/>
    <cellStyle name="SAPLocked 2 19 11" xfId="2659" xr:uid="{58B3D7D1-CC10-40CC-8796-1DA60E00B7AA}"/>
    <cellStyle name="SAPLocked 2 19 12" xfId="2615" xr:uid="{7AEC5879-060E-41C5-8E79-F0BC4C82DE60}"/>
    <cellStyle name="SAPLocked 2 19 13" xfId="3000" xr:uid="{876431BF-3BB5-4534-9FBB-A0E15D9D78BA}"/>
    <cellStyle name="SAPLocked 2 19 2" xfId="1023" xr:uid="{FCB176C0-F8C7-4BD6-9DEE-64ECD32D4A6B}"/>
    <cellStyle name="SAPLocked 2 19 2 10" xfId="2834" xr:uid="{7246856A-21E0-4B19-BEC8-8E77860DECC6}"/>
    <cellStyle name="SAPLocked 2 19 2 11" xfId="1912" xr:uid="{378D0325-CE79-4C11-8434-96F75DB32FAA}"/>
    <cellStyle name="SAPLocked 2 19 2 12" xfId="3154" xr:uid="{77BFE9D7-B19B-49A0-9C58-E3AD97186DF8}"/>
    <cellStyle name="SAPLocked 2 19 2 2" xfId="845" xr:uid="{34E7219D-9198-4D38-97F2-CD593CE18F46}"/>
    <cellStyle name="SAPLocked 2 19 2 3" xfId="688" xr:uid="{EBE710AF-EE81-4442-81E7-4AA0C0B58BDC}"/>
    <cellStyle name="SAPLocked 2 19 2 4" xfId="1405" xr:uid="{EFA57AD1-C02D-479C-BDCB-198C43B4044E}"/>
    <cellStyle name="SAPLocked 2 19 2 5" xfId="1575" xr:uid="{5B7B4045-0C48-4DA3-B3B3-D6D8667294C2}"/>
    <cellStyle name="SAPLocked 2 19 2 6" xfId="1722" xr:uid="{1E6D6ADF-7DBF-4910-B74B-1A8545695F56}"/>
    <cellStyle name="SAPLocked 2 19 2 7" xfId="2391" xr:uid="{63607269-D531-4CF3-A760-3A1DB600C14C}"/>
    <cellStyle name="SAPLocked 2 19 2 8" xfId="2513" xr:uid="{C88DCD14-8AF4-4A72-9BE6-BE787A0484DC}"/>
    <cellStyle name="SAPLocked 2 19 2 9" xfId="1932" xr:uid="{B7207C6C-0DBE-4E1D-9E0B-B7B86BFDBA76}"/>
    <cellStyle name="SAPLocked 2 19 2_Jurisdictional Study" xfId="10733" xr:uid="{6F493BFC-DCFA-4187-B174-384D5B3DF546}"/>
    <cellStyle name="SAPLocked 2 19 3" xfId="1083" xr:uid="{DBB1B6B9-5964-4229-9CC4-7731693D2549}"/>
    <cellStyle name="SAPLocked 2 19 4" xfId="804" xr:uid="{4321BE8C-0580-4759-999E-46EF151B27DF}"/>
    <cellStyle name="SAPLocked 2 19 5" xfId="1286" xr:uid="{BDE6D112-B87E-41B0-8E37-709A7156BBC1}"/>
    <cellStyle name="SAPLocked 2 19 6" xfId="727" xr:uid="{7B5D8169-E808-4039-B9C0-5FBE721D9AD7}"/>
    <cellStyle name="SAPLocked 2 19 7" xfId="1623" xr:uid="{B50B1923-445D-4B1A-BAA0-535484F0CDFD}"/>
    <cellStyle name="SAPLocked 2 19 8" xfId="2264" xr:uid="{3BE83B2C-A94D-4C52-9E22-B4FDFFC25C17}"/>
    <cellStyle name="SAPLocked 2 19 9" xfId="1953" xr:uid="{0BC34892-0D81-4D7C-9E14-7E450C9850A3}"/>
    <cellStyle name="SAPLocked 2 19_Jurisdictional Study" xfId="10732" xr:uid="{F2E89DA6-AAEE-4B80-BBD3-4B2C557F506C}"/>
    <cellStyle name="SAPLocked 2 2" xfId="449" xr:uid="{87C2781A-BBF3-4DB7-AAC5-D3A9AA4A527B}"/>
    <cellStyle name="SAPLocked 2 2 10" xfId="2647" xr:uid="{DDEA3846-F021-49DC-9F32-9826EB428186}"/>
    <cellStyle name="SAPLocked 2 2 11" xfId="1915" xr:uid="{6CD5A0CC-2340-403F-8393-97FC851BACE7}"/>
    <cellStyle name="SAPLocked 2 2 12" xfId="2239" xr:uid="{F21377D1-063B-4259-AEF9-5E54F29A9EA5}"/>
    <cellStyle name="SAPLocked 2 2 13" xfId="3066" xr:uid="{BB6314E8-1447-456D-AC79-F2B363F84665}"/>
    <cellStyle name="SAPLocked 2 2 2" xfId="1001" xr:uid="{1C65B744-A0E3-4207-B6AA-F91606630431}"/>
    <cellStyle name="SAPLocked 2 2 2 10" xfId="2812" xr:uid="{4AF369A9-3EEF-40DC-B674-59B8A54A5C83}"/>
    <cellStyle name="SAPLocked 2 2 2 11" xfId="2401" xr:uid="{B2CB7310-1363-4F4E-B243-330B26029177}"/>
    <cellStyle name="SAPLocked 2 2 2 12" xfId="3132" xr:uid="{CE0091FF-6982-411B-B230-14DD350FE527}"/>
    <cellStyle name="SAPLocked 2 2 2 2" xfId="748" xr:uid="{127FBE3D-888F-4C44-9F29-BD6A71DBED63}"/>
    <cellStyle name="SAPLocked 2 2 2 3" xfId="892" xr:uid="{A4FA1CED-5BA8-433C-A39A-C19E3B1617A7}"/>
    <cellStyle name="SAPLocked 2 2 2 4" xfId="1383" xr:uid="{B427EF39-CA4F-4477-B2FE-3A8F9F89AEA4}"/>
    <cellStyle name="SAPLocked 2 2 2 5" xfId="1553" xr:uid="{FD52C671-7676-48FD-B754-E1C0C72B8100}"/>
    <cellStyle name="SAPLocked 2 2 2 6" xfId="1700" xr:uid="{A2624013-46B7-4AFF-B70C-30AF1961D65A}"/>
    <cellStyle name="SAPLocked 2 2 2 7" xfId="2369" xr:uid="{0E51BD2E-F340-48AB-94F6-9EF4EBD2CD76}"/>
    <cellStyle name="SAPLocked 2 2 2 8" xfId="2491" xr:uid="{0B4AFA84-5BE3-41FC-B3B3-A4587912E6B7}"/>
    <cellStyle name="SAPLocked 2 2 2 9" xfId="2148" xr:uid="{61908FA8-B458-4F15-9C3B-EA6AF8DE54B4}"/>
    <cellStyle name="SAPLocked 2 2 2_Jurisdictional Study" xfId="10735" xr:uid="{87B97373-8B3C-4630-9AA6-CE4339844214}"/>
    <cellStyle name="SAPLocked 2 2 3" xfId="543" xr:uid="{3A99CC15-DC1C-48BE-B597-021804EC5821}"/>
    <cellStyle name="SAPLocked 2 2 4" xfId="754" xr:uid="{22369BD3-7583-4110-9EAF-8A395A0AC012}"/>
    <cellStyle name="SAPLocked 2 2 5" xfId="1263" xr:uid="{913C64CD-5102-4ADD-AE6E-750BB43ACA39}"/>
    <cellStyle name="SAPLocked 2 2 6" xfId="698" xr:uid="{5E00DC75-1A5E-4C19-B30F-B5B4C53EFBCB}"/>
    <cellStyle name="SAPLocked 2 2 7" xfId="1600" xr:uid="{307C3DE0-334A-4DBC-9878-EC8C6C45911E}"/>
    <cellStyle name="SAPLocked 2 2 8" xfId="2241" xr:uid="{47C81F21-F54C-4158-ACD6-C4E05F6AB1FF}"/>
    <cellStyle name="SAPLocked 2 2 9" xfId="2016" xr:uid="{8012E251-35FF-4E88-B507-CA8C736D591A}"/>
    <cellStyle name="SAPLocked 2 2_Jurisdictional Study" xfId="10734" xr:uid="{DA383C38-7B55-42B6-A235-A8A653061013}"/>
    <cellStyle name="SAPLocked 2 20" xfId="473" xr:uid="{1D1260F0-908A-4C0C-BD05-1BD3EF5DBEB3}"/>
    <cellStyle name="SAPLocked 2 20 10" xfId="2002" xr:uid="{8BA61C63-1108-4207-8F90-7C4C50C03C15}"/>
    <cellStyle name="SAPLocked 2 20 11" xfId="2008" xr:uid="{1F1E8EFC-510F-4426-9430-D4CA9E47F5B8}"/>
    <cellStyle name="SAPLocked 2 20 12" xfId="2940" xr:uid="{854F46AA-A551-4BA1-9C50-8AB885F18910}"/>
    <cellStyle name="SAPLocked 2 20 13" xfId="3021" xr:uid="{66096807-DD1B-424A-874B-32362BEE2CDD}"/>
    <cellStyle name="SAPLocked 2 20 2" xfId="1024" xr:uid="{2F40578B-650D-442D-96F6-9E9AB49B28CB}"/>
    <cellStyle name="SAPLocked 2 20 2 10" xfId="2835" xr:uid="{10C71BA1-D0A2-409D-ABA1-56E1F4E7F00C}"/>
    <cellStyle name="SAPLocked 2 20 2 11" xfId="2730" xr:uid="{55BC8B50-15E9-423F-8127-575CA3436195}"/>
    <cellStyle name="SAPLocked 2 20 2 12" xfId="3155" xr:uid="{56551FFC-074E-4522-B8CF-36B143D063A7}"/>
    <cellStyle name="SAPLocked 2 20 2 2" xfId="867" xr:uid="{9D430834-13E1-42C6-ADB6-16DAFAEC4023}"/>
    <cellStyle name="SAPLocked 2 20 2 3" xfId="1073" xr:uid="{D0B06C98-32F3-4AB7-B65F-73BEC0E15924}"/>
    <cellStyle name="SAPLocked 2 20 2 4" xfId="1406" xr:uid="{18C12A0E-7C26-48C9-A62E-36DDE7BD31A3}"/>
    <cellStyle name="SAPLocked 2 20 2 5" xfId="1576" xr:uid="{F67FD3AE-BF62-4CF7-9234-CC1DF31EAD4F}"/>
    <cellStyle name="SAPLocked 2 20 2 6" xfId="1723" xr:uid="{9CC97418-F0C6-4517-8135-FB7CF9658DB6}"/>
    <cellStyle name="SAPLocked 2 20 2 7" xfId="2392" xr:uid="{06407ED7-454C-4913-90DC-83614B1FC6A5}"/>
    <cellStyle name="SAPLocked 2 20 2 8" xfId="2514" xr:uid="{F783D9E2-D112-4D1F-929D-BBD88CD18CA7}"/>
    <cellStyle name="SAPLocked 2 20 2 9" xfId="1864" xr:uid="{83B25A91-972F-42DC-B5E1-31658D93526A}"/>
    <cellStyle name="SAPLocked 2 20 2_Jurisdictional Study" xfId="10737" xr:uid="{56C4CF5E-F2AE-4D86-95E8-86484FB6FCD8}"/>
    <cellStyle name="SAPLocked 2 20 3" xfId="1031" xr:uid="{AF7A0B31-F938-420A-9AA3-2417167D66FA}"/>
    <cellStyle name="SAPLocked 2 20 4" xfId="1106" xr:uid="{343B0491-FC8D-40F1-9987-074EAE31BDD9}"/>
    <cellStyle name="SAPLocked 2 20 5" xfId="1287" xr:uid="{11B82AB6-70BA-43F4-8E06-6F2D21115926}"/>
    <cellStyle name="SAPLocked 2 20 6" xfId="671" xr:uid="{CD887C56-E4F7-4528-AE33-B6B6FCBE1D4D}"/>
    <cellStyle name="SAPLocked 2 20 7" xfId="1624" xr:uid="{5FB438DA-45D2-4DEF-B1AF-CE7E0349862C}"/>
    <cellStyle name="SAPLocked 2 20 8" xfId="2265" xr:uid="{1CA4BF29-E97F-48AD-934D-591CE34E1B84}"/>
    <cellStyle name="SAPLocked 2 20 9" xfId="2281" xr:uid="{54363A00-332C-4DE0-A92D-ADA33083EBB7}"/>
    <cellStyle name="SAPLocked 2 20_Jurisdictional Study" xfId="10736" xr:uid="{8749E7DA-C490-4F13-9B30-968FE28FB0F9}"/>
    <cellStyle name="SAPLocked 2 21" xfId="474" xr:uid="{785623ED-602D-4035-B120-63AFD6C8ABCB}"/>
    <cellStyle name="SAPLocked 2 21 10" xfId="2531" xr:uid="{9A65E4E8-9D50-4E13-859A-8A557E884741}"/>
    <cellStyle name="SAPLocked 2 21 11" xfId="2864" xr:uid="{439E3E76-2225-4EDD-8F0C-F3EFA430278A}"/>
    <cellStyle name="SAPLocked 2 21 12" xfId="2721" xr:uid="{2D8EC7FA-2DF3-4412-8EB7-386518BCAB9B}"/>
    <cellStyle name="SAPLocked 2 21 2" xfId="838" xr:uid="{84AFF5C7-11FC-4D66-9058-050B2429E11F}"/>
    <cellStyle name="SAPLocked 2 21 3" xfId="871" xr:uid="{F9969BF1-BF9F-400F-9072-8D789156EA11}"/>
    <cellStyle name="SAPLocked 2 21 4" xfId="1288" xr:uid="{026161E3-E74C-44CC-A764-9944AD3EA14F}"/>
    <cellStyle name="SAPLocked 2 21 5" xfId="880" xr:uid="{9CA09022-E46D-4443-A364-5CC238C999F6}"/>
    <cellStyle name="SAPLocked 2 21 6" xfId="1625" xr:uid="{013ABD89-26E9-4350-B846-0D9B081B999F}"/>
    <cellStyle name="SAPLocked 2 21 7" xfId="2266" xr:uid="{83E4428E-9507-4913-931D-5AE6E5F2F355}"/>
    <cellStyle name="SAPLocked 2 21 8" xfId="2071" xr:uid="{5F4BC190-6408-4DB1-B649-153625F7C557}"/>
    <cellStyle name="SAPLocked 2 21 9" xfId="2088" xr:uid="{8BD05E86-1A93-4541-AC41-D055E7EB54EB}"/>
    <cellStyle name="SAPLocked 2 21_Jurisdictional Study" xfId="10738" xr:uid="{DE42BADA-E6BF-407F-8D57-E3CB1F89B926}"/>
    <cellStyle name="SAPLocked 2 22" xfId="632" xr:uid="{B12C9229-218F-4E7B-A1B7-00E749325C74}"/>
    <cellStyle name="SAPLocked 2 23" xfId="1543" xr:uid="{0C5A1F80-0437-48D1-AC25-6CB8563F5514}"/>
    <cellStyle name="SAPLocked 2 24" xfId="2161" xr:uid="{0B3361D0-8ED7-43DB-ABD0-228F7080F8BD}"/>
    <cellStyle name="SAPLocked 2 25" xfId="2271" xr:uid="{4B3EEB6D-4B4D-42E6-8669-3A6085B71D05}"/>
    <cellStyle name="SAPLocked 2 26" xfId="2331" xr:uid="{BE85DF56-38EC-4567-AD65-0ECC86AA35CC}"/>
    <cellStyle name="SAPLocked 2 27" xfId="2125" xr:uid="{4C058EF4-5A15-46DE-AD2B-814EE6225D05}"/>
    <cellStyle name="SAPLocked 2 28" xfId="2657" xr:uid="{0E073A15-B7A9-41EC-8F06-905B093677EB}"/>
    <cellStyle name="SAPLocked 2 29" xfId="2853" xr:uid="{7B477D7C-44AE-4DA2-845B-369EB11416DA}"/>
    <cellStyle name="SAPLocked 2 3" xfId="451" xr:uid="{94F2AD25-9E6E-4524-9A6F-26AF2C2C3137}"/>
    <cellStyle name="SAPLocked 2 3 10" xfId="2688" xr:uid="{FB2AD0A2-70F7-4848-8793-E4B906204AC4}"/>
    <cellStyle name="SAPLocked 2 3 11" xfId="1914" xr:uid="{530BCE7B-146D-4F4D-BEE0-437F5AB0A7FD}"/>
    <cellStyle name="SAPLocked 2 3 12" xfId="1821" xr:uid="{0E740B2B-959D-4547-882B-6B39FCC21118}"/>
    <cellStyle name="SAPLocked 2 3 13" xfId="2117" xr:uid="{3875BE6A-E482-43FF-B541-683E9FB36765}"/>
    <cellStyle name="SAPLocked 2 3 2" xfId="1003" xr:uid="{EE0A4E54-46A0-4146-874D-3CC4FCCA5689}"/>
    <cellStyle name="SAPLocked 2 3 2 10" xfId="2814" xr:uid="{4338C266-83E8-4889-B275-7C2047EAD9ED}"/>
    <cellStyle name="SAPLocked 2 3 2 11" xfId="2479" xr:uid="{5A236498-2599-4167-BF22-A9EFE2027A01}"/>
    <cellStyle name="SAPLocked 2 3 2 12" xfId="3134" xr:uid="{BBA33910-CAB2-4895-8CD5-0D5B5AB6CEF8}"/>
    <cellStyle name="SAPLocked 2 3 2 2" xfId="562" xr:uid="{80C9E472-66C2-45BB-8179-1398F96D2B81}"/>
    <cellStyle name="SAPLocked 2 3 2 3" xfId="825" xr:uid="{AC6E5DF8-2C35-4A56-91D1-F783F81DB7EC}"/>
    <cellStyle name="SAPLocked 2 3 2 4" xfId="1385" xr:uid="{EBBA66F0-975D-4EB5-8E0E-9494724B81A7}"/>
    <cellStyle name="SAPLocked 2 3 2 5" xfId="1555" xr:uid="{818E23DC-2B0D-4676-BD58-856B4C44B095}"/>
    <cellStyle name="SAPLocked 2 3 2 6" xfId="1702" xr:uid="{B2020385-60C7-49AF-8E6E-6D6E4496C7A6}"/>
    <cellStyle name="SAPLocked 2 3 2 7" xfId="2371" xr:uid="{893326E7-B482-4166-899C-AC8A7059E022}"/>
    <cellStyle name="SAPLocked 2 3 2 8" xfId="2493" xr:uid="{82B62F72-6946-4FD9-B3F1-8933DCA3C97C}"/>
    <cellStyle name="SAPLocked 2 3 2 9" xfId="1724" xr:uid="{58815B4D-DC97-48E2-9BA8-DBD4DFEDA872}"/>
    <cellStyle name="SAPLocked 2 3 2_Jurisdictional Study" xfId="10740" xr:uid="{013EEDE3-ECA5-4947-A14D-E71EE845A9E1}"/>
    <cellStyle name="SAPLocked 2 3 3" xfId="680" xr:uid="{C1EB214B-538D-404C-9BDC-0E9E9E0A6A42}"/>
    <cellStyle name="SAPLocked 2 3 4" xfId="729" xr:uid="{47165B56-D5EA-48AD-91DE-8945BD9E3BD1}"/>
    <cellStyle name="SAPLocked 2 3 5" xfId="1265" xr:uid="{00CD98A1-03AD-4D9D-ABFC-93E0539F03EB}"/>
    <cellStyle name="SAPLocked 2 3 6" xfId="1262" xr:uid="{33D2A02F-A611-47D8-8B35-4BA24201EE62}"/>
    <cellStyle name="SAPLocked 2 3 7" xfId="1602" xr:uid="{F29DE53F-FCA2-4199-BEF9-E052F4659987}"/>
    <cellStyle name="SAPLocked 2 3 8" xfId="2243" xr:uid="{1B4127E0-7434-44B3-B882-7FEC67B6DC41}"/>
    <cellStyle name="SAPLocked 2 3 9" xfId="2041" xr:uid="{BF558F03-452F-40A6-AB02-1E720F2FAFB9}"/>
    <cellStyle name="SAPLocked 2 3_Jurisdictional Study" xfId="10739" xr:uid="{ADB4F6B3-7268-4F3A-AA97-9A12AAD2329D}"/>
    <cellStyle name="SAPLocked 2 30" xfId="1942" xr:uid="{9CE90D87-1E38-43B6-A5C2-2D334EA2BCD7}"/>
    <cellStyle name="SAPLocked 2 4" xfId="453" xr:uid="{14748E08-9D1C-4F53-90C2-394E2F1E8796}"/>
    <cellStyle name="SAPLocked 2 4 10" xfId="2638" xr:uid="{59A42B7A-605F-436D-8494-F91227439B67}"/>
    <cellStyle name="SAPLocked 2 4 11" xfId="1798" xr:uid="{08C22E3C-C106-4B6E-9789-B7C91CE33A4D}"/>
    <cellStyle name="SAPLocked 2 4 12" xfId="2861" xr:uid="{85B77106-3319-44B4-A225-CF4C55F91C4D}"/>
    <cellStyle name="SAPLocked 2 4 13" xfId="1991" xr:uid="{385BFC7A-BA70-4568-BFAB-F96B5BF581AB}"/>
    <cellStyle name="SAPLocked 2 4 2" xfId="1005" xr:uid="{5CA4CD6A-F496-490F-8FC1-BD277AD35390}"/>
    <cellStyle name="SAPLocked 2 4 2 10" xfId="2816" xr:uid="{FE1BFF9F-E5D8-4736-8922-519A08B0135E}"/>
    <cellStyle name="SAPLocked 2 4 2 11" xfId="2838" xr:uid="{BA3BA614-B25B-4B2C-A3DC-C6106E4A4389}"/>
    <cellStyle name="SAPLocked 2 4 2 12" xfId="3136" xr:uid="{F95E0156-765B-410C-B341-259F89C7889F}"/>
    <cellStyle name="SAPLocked 2 4 2 2" xfId="629" xr:uid="{E4AE7CB3-D216-44B2-85DC-30AEC3185D88}"/>
    <cellStyle name="SAPLocked 2 4 2 3" xfId="497" xr:uid="{026E0AE9-8B1A-4F35-9C96-4C17872C31B3}"/>
    <cellStyle name="SAPLocked 2 4 2 4" xfId="1387" xr:uid="{02A6F4BA-2DC1-4AEE-8DB5-E12A5867ACB7}"/>
    <cellStyle name="SAPLocked 2 4 2 5" xfId="1557" xr:uid="{28656799-6246-4BBE-A88D-28D5D7B965AC}"/>
    <cellStyle name="SAPLocked 2 4 2 6" xfId="1704" xr:uid="{8F1F27C5-0DBA-4894-B4A4-B34D080F66A2}"/>
    <cellStyle name="SAPLocked 2 4 2 7" xfId="2373" xr:uid="{D45F84FA-50EB-4F85-BD45-44490219AB35}"/>
    <cellStyle name="SAPLocked 2 4 2 8" xfId="2495" xr:uid="{3BAA0FB6-AE2E-4135-AD19-9EE1060445DB}"/>
    <cellStyle name="SAPLocked 2 4 2 9" xfId="1974" xr:uid="{41A65B70-BB06-4B4E-9A36-DEF52FCB45AC}"/>
    <cellStyle name="SAPLocked 2 4 2_Jurisdictional Study" xfId="10742" xr:uid="{6340118F-F256-4679-88A5-FEDC20786038}"/>
    <cellStyle name="SAPLocked 2 4 3" xfId="898" xr:uid="{C26516E4-2591-43D4-94E0-E910485AD171}"/>
    <cellStyle name="SAPLocked 2 4 4" xfId="783" xr:uid="{AEC826D9-3ADE-4D5A-815F-1E34E0F3D01F}"/>
    <cellStyle name="SAPLocked 2 4 5" xfId="1267" xr:uid="{BF3708BD-1694-4F2A-8B65-C0BAD8324900}"/>
    <cellStyle name="SAPLocked 2 4 6" xfId="1465" xr:uid="{3BE63E8E-4A69-4019-847C-9686B14E4A0F}"/>
    <cellStyle name="SAPLocked 2 4 7" xfId="1604" xr:uid="{891B82C3-C024-4152-B962-4BFC2DF45663}"/>
    <cellStyle name="SAPLocked 2 4 8" xfId="2245" xr:uid="{D61CD257-037A-4A6E-9F6B-7AFA8F6C4777}"/>
    <cellStyle name="SAPLocked 2 4 9" xfId="2043" xr:uid="{976ECA65-C232-4DEA-9506-08EE26FD50CE}"/>
    <cellStyle name="SAPLocked 2 4_Jurisdictional Study" xfId="10741" xr:uid="{08AE00B3-1F98-4AC7-9B67-5310592E1854}"/>
    <cellStyle name="SAPLocked 2 5" xfId="455" xr:uid="{90856775-0A3E-46DB-AE49-0683D98BA7C8}"/>
    <cellStyle name="SAPLocked 2 5 10" xfId="2667" xr:uid="{9E8EC480-BF51-4A26-9177-3CFBB2B4EAEB}"/>
    <cellStyle name="SAPLocked 2 5 11" xfId="1861" xr:uid="{ADB2C4E9-AA94-44A7-B415-75F7B2AF673A}"/>
    <cellStyle name="SAPLocked 2 5 12" xfId="2890" xr:uid="{E7003F50-47A4-47F8-8729-BAA4CBE76C12}"/>
    <cellStyle name="SAPLocked 2 5 13" xfId="1749" xr:uid="{897F909F-E441-4746-8AE8-BB9C937A602E}"/>
    <cellStyle name="SAPLocked 2 5 2" xfId="1007" xr:uid="{1B9006A7-8F2B-4B5E-86AB-DB1813DCFC15}"/>
    <cellStyle name="SAPLocked 2 5 2 10" xfId="2818" xr:uid="{292AF84F-C704-4219-B2B8-D5EAE3CB18D5}"/>
    <cellStyle name="SAPLocked 2 5 2 11" xfId="2840" xr:uid="{EF045B9B-DEB6-45C2-B2C4-A441A8BEC08E}"/>
    <cellStyle name="SAPLocked 2 5 2 12" xfId="3138" xr:uid="{A1ACD736-114F-472A-ADD9-27E2D1ADC0F5}"/>
    <cellStyle name="SAPLocked 2 5 2 2" xfId="758" xr:uid="{3640E693-FDD9-4A54-A6C5-351F2388B390}"/>
    <cellStyle name="SAPLocked 2 5 2 3" xfId="832" xr:uid="{9A1868C9-A6D8-4AEB-AF6F-4A910EDCE80F}"/>
    <cellStyle name="SAPLocked 2 5 2 4" xfId="1389" xr:uid="{5D476D18-9410-4839-AEEF-17D0FF3FDBD2}"/>
    <cellStyle name="SAPLocked 2 5 2 5" xfId="1559" xr:uid="{7D2C01E9-88B9-4FAC-BB58-BFF1040971BC}"/>
    <cellStyle name="SAPLocked 2 5 2 6" xfId="1706" xr:uid="{E65E566B-4DFA-47C8-8DC8-43D2CA9F8E7D}"/>
    <cellStyle name="SAPLocked 2 5 2 7" xfId="2375" xr:uid="{E635089F-504A-4E0F-9125-63A5595BF266}"/>
    <cellStyle name="SAPLocked 2 5 2 8" xfId="2497" xr:uid="{D32D27A1-FC79-4400-BB43-198EE848EEAF}"/>
    <cellStyle name="SAPLocked 2 5 2 9" xfId="2094" xr:uid="{A3021997-C05E-4922-96FE-E2897959EE98}"/>
    <cellStyle name="SAPLocked 2 5 2_Jurisdictional Study" xfId="10744" xr:uid="{B8EAE07C-8818-4748-95BF-9ABD98CF4BDF}"/>
    <cellStyle name="SAPLocked 2 5 3" xfId="1045" xr:uid="{D2B13F97-D1B5-465E-ADDB-7879BAEC6B11}"/>
    <cellStyle name="SAPLocked 2 5 4" xfId="1120" xr:uid="{71876373-D113-41D4-957E-316835915F75}"/>
    <cellStyle name="SAPLocked 2 5 5" xfId="1269" xr:uid="{8C9CC5C9-FBE6-444F-B8DE-EDA030712A1A}"/>
    <cellStyle name="SAPLocked 2 5 6" xfId="910" xr:uid="{D624E576-8260-4EE9-B756-12D579F1E96A}"/>
    <cellStyle name="SAPLocked 2 5 7" xfId="1606" xr:uid="{F52761C2-D148-4770-A5BF-AAC47B5EA3B6}"/>
    <cellStyle name="SAPLocked 2 5 8" xfId="2247" xr:uid="{E116B9C3-396B-4E6A-8E3B-984DEA33B5F2}"/>
    <cellStyle name="SAPLocked 2 5 9" xfId="1733" xr:uid="{93415CAF-A07F-4FBD-89A8-E2BEDF505D7C}"/>
    <cellStyle name="SAPLocked 2 5_Jurisdictional Study" xfId="10743" xr:uid="{B1598011-1901-4D08-8E8C-4B4859D61540}"/>
    <cellStyle name="SAPLocked 2 6" xfId="457" xr:uid="{9DA438B9-5497-4AB4-A494-8D30C3D2CF06}"/>
    <cellStyle name="SAPLocked 2 6 10" xfId="2654" xr:uid="{DDB5F2F4-7889-4182-BCBB-6010018438BB}"/>
    <cellStyle name="SAPLocked 2 6 11" xfId="1860" xr:uid="{BFBB2BB2-7E61-4501-A06B-63B1CE281574}"/>
    <cellStyle name="SAPLocked 2 6 12" xfId="2555" xr:uid="{C38B1533-D29C-4173-AB52-5379E0FE1271}"/>
    <cellStyle name="SAPLocked 2 6 13" xfId="3098" xr:uid="{2EA84712-4567-44AC-970E-56B56DD2E36C}"/>
    <cellStyle name="SAPLocked 2 6 2" xfId="1009" xr:uid="{CAFC21A2-3A9F-4845-9FC5-6101271ED135}"/>
    <cellStyle name="SAPLocked 2 6 2 10" xfId="2820" xr:uid="{4EB01AF6-24FD-4337-BCD1-44DE7FC3E5E7}"/>
    <cellStyle name="SAPLocked 2 6 2 11" xfId="2913" xr:uid="{6B9ADEB7-0DA0-4F49-9266-32F167996D96}"/>
    <cellStyle name="SAPLocked 2 6 2 12" xfId="3140" xr:uid="{6257E9DC-B94A-4A41-9472-17EB1B3B50ED}"/>
    <cellStyle name="SAPLocked 2 6 2 2" xfId="846" xr:uid="{86553901-7AAB-49B9-842A-9FB8C1569B84}"/>
    <cellStyle name="SAPLocked 2 6 2 3" xfId="840" xr:uid="{D026BF6A-14D8-4922-A246-8A1B92E8D155}"/>
    <cellStyle name="SAPLocked 2 6 2 4" xfId="1391" xr:uid="{F4A23E00-7163-4AC3-A729-58DA610DA578}"/>
    <cellStyle name="SAPLocked 2 6 2 5" xfId="1561" xr:uid="{D547E3D6-017E-459B-98D8-16089444F43B}"/>
    <cellStyle name="SAPLocked 2 6 2 6" xfId="1708" xr:uid="{BB19ECB9-89E1-4FE3-83E0-395A224077C0}"/>
    <cellStyle name="SAPLocked 2 6 2 7" xfId="2377" xr:uid="{F603E14E-2C26-4F8B-BA2F-5466C021080F}"/>
    <cellStyle name="SAPLocked 2 6 2 8" xfId="2499" xr:uid="{FBA4DBB9-4CFE-46F2-BFE7-B8972FC35449}"/>
    <cellStyle name="SAPLocked 2 6 2 9" xfId="2611" xr:uid="{E6F04662-43DB-4776-8780-3134EC289CDD}"/>
    <cellStyle name="SAPLocked 2 6 2_Jurisdictional Study" xfId="10746" xr:uid="{FF755EF5-5F0E-4C95-BC8E-AD0C7832FBA1}"/>
    <cellStyle name="SAPLocked 2 6 3" xfId="750" xr:uid="{64779F06-1C2F-4AEA-876D-592306EB86CF}"/>
    <cellStyle name="SAPLocked 2 6 4" xfId="636" xr:uid="{756AF079-F1C6-451A-8782-822BF65173E7}"/>
    <cellStyle name="SAPLocked 2 6 5" xfId="1271" xr:uid="{FE54497A-232C-4412-9591-66DC9F46E13F}"/>
    <cellStyle name="SAPLocked 2 6 6" xfId="1445" xr:uid="{FAEAC0CB-C467-4300-9FA1-D09E36259A4C}"/>
    <cellStyle name="SAPLocked 2 6 7" xfId="1608" xr:uid="{05FC2C4E-A885-473A-BBFC-75A464570E3D}"/>
    <cellStyle name="SAPLocked 2 6 8" xfId="2249" xr:uid="{6928A581-5FF0-4A4A-B2BC-73ED1234357B}"/>
    <cellStyle name="SAPLocked 2 6 9" xfId="1867" xr:uid="{9F48097B-85B9-4CE0-B0F6-952D5FA9E8D2}"/>
    <cellStyle name="SAPLocked 2 6_Jurisdictional Study" xfId="10745" xr:uid="{C58BC66B-A99F-488E-B82E-751C5C73219C}"/>
    <cellStyle name="SAPLocked 2 7" xfId="459" xr:uid="{4F7B0677-C35F-4C79-892F-2B9EE763F0B6}"/>
    <cellStyle name="SAPLocked 2 7 10" xfId="2684" xr:uid="{87C4D486-A73F-4455-A63E-A7C23F271ABD}"/>
    <cellStyle name="SAPLocked 2 7 11" xfId="1859" xr:uid="{6FB073E5-D883-4C81-B4DF-663C60AC92A4}"/>
    <cellStyle name="SAPLocked 2 7 12" xfId="1810" xr:uid="{2EAD7663-F286-40E6-A266-E9CBFEA903DB}"/>
    <cellStyle name="SAPLocked 2 7 13" xfId="2673" xr:uid="{ABD455A7-630E-4402-8A29-7A6E55C43DA4}"/>
    <cellStyle name="SAPLocked 2 7 2" xfId="1011" xr:uid="{F5853C87-E732-4FCD-88FF-F1B9A9F0CB32}"/>
    <cellStyle name="SAPLocked 2 7 2 10" xfId="2822" xr:uid="{DC1C872A-353C-405A-9230-3D9F0AFCD8BA}"/>
    <cellStyle name="SAPLocked 2 7 2 11" xfId="2930" xr:uid="{5F0B6353-C8EE-4A88-8BFE-F9CDACCA8814}"/>
    <cellStyle name="SAPLocked 2 7 2 12" xfId="3142" xr:uid="{900B5980-EAC0-4BBC-9922-FD9748330797}"/>
    <cellStyle name="SAPLocked 2 7 2 2" xfId="713" xr:uid="{45A70BEB-56C7-48FA-AB61-35FA91E31F3B}"/>
    <cellStyle name="SAPLocked 2 7 2 3" xfId="1082" xr:uid="{D66E6D04-4EDB-419F-89EA-A2F2D6B3641A}"/>
    <cellStyle name="SAPLocked 2 7 2 4" xfId="1393" xr:uid="{3F94E31B-2D23-4888-9A8A-3909BF8C972F}"/>
    <cellStyle name="SAPLocked 2 7 2 5" xfId="1563" xr:uid="{E7CEF078-2F22-4A03-9938-BA933320CD31}"/>
    <cellStyle name="SAPLocked 2 7 2 6" xfId="1710" xr:uid="{5523922B-7EFD-4471-B708-76C8A35E5F3C}"/>
    <cellStyle name="SAPLocked 2 7 2 7" xfId="2379" xr:uid="{9A697FB5-9EA4-478F-98AE-8B8C650B76C3}"/>
    <cellStyle name="SAPLocked 2 7 2 8" xfId="2501" xr:uid="{1A166C58-648F-4699-8DF7-CB1D85720FE3}"/>
    <cellStyle name="SAPLocked 2 7 2 9" xfId="1843" xr:uid="{574C1788-F310-445E-BFD0-C1837BCCE099}"/>
    <cellStyle name="SAPLocked 2 7 2_Jurisdictional Study" xfId="10748" xr:uid="{4FC599CB-970D-41A3-A12E-1610DDD0DAD1}"/>
    <cellStyle name="SAPLocked 2 7 3" xfId="868" xr:uid="{5563BF21-6503-474C-BB58-AC6D2CD96CB7}"/>
    <cellStyle name="SAPLocked 2 7 4" xfId="809" xr:uid="{DDC00F27-9717-40A6-BF19-B27449D1EECF}"/>
    <cellStyle name="SAPLocked 2 7 5" xfId="1273" xr:uid="{28AF7D4E-0C4A-488D-9750-1FD792259654}"/>
    <cellStyle name="SAPLocked 2 7 6" xfId="495" xr:uid="{D7DB545D-048E-442A-B48F-1169FF9757AC}"/>
    <cellStyle name="SAPLocked 2 7 7" xfId="1610" xr:uid="{11C22565-44B8-4123-9891-E2E4F3F10153}"/>
    <cellStyle name="SAPLocked 2 7 8" xfId="2251" xr:uid="{3A0FBA53-B4B6-4C83-A503-CAD86702AC7B}"/>
    <cellStyle name="SAPLocked 2 7 9" xfId="1884" xr:uid="{B0F4D60B-26BA-44C7-AE3B-C41D743D5DD6}"/>
    <cellStyle name="SAPLocked 2 7_Jurisdictional Study" xfId="10747" xr:uid="{AB71B910-CB42-4B40-8DC9-787349DB5672}"/>
    <cellStyle name="SAPLocked 2 8" xfId="461" xr:uid="{1F3CCDB2-6C64-47D8-90E7-FEB0F5F4D32E}"/>
    <cellStyle name="SAPLocked 2 8 10" xfId="2650" xr:uid="{0060EE74-4D8A-4427-AF3B-E92E35291AF9}"/>
    <cellStyle name="SAPLocked 2 8 11" xfId="1858" xr:uid="{C391F9E1-EF78-4997-8CD4-555DEBEE5799}"/>
    <cellStyle name="SAPLocked 2 8 12" xfId="2839" xr:uid="{C447A803-8953-463B-9898-722BA40A10BD}"/>
    <cellStyle name="SAPLocked 2 8 13" xfId="1750" xr:uid="{0FC5AED0-D7FE-40D3-8960-378ABC8556D9}"/>
    <cellStyle name="SAPLocked 2 8 2" xfId="1012" xr:uid="{8B908F38-3165-4243-9000-6C69F4DF473B}"/>
    <cellStyle name="SAPLocked 2 8 2 10" xfId="2823" xr:uid="{0AD0A5C8-9254-4F20-8A94-26DE29B843C2}"/>
    <cellStyle name="SAPLocked 2 8 2 11" xfId="2653" xr:uid="{179F5E8E-6950-4D03-AB3B-5C9AF9604872}"/>
    <cellStyle name="SAPLocked 2 8 2 12" xfId="3143" xr:uid="{CB9E6F20-43B5-4557-A9AE-E9A6DFB173CB}"/>
    <cellStyle name="SAPLocked 2 8 2 2" xfId="850" xr:uid="{96A5AA50-F091-4D32-8544-7B38C8DCD2CD}"/>
    <cellStyle name="SAPLocked 2 8 2 3" xfId="524" xr:uid="{888E512B-7BFE-41DD-A09A-6BF133F06DEF}"/>
    <cellStyle name="SAPLocked 2 8 2 4" xfId="1394" xr:uid="{333CFF09-4D7F-4755-A772-DA2EAD3987CE}"/>
    <cellStyle name="SAPLocked 2 8 2 5" xfId="1564" xr:uid="{B60EFD14-6119-402A-ABF9-AE9DCCB1DCFF}"/>
    <cellStyle name="SAPLocked 2 8 2 6" xfId="1711" xr:uid="{3CA1A66D-9976-4BD3-9B51-65CB9F881860}"/>
    <cellStyle name="SAPLocked 2 8 2 7" xfId="2380" xr:uid="{08912011-9CBF-43D6-9A07-924E803247E6}"/>
    <cellStyle name="SAPLocked 2 8 2 8" xfId="2502" xr:uid="{3F2AF360-5348-4F73-B590-24E8F5ACBB3B}"/>
    <cellStyle name="SAPLocked 2 8 2 9" xfId="2620" xr:uid="{2AEED98A-4842-4A5F-8096-FA1DC3465CF6}"/>
    <cellStyle name="SAPLocked 2 8 2_Jurisdictional Study" xfId="10750" xr:uid="{9361DEDE-64DC-40FE-B8D3-3CFDB162702B}"/>
    <cellStyle name="SAPLocked 2 8 3" xfId="733" xr:uid="{391DAEE8-69D6-461B-B18C-4C4BA4478A0B}"/>
    <cellStyle name="SAPLocked 2 8 4" xfId="1058" xr:uid="{4C18F5ED-D4EE-4DD5-939D-03EBBAAACFB9}"/>
    <cellStyle name="SAPLocked 2 8 5" xfId="1275" xr:uid="{088257E0-AC48-4EFA-823A-F137991D5FC0}"/>
    <cellStyle name="SAPLocked 2 8 6" xfId="1129" xr:uid="{24E92BB6-08D3-494C-9B6F-3B26D28407DA}"/>
    <cellStyle name="SAPLocked 2 8 7" xfId="1612" xr:uid="{B9415C0F-C030-4A0A-B9D1-2B8F402A4599}"/>
    <cellStyle name="SAPLocked 2 8 8" xfId="2253" xr:uid="{C67EDAA8-243F-4DA3-BAD9-8D15F9298C02}"/>
    <cellStyle name="SAPLocked 2 8 9" xfId="1841" xr:uid="{5CEEB24B-96B7-4979-AB88-E32B665DB9C0}"/>
    <cellStyle name="SAPLocked 2 8_Jurisdictional Study" xfId="10749" xr:uid="{3AFBE6B7-B67E-46D1-9085-8BB0760BAFE8}"/>
    <cellStyle name="SAPLocked 2 9" xfId="462" xr:uid="{DDBD544C-8183-474A-A745-4A91660AD8FE}"/>
    <cellStyle name="SAPLocked 2 9 10" xfId="2540" xr:uid="{B5163609-C5C4-42BC-91E5-E809D847F58B}"/>
    <cellStyle name="SAPLocked 2 9 11" xfId="2716" xr:uid="{C71052A2-2851-4070-8DCA-4A921363DD7D}"/>
    <cellStyle name="SAPLocked 2 9 12" xfId="2869" xr:uid="{C08BF68B-9F95-4BE7-AB15-31EEB8B8C203}"/>
    <cellStyle name="SAPLocked 2 9 13" xfId="2557" xr:uid="{C89A6BF5-D125-443A-A0F3-E7F19BDC96EC}"/>
    <cellStyle name="SAPLocked 2 9 2" xfId="1013" xr:uid="{238F31CE-FB36-478F-BE85-001E6949990B}"/>
    <cellStyle name="SAPLocked 2 9 2 10" xfId="2824" xr:uid="{1A22AF60-C82E-4578-850E-311C9F2DF609}"/>
    <cellStyle name="SAPLocked 2 9 2 11" xfId="2984" xr:uid="{63DC513C-43D1-4D98-BB84-0775210EEA59}"/>
    <cellStyle name="SAPLocked 2 9 2 12" xfId="3144" xr:uid="{A3767011-5BAA-406E-B3FE-653E1ECDF9C2}"/>
    <cellStyle name="SAPLocked 2 9 2 2" xfId="919" xr:uid="{84BCD13C-B569-48F5-87A4-74B73801CA13}"/>
    <cellStyle name="SAPLocked 2 9 2 3" xfId="1071" xr:uid="{176EF668-2604-4454-BCE9-630D95239C04}"/>
    <cellStyle name="SAPLocked 2 9 2 4" xfId="1395" xr:uid="{57310DBF-0264-498E-A7F4-5DB14ECB8757}"/>
    <cellStyle name="SAPLocked 2 9 2 5" xfId="1565" xr:uid="{8F0EA2B4-653F-44DE-9867-D05966CB8FE0}"/>
    <cellStyle name="SAPLocked 2 9 2 6" xfId="1712" xr:uid="{BB02F47C-02F1-4399-9382-19C7150AD7D1}"/>
    <cellStyle name="SAPLocked 2 9 2 7" xfId="2381" xr:uid="{13DE768F-6001-4342-9961-8741057CDA2E}"/>
    <cellStyle name="SAPLocked 2 9 2 8" xfId="2503" xr:uid="{27995FD5-C76A-47A3-AE48-6972BEB1B02E}"/>
    <cellStyle name="SAPLocked 2 9 2 9" xfId="1846" xr:uid="{D4EC7D93-6C6C-40C5-85B4-7081C31ED0DF}"/>
    <cellStyle name="SAPLocked 2 9 2_Jurisdictional Study" xfId="10752" xr:uid="{5AD06BBD-661C-4BFA-B19B-A05B79B65716}"/>
    <cellStyle name="SAPLocked 2 9 3" xfId="478" xr:uid="{6EFE49A4-BBF7-49BA-8C98-D36A8CB19DB2}"/>
    <cellStyle name="SAPLocked 2 9 4" xfId="759" xr:uid="{3DCE08B4-1A8E-464A-BFB9-115F83DA9D77}"/>
    <cellStyle name="SAPLocked 2 9 5" xfId="1276" xr:uid="{CDDC323D-873C-48EB-8A91-4CCA103CED99}"/>
    <cellStyle name="SAPLocked 2 9 6" xfId="1461" xr:uid="{1EF162C0-F30A-49F3-8C13-23869107FF72}"/>
    <cellStyle name="SAPLocked 2 9 7" xfId="1613" xr:uid="{1B391710-BAE6-417E-ADCF-1ABC486EDCE1}"/>
    <cellStyle name="SAPLocked 2 9 8" xfId="2254" xr:uid="{1A76B54A-C765-44E6-90A7-A8B83AA43B6B}"/>
    <cellStyle name="SAPLocked 2 9 9" xfId="2275" xr:uid="{DF35DDF7-EC40-47B2-AD24-39F98BB95D8D}"/>
    <cellStyle name="SAPLocked 2 9_Jurisdictional Study" xfId="10751" xr:uid="{506E2122-482B-4940-9219-4ABFECD2FC43}"/>
    <cellStyle name="SAPLocked 2_Jurisdictional Study" xfId="10713" xr:uid="{DA06F705-A25B-4029-B241-E40AFCB8DAE3}"/>
    <cellStyle name="SAPLocked 20" xfId="427" xr:uid="{50DCB6F5-069A-4575-934E-273C9EC47B60}"/>
    <cellStyle name="SAPLocked 20 10" xfId="2572" xr:uid="{05C631BF-710F-48CB-AE65-94714B15DF21}"/>
    <cellStyle name="SAPLocked 20 11" xfId="2672" xr:uid="{1BF1DD46-2E26-480A-BACD-D8DD6BA1A74B}"/>
    <cellStyle name="SAPLocked 20 12" xfId="2202" xr:uid="{EDBC9B91-EC1D-44C5-BA45-0E2A80F73F4F}"/>
    <cellStyle name="SAPLocked 20 13" xfId="1973" xr:uid="{9DC6F083-07F1-42A7-AA7B-4A3A131F37FF}"/>
    <cellStyle name="SAPLocked 20 2" xfId="982" xr:uid="{0754E50E-B241-4973-B048-EA4064BC896C}"/>
    <cellStyle name="SAPLocked 20 2 10" xfId="2795" xr:uid="{DCE274F2-DEE9-468B-B4B4-BE88C3EF1F51}"/>
    <cellStyle name="SAPLocked 20 2 11" xfId="2969" xr:uid="{FC2078F9-DFD8-40BB-8450-91BECDEBD104}"/>
    <cellStyle name="SAPLocked 20 2 12" xfId="1768" xr:uid="{C50C936E-0C94-4F74-859A-D55CA92AAB8D}"/>
    <cellStyle name="SAPLocked 20 2 2" xfId="563" xr:uid="{2242B9D6-5E26-4B21-A846-0ABC9BF45F22}"/>
    <cellStyle name="SAPLocked 20 2 3" xfId="835" xr:uid="{5469F403-9649-4640-9542-AEDFA9CFDBF3}"/>
    <cellStyle name="SAPLocked 20 2 4" xfId="1365" xr:uid="{FD4FFC02-FFD6-46EF-BCFA-3F9FF255CFA6}"/>
    <cellStyle name="SAPLocked 20 2 5" xfId="558" xr:uid="{DF4CD4AB-E2B9-495E-BCA2-C92F0F454DFD}"/>
    <cellStyle name="SAPLocked 20 2 6" xfId="1684" xr:uid="{4D991613-BAD5-4BDF-B519-EBDDF25B25D9}"/>
    <cellStyle name="SAPLocked 20 2 7" xfId="2352" xr:uid="{8F29BE01-78F3-4815-A674-88E78C26E858}"/>
    <cellStyle name="SAPLocked 20 2 8" xfId="2472" xr:uid="{3449FAD2-FC8F-4D7A-B0CA-C9BD5FDFD6DC}"/>
    <cellStyle name="SAPLocked 20 2 9" xfId="2656" xr:uid="{CBD8C886-0F0A-4078-984D-655AA2479E02}"/>
    <cellStyle name="SAPLocked 20 2_Jurisdictional Study" xfId="10754" xr:uid="{09B3CFE3-B443-4AE1-9072-48D2F5541922}"/>
    <cellStyle name="SAPLocked 20 3" xfId="794" xr:uid="{76919E26-D215-4FA8-BEB0-096DB1632D07}"/>
    <cellStyle name="SAPLocked 20 4" xfId="658" xr:uid="{EFFB0359-06E1-4ECE-91CE-3CD7E68F3A29}"/>
    <cellStyle name="SAPLocked 20 5" xfId="1242" xr:uid="{A6E1FC96-5083-40B4-A4A3-50647457D091}"/>
    <cellStyle name="SAPLocked 20 6" xfId="1534" xr:uid="{7FA88152-C817-4759-99B4-9F057860C85B}"/>
    <cellStyle name="SAPLocked 20 7" xfId="1583" xr:uid="{376E9476-0C57-4665-8F8D-02226A04C4AA}"/>
    <cellStyle name="SAPLocked 20 8" xfId="2223" xr:uid="{4C0F35A5-ABAA-49A2-AC75-4A419D2D8793}"/>
    <cellStyle name="SAPLocked 20 9" xfId="2232" xr:uid="{6BB3BE07-2675-4C07-9807-9546285453BB}"/>
    <cellStyle name="SAPLocked 20_Jurisdictional Study" xfId="10753" xr:uid="{E76839B0-ACF3-4CEA-A01B-F4796E3508BE}"/>
    <cellStyle name="SAPLocked 21" xfId="390" xr:uid="{531E7664-EAC9-41E2-AFBB-4BAA185B300B}"/>
    <cellStyle name="SAPLocked 21 10" xfId="2680" xr:uid="{04649AC2-D872-48D2-B231-434957450D8B}"/>
    <cellStyle name="SAPLocked 21 11" xfId="2655" xr:uid="{89AAFE5C-A91C-4A58-A5CE-FED3E8859542}"/>
    <cellStyle name="SAPLocked 21 12" xfId="1737" xr:uid="{6F4AD76A-CB31-48C9-97AF-420B7A53EAE4}"/>
    <cellStyle name="SAPLocked 21 13" xfId="1819" xr:uid="{CF5BF40B-9F2D-4089-9CB3-0ABE1728B88D}"/>
    <cellStyle name="SAPLocked 21 2" xfId="947" xr:uid="{61637A61-06D3-4DDE-BB74-10B58BDCE51C}"/>
    <cellStyle name="SAPLocked 21 2 10" xfId="2760" xr:uid="{E76F5D90-67BD-484C-814B-3E4BB06DCD64}"/>
    <cellStyle name="SAPLocked 21 2 11" xfId="2279" xr:uid="{137EC1BA-3727-4AD0-AB8B-335B6345F23E}"/>
    <cellStyle name="SAPLocked 21 2 12" xfId="2218" xr:uid="{1C2061D4-1177-4EF0-8F2F-285232923289}"/>
    <cellStyle name="SAPLocked 21 2 2" xfId="769" xr:uid="{D2CD85FC-84B3-401C-A5D9-74B4F553C256}"/>
    <cellStyle name="SAPLocked 21 2 3" xfId="535" xr:uid="{DCB88CD1-A4ED-435E-BD94-816F4A5DB88F}"/>
    <cellStyle name="SAPLocked 21 2 4" xfId="1330" xr:uid="{8765EAE5-14DA-4795-BF66-B22C95876A38}"/>
    <cellStyle name="SAPLocked 21 2 5" xfId="567" xr:uid="{61128646-CF86-4B5D-851B-E6D12A9B0FEB}"/>
    <cellStyle name="SAPLocked 21 2 6" xfId="1649" xr:uid="{542AABA1-8687-4BE7-A16F-6C075ABCD6F0}"/>
    <cellStyle name="SAPLocked 21 2 7" xfId="2318" xr:uid="{131944F5-BAC6-41EB-85FA-58453EF8C8E0}"/>
    <cellStyle name="SAPLocked 21 2 8" xfId="2437" xr:uid="{E2E81F35-EB01-4012-8166-60FDD5A4CBE9}"/>
    <cellStyle name="SAPLocked 21 2 9" xfId="2686" xr:uid="{4DD5B280-ACA8-4AE2-99BD-9EC91A247417}"/>
    <cellStyle name="SAPLocked 21 2_Jurisdictional Study" xfId="10756" xr:uid="{F4400CCF-5C8E-4D30-B9FA-55EBDC6401DA}"/>
    <cellStyle name="SAPLocked 21 3" xfId="1075" xr:uid="{A14EAB33-95D3-4732-BE3C-BD2F2713D7F0}"/>
    <cellStyle name="SAPLocked 21 4" xfId="1148" xr:uid="{402147F8-4838-4188-B06E-9EFCD8F36B9A}"/>
    <cellStyle name="SAPLocked 21 5" xfId="1205" xr:uid="{BD9CA28F-A983-43EB-9812-78FA7E68E530}"/>
    <cellStyle name="SAPLocked 21 6" xfId="1473" xr:uid="{CBF2BB4C-6230-444B-BF0D-A0D08EB40B95}"/>
    <cellStyle name="SAPLocked 21 7" xfId="1182" xr:uid="{E05557BB-E6F3-467C-BBC7-984B272E02CD}"/>
    <cellStyle name="SAPLocked 21 8" xfId="2191" xr:uid="{05F35E49-9D28-407E-AF89-2C79D565DB49}"/>
    <cellStyle name="SAPLocked 21 9" xfId="2070" xr:uid="{6BF5B856-034A-410D-AE1E-6AD29601FCA9}"/>
    <cellStyle name="SAPLocked 21_Jurisdictional Study" xfId="10755" xr:uid="{22B3C1CA-B232-44C2-8B7D-3E63B433987A}"/>
    <cellStyle name="SAPLocked 22" xfId="419" xr:uid="{4EEAC33B-044C-4EDD-9B22-6EE2417BD643}"/>
    <cellStyle name="SAPLocked 22 10" xfId="1806" xr:uid="{8768ACE2-6402-4C9E-808F-C3AD1410F0E2}"/>
    <cellStyle name="SAPLocked 22 11" xfId="2896" xr:uid="{44962313-916E-4AC2-A75E-EE4C85F36B1B}"/>
    <cellStyle name="SAPLocked 22 12" xfId="2062" xr:uid="{3BC0452C-3C84-41CF-8314-DA4C19A4A20A}"/>
    <cellStyle name="SAPLocked 22 2" xfId="628" xr:uid="{51F7CC69-27CB-4695-BCDE-03ADB1EAD9D0}"/>
    <cellStyle name="SAPLocked 22 3" xfId="913" xr:uid="{E4254587-8835-4588-B933-ABEED695D8BF}"/>
    <cellStyle name="SAPLocked 22 4" xfId="1234" xr:uid="{794B8CAE-ACB0-43EF-9ABE-6684B98C5CB0}"/>
    <cellStyle name="SAPLocked 22 5" xfId="685" xr:uid="{39F45476-E99A-46D2-B465-B58DF52F20EF}"/>
    <cellStyle name="SAPLocked 22 6" xfId="1483" xr:uid="{5CF004CC-8985-4936-96C7-0D43F7EC85EA}"/>
    <cellStyle name="SAPLocked 22 7" xfId="2216" xr:uid="{8FAF228D-A014-4723-B042-6698FFFF6429}"/>
    <cellStyle name="SAPLocked 22 8" xfId="1840" xr:uid="{587DA0E2-35B4-46EA-933C-D9F04102382B}"/>
    <cellStyle name="SAPLocked 22 9" xfId="2515" xr:uid="{FFDABCE3-07FF-466E-A02D-5930E6FF654F}"/>
    <cellStyle name="SAPLocked 22_Jurisdictional Study" xfId="10757" xr:uid="{877D764C-E3EF-485C-B1CC-FF2BED1B7C48}"/>
    <cellStyle name="SAPLocked 23" xfId="686" xr:uid="{30A02833-A262-4698-AD20-E89E253A8B38}"/>
    <cellStyle name="SAPLocked 24" xfId="1442" xr:uid="{9BD05E02-C316-48DE-892D-CEBD6BA40194}"/>
    <cellStyle name="SAPLocked 25" xfId="1844" xr:uid="{DD28DF78-D07E-4014-88B0-EA52586B9885}"/>
    <cellStyle name="SAPLocked 26" xfId="1999" xr:uid="{B0DA1758-B33C-4CEE-91A0-CCD896707309}"/>
    <cellStyle name="SAPLocked 27" xfId="1788" xr:uid="{5BECAFDD-8454-4BF0-B575-1288851B16BC}"/>
    <cellStyle name="SAPLocked 28" xfId="2594" xr:uid="{9A935324-E86D-400B-8F3D-99EF96A0ED19}"/>
    <cellStyle name="SAPLocked 29" xfId="2192" xr:uid="{491BEE16-0A5E-46B1-B1B9-95ED7E045996}"/>
    <cellStyle name="SAPLocked 3" xfId="383" xr:uid="{C8865A9A-68AB-4590-9216-C5376FCA06D1}"/>
    <cellStyle name="SAPLocked 3 10" xfId="1828" xr:uid="{A09180A1-6C7C-43AD-8AF2-44EE79269787}"/>
    <cellStyle name="SAPLocked 3 11" xfId="2551" xr:uid="{64F2BD39-AF94-4A96-BE2B-E6D3DF987640}"/>
    <cellStyle name="SAPLocked 3 12" xfId="2964" xr:uid="{1511CD33-2830-4FAD-A5A6-2D8CA7CE8FCF}"/>
    <cellStyle name="SAPLocked 3 13" xfId="3046" xr:uid="{70A12777-2DA1-4FB0-9AFF-09E930EAAFED}"/>
    <cellStyle name="SAPLocked 3 2" xfId="940" xr:uid="{D241FEDC-DA8C-4C03-B5C5-B15C3ECBDC88}"/>
    <cellStyle name="SAPLocked 3 2 10" xfId="2753" xr:uid="{2ADD9442-AB6C-4243-A9C2-FA1E60FFB1C1}"/>
    <cellStyle name="SAPLocked 3 2 11" xfId="2979" xr:uid="{5B21A207-3F1A-4E29-A27A-269D220DEEAB}"/>
    <cellStyle name="SAPLocked 3 2 12" xfId="2335" xr:uid="{5386A376-0222-4D9B-90DF-8737DAD8634F}"/>
    <cellStyle name="SAPLocked 3 2 2" xfId="553" xr:uid="{46AD1471-B01B-43B8-981F-7F585C49FDBA}"/>
    <cellStyle name="SAPLocked 3 2 3" xfId="517" xr:uid="{ADB880E4-3B71-4090-8D3D-56760671CECD}"/>
    <cellStyle name="SAPLocked 3 2 4" xfId="1323" xr:uid="{15F7A897-833C-4C32-A5D9-E1B1D4848381}"/>
    <cellStyle name="SAPLocked 3 2 5" xfId="526" xr:uid="{46CE769C-914F-4986-B4AB-EA3C86DB85C7}"/>
    <cellStyle name="SAPLocked 3 2 6" xfId="1642" xr:uid="{5315197D-A2F7-45C0-AD11-1F4F14669F1A}"/>
    <cellStyle name="SAPLocked 3 2 7" xfId="2311" xr:uid="{E59DD6FF-7E58-4FF7-BF3A-60BC49739E1F}"/>
    <cellStyle name="SAPLocked 3 2 8" xfId="2430" xr:uid="{EF0E6284-F774-42C3-8228-E2C52369F553}"/>
    <cellStyle name="SAPLocked 3 2 9" xfId="2394" xr:uid="{4AF52B07-E517-410D-B59C-53614290AEEF}"/>
    <cellStyle name="SAPLocked 3 2_Jurisdictional Study" xfId="10759" xr:uid="{39B789BF-CA5A-4502-A8F8-8FDA79F4C996}"/>
    <cellStyle name="SAPLocked 3 3" xfId="1074" xr:uid="{7626C332-1F12-4199-B601-8B5AFFB32469}"/>
    <cellStyle name="SAPLocked 3 4" xfId="1146" xr:uid="{EAD91343-D8D8-4C6F-AB19-8B310A2A5432}"/>
    <cellStyle name="SAPLocked 3 5" xfId="1198" xr:uid="{6A3FFACE-10E7-46A5-BA22-57038A6F4F6E}"/>
    <cellStyle name="SAPLocked 3 6" xfId="1416" xr:uid="{30EC99DE-F84A-4237-8888-1330FEDB5DBF}"/>
    <cellStyle name="SAPLocked 3 7" xfId="493" xr:uid="{04D15F1C-9DE4-456C-81EE-2116A2672651}"/>
    <cellStyle name="SAPLocked 3 8" xfId="2185" xr:uid="{163F20E5-F3AB-427A-B7B3-5165156C465E}"/>
    <cellStyle name="SAPLocked 3 9" xfId="1838" xr:uid="{842CBD81-C39B-42A5-8878-FC10A5BAAD5A}"/>
    <cellStyle name="SAPLocked 3_Jurisdictional Study" xfId="10758" xr:uid="{229577DD-CC21-47FB-96C2-3603441A4D69}"/>
    <cellStyle name="SAPLocked 30" xfId="1759" xr:uid="{EA4EB6FF-7579-4EA2-A76F-8A76ED50AE8F}"/>
    <cellStyle name="SAPLocked 31" xfId="1775" xr:uid="{D09AF96E-8E0A-4FDC-B772-E2AE7DF71765}"/>
    <cellStyle name="SAPLocked 4" xfId="424" xr:uid="{ABF77C96-0246-469C-8BEF-2E4ECFE5277C}"/>
    <cellStyle name="SAPLocked 4 10" xfId="2642" xr:uid="{EDD817F0-C114-4AAF-A9BF-8AFC06C3DFF4}"/>
    <cellStyle name="SAPLocked 4 11" xfId="1848" xr:uid="{2966BC34-0890-4A5A-88CC-7E112C4C3F82}"/>
    <cellStyle name="SAPLocked 4 12" xfId="2871" xr:uid="{907317F6-D36D-481B-BF4C-12D7F36295CE}"/>
    <cellStyle name="SAPLocked 4 13" xfId="3093" xr:uid="{5ABD59DC-6DC0-459F-854D-298AC5756FC7}"/>
    <cellStyle name="SAPLocked 4 2" xfId="979" xr:uid="{5107A919-2C0C-49FD-9F91-DFEA9162191D}"/>
    <cellStyle name="SAPLocked 4 2 10" xfId="2792" xr:uid="{C1CF0101-C430-417E-9195-1C377C07520E}"/>
    <cellStyle name="SAPLocked 4 2 11" xfId="2626" xr:uid="{C29FD9F7-5734-42D0-AF63-44E14912B845}"/>
    <cellStyle name="SAPLocked 4 2 12" xfId="3059" xr:uid="{FAAD1D88-212D-497D-AC5F-958D0AB3F90D}"/>
    <cellStyle name="SAPLocked 4 2 2" xfId="646" xr:uid="{569D99DD-DDB3-415C-A8A5-FDAAE51D8DF2}"/>
    <cellStyle name="SAPLocked 4 2 3" xfId="739" xr:uid="{AE813A04-CE16-4B1D-A700-0F47DF9499D5}"/>
    <cellStyle name="SAPLocked 4 2 4" xfId="1362" xr:uid="{EB4180B3-FA8E-4EE5-B5BB-92C895D486C0}"/>
    <cellStyle name="SAPLocked 4 2 5" xfId="483" xr:uid="{E9058005-1A82-4BCB-AAEB-F8646C8806D2}"/>
    <cellStyle name="SAPLocked 4 2 6" xfId="1681" xr:uid="{1801A57C-C374-424D-AFB2-7DF89BF682D1}"/>
    <cellStyle name="SAPLocked 4 2 7" xfId="2349" xr:uid="{D2E53509-33E5-417B-8A15-18462547720B}"/>
    <cellStyle name="SAPLocked 4 2 8" xfId="2469" xr:uid="{B1A53573-BBC0-4F40-AB7A-DFBCA162E1D9}"/>
    <cellStyle name="SAPLocked 4 2 9" xfId="2549" xr:uid="{C7CC0C95-5DB4-49DA-A794-AEB6423D26E2}"/>
    <cellStyle name="SAPLocked 4 2_Jurisdictional Study" xfId="10761" xr:uid="{4CD5ED35-C8B9-4C82-BAD1-EEA7A423BE96}"/>
    <cellStyle name="SAPLocked 4 3" xfId="666" xr:uid="{481AD8FA-E1AE-4FAE-B098-BB77B8E22E4D}"/>
    <cellStyle name="SAPLocked 4 4" xfId="817" xr:uid="{AF4F82A0-9032-41CF-BFAE-136A3B9BCF5B}"/>
    <cellStyle name="SAPLocked 4 5" xfId="1239" xr:uid="{C4FCC3F3-A1FC-4122-96BA-A9B4E69C5F85}"/>
    <cellStyle name="SAPLocked 4 6" xfId="1382" xr:uid="{CF99B137-87C6-4A5A-8986-8896DFC3F42E}"/>
    <cellStyle name="SAPLocked 4 7" xfId="1580" xr:uid="{B3A259B2-A92D-4202-9708-D3D14C4631A0}"/>
    <cellStyle name="SAPLocked 4 8" xfId="2220" xr:uid="{E259DEED-DA6A-4EC3-900E-A640958CAC43}"/>
    <cellStyle name="SAPLocked 4 9" xfId="2370" xr:uid="{B86DC157-0259-486E-ABFE-E31E41818CBF}"/>
    <cellStyle name="SAPLocked 4_Jurisdictional Study" xfId="10760" xr:uid="{F5139DC1-4458-4D8A-8C49-EBF235108869}"/>
    <cellStyle name="SAPLocked 5" xfId="393" xr:uid="{A6C18679-3D2F-43EC-955A-681F88F8F89E}"/>
    <cellStyle name="SAPLocked 5 10" xfId="1830" xr:uid="{BCD5039F-ADA3-40C2-B2FA-2DE7F5BC25E9}"/>
    <cellStyle name="SAPLocked 5 11" xfId="2529" xr:uid="{8DF9C250-8A69-4483-B9C3-6E57E87DA711}"/>
    <cellStyle name="SAPLocked 5 12" xfId="2957" xr:uid="{6B5B69BC-5CFC-4A96-9AA0-22F897AB9BF1}"/>
    <cellStyle name="SAPLocked 5 13" xfId="1752" xr:uid="{48B6BCC8-3309-418E-B0AD-C7F08B6CA47D}"/>
    <cellStyle name="SAPLocked 5 2" xfId="950" xr:uid="{19C33F30-40B0-42AE-9FDA-5AEF923C4C5D}"/>
    <cellStyle name="SAPLocked 5 2 10" xfId="2763" xr:uid="{976FDA00-7F88-43BB-BBCC-B210FF845629}"/>
    <cellStyle name="SAPLocked 5 2 11" xfId="2899" xr:uid="{3BCFE67E-923B-4C44-B205-6B7EA97E2730}"/>
    <cellStyle name="SAPLocked 5 2 12" xfId="1898" xr:uid="{84CA7B65-6114-4B88-9944-5075C6A49896}"/>
    <cellStyle name="SAPLocked 5 2 2" xfId="710" xr:uid="{C8FF217C-AF81-42E6-9ADB-FD339F0EF3B1}"/>
    <cellStyle name="SAPLocked 5 2 3" xfId="697" xr:uid="{B8750299-065E-4107-A454-2592694D094F}"/>
    <cellStyle name="SAPLocked 5 2 4" xfId="1333" xr:uid="{3F0BA378-9CFF-4DA0-BB56-5B693C7522D9}"/>
    <cellStyle name="SAPLocked 5 2 5" xfId="689" xr:uid="{7CE652E7-ADEA-4995-9D71-CA54686DBD8A}"/>
    <cellStyle name="SAPLocked 5 2 6" xfId="1652" xr:uid="{A75B64C5-F790-43E6-A8D2-F319656F9C88}"/>
    <cellStyle name="SAPLocked 5 2 7" xfId="2321" xr:uid="{4DF3D5F8-73BE-4213-9084-3F7E3E5D3B41}"/>
    <cellStyle name="SAPLocked 5 2 8" xfId="2440" xr:uid="{9AB2C0FC-A32E-4457-9D6C-121C84755B4E}"/>
    <cellStyle name="SAPLocked 5 2 9" xfId="2536" xr:uid="{28F230A9-DB1B-48D9-904B-354CC5927684}"/>
    <cellStyle name="SAPLocked 5 2_Jurisdictional Study" xfId="10763" xr:uid="{79938C4B-A6A4-426B-8855-AEC89DB7F917}"/>
    <cellStyle name="SAPLocked 5 3" xfId="775" xr:uid="{CDCD0671-CE3B-4ABA-8B4B-84A506BE8288}"/>
    <cellStyle name="SAPLocked 5 4" xfId="598" xr:uid="{B02FA4D8-8C8E-4D3D-909E-314AA74EFEF9}"/>
    <cellStyle name="SAPLocked 5 5" xfId="1208" xr:uid="{8784330B-4D14-4303-8377-1B7F96A785D7}"/>
    <cellStyle name="SAPLocked 5 6" xfId="746" xr:uid="{930D43C4-270C-458C-AD67-20B3DD69749F}"/>
    <cellStyle name="SAPLocked 5 7" xfId="1512" xr:uid="{9D957157-E680-423D-B40C-17E2343B9474}"/>
    <cellStyle name="SAPLocked 5 8" xfId="2194" xr:uid="{A8DDDD13-E7EC-4738-8183-2DB592CE26EE}"/>
    <cellStyle name="SAPLocked 5 9" xfId="1936" xr:uid="{288A88CD-28FD-4E0B-8071-682C160DF306}"/>
    <cellStyle name="SAPLocked 5_Jurisdictional Study" xfId="10762" xr:uid="{1FC1BB0C-1CCA-4D31-A487-B5F7EFAF5731}"/>
    <cellStyle name="SAPLocked 6" xfId="439" xr:uid="{4BACD179-28C6-42C7-8773-EEE3FD126BC2}"/>
    <cellStyle name="SAPLocked 6 10" xfId="2644" xr:uid="{79A34414-8F75-4657-9B51-E6E5AB0F7286}"/>
    <cellStyle name="SAPLocked 6 11" xfId="2582" xr:uid="{0CFF334A-27D7-43F1-9B52-E393C739C5E1}"/>
    <cellStyle name="SAPLocked 6 12" xfId="2851" xr:uid="{B315628F-EB47-4926-B31B-2FF11ED40D22}"/>
    <cellStyle name="SAPLocked 6 13" xfId="3015" xr:uid="{BDD12FD2-5D42-4829-B444-F131D1B4C6AB}"/>
    <cellStyle name="SAPLocked 6 2" xfId="992" xr:uid="{6AD2252E-DCD5-4866-BD04-62D8FA955D2C}"/>
    <cellStyle name="SAPLocked 6 2 10" xfId="2803" xr:uid="{18D60A36-DCAD-4719-B29E-D7153BE04EE9}"/>
    <cellStyle name="SAPLocked 6 2 11" xfId="2737" xr:uid="{C804A6B9-3E53-4A38-AA0C-16D190770348}"/>
    <cellStyle name="SAPLocked 6 2 12" xfId="3124" xr:uid="{AFCCBFD0-9514-472C-B3AD-E8041AEFBE08}"/>
    <cellStyle name="SAPLocked 6 2 2" xfId="545" xr:uid="{C47718FD-84B3-484D-8920-86C6D282D574}"/>
    <cellStyle name="SAPLocked 6 2 3" xfId="777" xr:uid="{40A3EB97-5F52-47C5-82E3-C1702DB3CAA7}"/>
    <cellStyle name="SAPLocked 6 2 4" xfId="1374" xr:uid="{77CCD313-72C6-4E6F-83CD-7D9CC11F72A3}"/>
    <cellStyle name="SAPLocked 6 2 5" xfId="1545" xr:uid="{9640CDA9-6C11-47DB-8723-6122246EF4A2}"/>
    <cellStyle name="SAPLocked 6 2 6" xfId="1692" xr:uid="{7DE50D65-5816-460C-92A3-2F66305C4841}"/>
    <cellStyle name="SAPLocked 6 2 7" xfId="2361" xr:uid="{0806219A-1783-43CA-83B5-2356B86D7C04}"/>
    <cellStyle name="SAPLocked 6 2 8" xfId="2481" xr:uid="{FA6DAF31-0CBB-4181-9B64-18841ABCA6EC}"/>
    <cellStyle name="SAPLocked 6 2 9" xfId="1959" xr:uid="{41F9B4B9-8FCD-4224-BB67-4AE4436739ED}"/>
    <cellStyle name="SAPLocked 6 2_Jurisdictional Study" xfId="10765" xr:uid="{5F5C188D-2A9B-4E57-B8AD-73018D634D51}"/>
    <cellStyle name="SAPLocked 6 3" xfId="859" xr:uid="{33D4888D-A4A6-462C-A3FD-B84B4B0A3B37}"/>
    <cellStyle name="SAPLocked 6 4" xfId="1102" xr:uid="{B6E49FC5-50AC-4246-8367-15DB07667F3C}"/>
    <cellStyle name="SAPLocked 6 5" xfId="1253" xr:uid="{7EB84435-DA29-4882-85CA-F9AE5AB98F4E}"/>
    <cellStyle name="SAPLocked 6 6" xfId="1470" xr:uid="{C2AE2C4C-C9AC-430C-847D-778A1F5AC1F6}"/>
    <cellStyle name="SAPLocked 6 7" xfId="1592" xr:uid="{263FDE29-51E7-47E3-ADCF-7AFB3E5AFB74}"/>
    <cellStyle name="SAPLocked 6 8" xfId="2234" xr:uid="{AAD1262A-ECF9-4D0E-A790-37D09B36F3DC}"/>
    <cellStyle name="SAPLocked 6 9" xfId="2196" xr:uid="{A6CA66F2-E939-4273-A3C5-70975A2BB6F0}"/>
    <cellStyle name="SAPLocked 6_Jurisdictional Study" xfId="10764" xr:uid="{196DDC9C-534F-47EB-9D44-C87C9F77AC09}"/>
    <cellStyle name="SAPLocked 7" xfId="398" xr:uid="{934DA12E-C51B-4368-80A7-0EFE6740021E}"/>
    <cellStyle name="SAPLocked 7 10" xfId="1820" xr:uid="{3AB99DEA-5C5A-4626-AB21-4106C8415A3E}"/>
    <cellStyle name="SAPLocked 7 11" xfId="2269" xr:uid="{F109D2A8-2986-4DD0-B456-7D7772073F76}"/>
    <cellStyle name="SAPLocked 7 12" xfId="2885" xr:uid="{D4C1228D-15BE-4071-A6A6-A53B09D4655F}"/>
    <cellStyle name="SAPLocked 7 13" xfId="3033" xr:uid="{A2ACCC2E-5823-4A3F-9D71-9D6AC1BAE3E6}"/>
    <cellStyle name="SAPLocked 7 2" xfId="954" xr:uid="{8569A2C0-09B1-404C-8D16-D750AB797E93}"/>
    <cellStyle name="SAPLocked 7 2 10" xfId="2767" xr:uid="{1B9589E3-35F3-4944-9D70-979A6848905E}"/>
    <cellStyle name="SAPLocked 7 2 11" xfId="2171" xr:uid="{593223F3-8F3E-4BB0-8048-B05B2A583057}"/>
    <cellStyle name="SAPLocked 7 2 12" xfId="2563" xr:uid="{6941FCEB-F585-4A71-9A7A-BE5FBFDE3612}"/>
    <cellStyle name="SAPLocked 7 2 2" xfId="1060" xr:uid="{5E2C6F3A-79ED-4BC3-8580-18715E1DA04E}"/>
    <cellStyle name="SAPLocked 7 2 3" xfId="1133" xr:uid="{B5DD0970-968E-4ADA-ABC4-27AEF87301C5}"/>
    <cellStyle name="SAPLocked 7 2 4" xfId="1337" xr:uid="{9A5F5537-EFA7-4A44-BDD5-3ACED978FEE5}"/>
    <cellStyle name="SAPLocked 7 2 5" xfId="1152" xr:uid="{636BC04E-C9C7-4E1B-B7A0-4862275D2B80}"/>
    <cellStyle name="SAPLocked 7 2 6" xfId="1656" xr:uid="{381CA8EC-DEB6-48FE-82E6-B1823CE7A0D6}"/>
    <cellStyle name="SAPLocked 7 2 7" xfId="2325" xr:uid="{60875517-17DD-4E16-9133-36D014329B91}"/>
    <cellStyle name="SAPLocked 7 2 8" xfId="2444" xr:uid="{43AF3A43-8367-46FF-BF69-51F0887ED4D9}"/>
    <cellStyle name="SAPLocked 7 2 9" xfId="2527" xr:uid="{2C0B9E43-5D94-4FC4-976C-9B810C244A7B}"/>
    <cellStyle name="SAPLocked 7 2_Jurisdictional Study" xfId="10767" xr:uid="{5271D575-4DF5-4081-914D-47CD07649B25}"/>
    <cellStyle name="SAPLocked 7 3" xfId="1072" xr:uid="{57987FFB-9271-4AEB-B120-E38435529154}"/>
    <cellStyle name="SAPLocked 7 4" xfId="1069" xr:uid="{1F92ABE2-3C32-4534-B1C9-B1C8536060B7}"/>
    <cellStyle name="SAPLocked 7 5" xfId="1213" xr:uid="{75A63A9D-03B2-4548-ACEA-F4AE9B50619C}"/>
    <cellStyle name="SAPLocked 7 6" xfId="1477" xr:uid="{B22E2A1F-19C0-4C38-B119-2204B4516F47}"/>
    <cellStyle name="SAPLocked 7 7" xfId="820" xr:uid="{CFE273E8-E56F-4A51-9B27-324956BBBAB0}"/>
    <cellStyle name="SAPLocked 7 8" xfId="2199" xr:uid="{00B48CB8-5B9E-417A-8CB4-97515D53E886}"/>
    <cellStyle name="SAPLocked 7 9" xfId="2101" xr:uid="{9987B49D-5869-4AE3-AD2F-DFAE9E5BEE1D}"/>
    <cellStyle name="SAPLocked 7_Jurisdictional Study" xfId="10766" xr:uid="{E8CFBC31-BD1C-4B35-8AC6-68A5B87AD72B}"/>
    <cellStyle name="SAPLocked 8" xfId="414" xr:uid="{BA6B26D0-AF7E-4EA8-944C-0D012CDCDE27}"/>
    <cellStyle name="SAPLocked 8 10" xfId="2624" xr:uid="{CAA1FB2F-64C5-45CC-8F6D-B287ED532525}"/>
    <cellStyle name="SAPLocked 8 11" xfId="2621" xr:uid="{36569723-9436-48AE-9F20-F735A4B531BC}"/>
    <cellStyle name="SAPLocked 8 12" xfId="2539" xr:uid="{0C879661-14F3-457B-8228-F7B19B285439}"/>
    <cellStyle name="SAPLocked 8 13" xfId="2651" xr:uid="{95D817F2-DBDF-470E-9B19-5A0BDB19932D}"/>
    <cellStyle name="SAPLocked 8 2" xfId="970" xr:uid="{D130FD56-3590-4DC5-B9E8-0CA943AF5685}"/>
    <cellStyle name="SAPLocked 8 2 10" xfId="2783" xr:uid="{D39F8B33-F936-4074-80E9-35E256E3D3A5}"/>
    <cellStyle name="SAPLocked 8 2 11" xfId="2409" xr:uid="{D9452C16-3550-41C8-8CE8-B0904A10A036}"/>
    <cellStyle name="SAPLocked 8 2 12" xfId="3029" xr:uid="{13A9FC81-F993-4CF9-922E-7BE75AED3FD5}"/>
    <cellStyle name="SAPLocked 8 2 2" xfId="907" xr:uid="{115C13E0-36FF-45BE-85FB-3521CD0743A6}"/>
    <cellStyle name="SAPLocked 8 2 3" xfId="653" xr:uid="{E9C105D3-65D7-4478-99EF-638F63134EE8}"/>
    <cellStyle name="SAPLocked 8 2 4" xfId="1353" xr:uid="{33653E4C-4B2E-4E16-9DE6-25AC3DBBE5BE}"/>
    <cellStyle name="SAPLocked 8 2 5" xfId="614" xr:uid="{BEF3DC38-E713-484E-B04E-7801BDD014F4}"/>
    <cellStyle name="SAPLocked 8 2 6" xfId="1672" xr:uid="{29A9AF72-392C-4C62-B9B4-455DE3C0C04E}"/>
    <cellStyle name="SAPLocked 8 2 7" xfId="2340" xr:uid="{ACA6BED9-DA53-4030-A88F-E0DCAF00D837}"/>
    <cellStyle name="SAPLocked 8 2 8" xfId="2460" xr:uid="{AC650357-C667-43DE-A131-98464D590F3C}"/>
    <cellStyle name="SAPLocked 8 2 9" xfId="2696" xr:uid="{6E95D664-A8FB-4C4E-9BF3-F08E23FC13EF}"/>
    <cellStyle name="SAPLocked 8 2_Jurisdictional Study" xfId="10769" xr:uid="{6082AE03-96B4-4EDB-A8F5-2817DDF521F0}"/>
    <cellStyle name="SAPLocked 8 3" xfId="597" xr:uid="{D278135D-C720-412B-BF51-DB9A6D14D9C1}"/>
    <cellStyle name="SAPLocked 8 4" xfId="870" xr:uid="{E97B4BE4-759B-4DBD-B3CC-A81870C9D69C}"/>
    <cellStyle name="SAPLocked 8 5" xfId="1229" xr:uid="{E8AC3BCA-4F64-4CA1-A591-3A446FBED713}"/>
    <cellStyle name="SAPLocked 8 6" xfId="595" xr:uid="{57F8200C-040B-43A9-8282-B9FB15E54678}"/>
    <cellStyle name="SAPLocked 8 7" xfId="798" xr:uid="{DDAE5575-3661-4610-B542-013E60030B81}"/>
    <cellStyle name="SAPLocked 8 8" xfId="2211" xr:uid="{335F2716-D7A2-4105-A0DA-3601D6D9F20E}"/>
    <cellStyle name="SAPLocked 8 9" xfId="2378" xr:uid="{E28C9743-48F8-4BC3-A593-AB341AAF06A9}"/>
    <cellStyle name="SAPLocked 8_Jurisdictional Study" xfId="10768" xr:uid="{71681D75-3269-4F9D-A9C8-FDBA7811222A}"/>
    <cellStyle name="SAPLocked 9" xfId="378" xr:uid="{0C1BED5E-438B-4339-B195-D419AE75E980}"/>
    <cellStyle name="SAPLocked 9 10" xfId="2217" xr:uid="{2A83705A-C97A-462B-9EF1-CE9994F06E46}"/>
    <cellStyle name="SAPLocked 9 11" xfId="2627" xr:uid="{0B6BD929-0458-4A2E-BF9C-4DD9E7F1B18A}"/>
    <cellStyle name="SAPLocked 9 12" xfId="2704" xr:uid="{34A87A12-4BCA-4B4F-81FF-88F31E0296C5}"/>
    <cellStyle name="SAPLocked 9 13" xfId="2975" xr:uid="{D5FE080C-FCC9-480A-8399-5ACC97DA4902}"/>
    <cellStyle name="SAPLocked 9 2" xfId="935" xr:uid="{A3D7BEA6-4DE6-495B-B3AA-169F325A26E7}"/>
    <cellStyle name="SAPLocked 9 2 10" xfId="2748" xr:uid="{CFA2111B-93D0-4C3A-9F2E-93E549BD33BF}"/>
    <cellStyle name="SAPLocked 9 2 11" xfId="2280" xr:uid="{6C8E3FF1-112B-44A5-85B4-325A6C5E6A80}"/>
    <cellStyle name="SAPLocked 9 2 12" xfId="2569" xr:uid="{4D481454-170E-4CF1-8288-771565854025}"/>
    <cellStyle name="SAPLocked 9 2 2" xfId="521" xr:uid="{8345D455-0786-4229-A476-7E860BF49652}"/>
    <cellStyle name="SAPLocked 9 2 3" xfId="651" xr:uid="{B588DD36-AD93-4D6F-8FF3-FE3A84142B62}"/>
    <cellStyle name="SAPLocked 9 2 4" xfId="1318" xr:uid="{BF6601EF-A981-4C80-8EE5-389946BCF2A3}"/>
    <cellStyle name="SAPLocked 9 2 5" xfId="1414" xr:uid="{797230D6-3519-4EDA-BDE9-D884B29D5AAB}"/>
    <cellStyle name="SAPLocked 9 2 6" xfId="1637" xr:uid="{0F409E63-B8EA-4062-AC77-448F4B258314}"/>
    <cellStyle name="SAPLocked 9 2 7" xfId="2306" xr:uid="{9707CFFE-9F1B-43BD-8203-E31F8805822D}"/>
    <cellStyle name="SAPLocked 9 2 8" xfId="2425" xr:uid="{8E7DBB8C-BED3-4BB4-86E3-29878E700A50}"/>
    <cellStyle name="SAPLocked 9 2 9" xfId="2692" xr:uid="{15A1A750-ECCF-42E8-8652-65F5F31707FB}"/>
    <cellStyle name="SAPLocked 9 2_Jurisdictional Study" xfId="10771" xr:uid="{773821F0-47D9-4939-8A94-7F1C41496FA5}"/>
    <cellStyle name="SAPLocked 9 3" xfId="728" xr:uid="{EF6B7AB5-D758-4011-A54D-AB575741BB0A}"/>
    <cellStyle name="SAPLocked 9 4" xfId="766" xr:uid="{3369FCE4-FCCF-43AB-9DBB-76BA08AD978C}"/>
    <cellStyle name="SAPLocked 9 5" xfId="1193" xr:uid="{B98FAB32-1830-46AA-8DE2-F71AB305A3B6}"/>
    <cellStyle name="SAPLocked 9 6" xfId="1181" xr:uid="{DAEE5A5C-32EE-429C-96DB-E369F731A6B4}"/>
    <cellStyle name="SAPLocked 9 7" xfId="1119" xr:uid="{EAB47FF7-201F-4E00-A437-F326BEF4E59A}"/>
    <cellStyle name="SAPLocked 9 8" xfId="2180" xr:uid="{8CEBF89B-53A2-4749-A5D2-0A9A9214BF3A}"/>
    <cellStyle name="SAPLocked 9 9" xfId="2288" xr:uid="{E8072B3F-9EF4-46C1-861F-F4329A3C3AE2}"/>
    <cellStyle name="SAPLocked 9_Jurisdictional Study" xfId="10770" xr:uid="{C798E8A8-8187-44FD-A6B3-D666421D69A0}"/>
    <cellStyle name="SAPLocked_Jurisdictional Study" xfId="10692" xr:uid="{7740CF26-E97D-4C00-8EB5-F18B4A96C5CD}"/>
    <cellStyle name="Standard_CORE_20040805_Movement types_Sets_V0.1_e" xfId="239" xr:uid="{44695AD9-7A0A-40C5-9643-6ABD74D2FB3E}"/>
    <cellStyle name="STYL5 - Style5" xfId="82" xr:uid="{00000000-0005-0000-0000-000053000000}"/>
    <cellStyle name="STYL5 - Style5 2" xfId="8311" xr:uid="{7C85FF5C-FECF-4B35-8EA3-6ED5A570E4AC}"/>
    <cellStyle name="STYL5 - Style5 3" xfId="8310" xr:uid="{E0377E97-8328-4C6B-9862-A7BF01F3882B}"/>
    <cellStyle name="STYL5 - Style5_Jurisdictional Study" xfId="10772" xr:uid="{1D195FBC-3DBA-460F-BA13-20F0339E2307}"/>
    <cellStyle name="STYL6 - Style6" xfId="83" xr:uid="{00000000-0005-0000-0000-000054000000}"/>
    <cellStyle name="STYL6 - Style6 2" xfId="8313" xr:uid="{487946B1-8754-425D-AE68-7024AB09F5F4}"/>
    <cellStyle name="STYL6 - Style6 3" xfId="8312" xr:uid="{17F9124C-E6D7-480E-9B4F-A39C6B942D3F}"/>
    <cellStyle name="STYL6 - Style6_Jurisdictional Study" xfId="10773" xr:uid="{A4010623-A468-4371-B083-6A1D13681E2F}"/>
    <cellStyle name="STYLE1 - Style1" xfId="84" xr:uid="{00000000-0005-0000-0000-000055000000}"/>
    <cellStyle name="STYLE1 - Style1 2" xfId="8315" xr:uid="{8C4F7055-FA65-4A40-9A83-C515F3DD3E06}"/>
    <cellStyle name="STYLE1 - Style1 3" xfId="8314" xr:uid="{80D6F24A-2FB6-4237-BDD8-DF64499A2E76}"/>
    <cellStyle name="STYLE1 - Style1_Jurisdictional Study" xfId="10774" xr:uid="{7111C77F-1056-4003-A392-1F41F9D1C3DE}"/>
    <cellStyle name="STYLE2 - Style2" xfId="85" xr:uid="{00000000-0005-0000-0000-000056000000}"/>
    <cellStyle name="STYLE2 - Style2 2" xfId="8317" xr:uid="{4C605E40-7D90-46E1-AC45-619076FA4E9D}"/>
    <cellStyle name="STYLE2 - Style2 3" xfId="8316" xr:uid="{9917FA97-F84C-46E0-9CFC-48DE26009F34}"/>
    <cellStyle name="STYLE2 - Style2_Jurisdictional Study" xfId="10775" xr:uid="{71F7BED6-926A-4851-8CA9-40A4DBEE0A58}"/>
    <cellStyle name="STYLE3 - Style3" xfId="86" xr:uid="{00000000-0005-0000-0000-000057000000}"/>
    <cellStyle name="STYLE3 - Style3 2" xfId="8319" xr:uid="{81D9198D-797A-4F36-B498-87B84E43CCA2}"/>
    <cellStyle name="STYLE3 - Style3 3" xfId="8318" xr:uid="{7F4E8030-F1A2-4268-ADE1-6634E02084FE}"/>
    <cellStyle name="STYLE3 - Style3_Jurisdictional Study" xfId="10776" xr:uid="{42CA7299-C3FA-498A-8F55-D6A49F2A1624}"/>
    <cellStyle name="STYLE4 - Style4" xfId="87" xr:uid="{00000000-0005-0000-0000-000058000000}"/>
    <cellStyle name="STYLE4 - Style4 2" xfId="8321" xr:uid="{5E5D4455-DFE1-47D1-A0D2-E11D9BC7C6D7}"/>
    <cellStyle name="STYLE4 - Style4 3" xfId="8320" xr:uid="{85234215-0F23-452A-8457-B2DADC0E3977}"/>
    <cellStyle name="STYLE4 - Style4_Jurisdictional Study" xfId="10777" xr:uid="{91446F15-42ED-4E53-B5DD-7C4E1C6F63D9}"/>
    <cellStyle name="Title" xfId="88" builtinId="15" customBuiltin="1"/>
    <cellStyle name="Title 2" xfId="297" xr:uid="{23C8BC82-C9E9-4D9E-983C-BBD16FA42F83}"/>
    <cellStyle name="Title 2 2" xfId="8322" xr:uid="{4B99B86D-E4A7-4E30-88FF-99FDAF06832A}"/>
    <cellStyle name="Title 2_Jurisdictional Study" xfId="10778" xr:uid="{1395E513-E9B3-48E9-9903-F71772053E0A}"/>
    <cellStyle name="Title 3" xfId="8323" xr:uid="{939D1FFB-5560-4799-B997-7ABF403899D8}"/>
    <cellStyle name="Title 4" xfId="3156" xr:uid="{EA18D9EA-BE92-4077-B218-25B87AF40544}"/>
    <cellStyle name="Total" xfId="89" builtinId="25" customBuiltin="1"/>
    <cellStyle name="Total 2" xfId="298" xr:uid="{9C9A970E-57EC-41CE-9ACF-C56360432592}"/>
    <cellStyle name="Total 2 2" xfId="897" xr:uid="{3AA3D2DD-128A-4B9B-B3EB-937BEC192FB3}"/>
    <cellStyle name="Total 2 2 2" xfId="8325" xr:uid="{4EDDFC2A-B8CE-483D-AAD4-3B47ECDED2B8}"/>
    <cellStyle name="Total 2 2_Jurisdictional Study" xfId="10780" xr:uid="{FF1B2908-D70C-41D2-B47C-23F6B4D874C3}"/>
    <cellStyle name="Total 2 3" xfId="538" xr:uid="{57E0D45E-C657-420C-98C4-822D155F0F78}"/>
    <cellStyle name="Total 2 4" xfId="811" xr:uid="{E13F3D76-D5D8-4A13-9F85-11F2B1E155CF}"/>
    <cellStyle name="Total 2 5" xfId="801" xr:uid="{DE020301-46CC-479C-9C93-FA2E0CE3DA23}"/>
    <cellStyle name="Total 2 6" xfId="2307" xr:uid="{2044E782-126B-4815-9077-71A8684C5486}"/>
    <cellStyle name="Total 2 7" xfId="2583" xr:uid="{8BF6EB63-5FE9-4ED0-89B5-8077E9EFD1ED}"/>
    <cellStyle name="Total 2 8" xfId="2932" xr:uid="{C7514362-6079-44F4-80DF-0411C9EA0726}"/>
    <cellStyle name="Total 2 9" xfId="8324" xr:uid="{84AFDCDF-4963-4574-B119-B982F4867697}"/>
    <cellStyle name="Total 2_Jurisdictional Study" xfId="10779" xr:uid="{E3EF0FE1-A6AC-458D-B1FF-0D2A9B880EFA}"/>
    <cellStyle name="Total 3" xfId="3197" xr:uid="{0E2126A6-1664-4B71-917F-94943EEC5099}"/>
    <cellStyle name="Total 3 2" xfId="8327" xr:uid="{C5E09867-B9B5-4273-B034-57F146827F3D}"/>
    <cellStyle name="Total 3 3" xfId="8326" xr:uid="{D1B34687-FD3A-4BEF-ADD3-354CC4C0D5A8}"/>
    <cellStyle name="Total 3_Jurisdictional Study" xfId="10781" xr:uid="{8C543E84-18C5-40DD-B923-2E59A5A81683}"/>
    <cellStyle name="Total 4" xfId="136" xr:uid="{8BB0771F-C616-46A3-82A4-D74D753F28D4}"/>
    <cellStyle name="Undefiniert" xfId="240" xr:uid="{420BF6BA-8903-4B14-AA4D-A75B2E74D9E6}"/>
    <cellStyle name="UploadThisRowValue" xfId="90" xr:uid="{00000000-0005-0000-0000-00005B000000}"/>
    <cellStyle name="UploadThisRowValue 2" xfId="241" xr:uid="{1DC4B8AB-66CD-4E97-8F08-7BDD290A72A8}"/>
    <cellStyle name="UploadThisRowValue 3" xfId="8328" xr:uid="{01606B19-377B-4F0E-B2E4-71248F630D6E}"/>
    <cellStyle name="UploadThisRowValue 4" xfId="137" xr:uid="{19642630-3C4F-4586-9277-D48998B19BCD}"/>
    <cellStyle name="UploadThisRowValue_Jurisdictional Study" xfId="10782" xr:uid="{FF4D120B-AEA4-4C59-A027-6579D78AB33E}"/>
    <cellStyle name="Warning Text" xfId="91" builtinId="11" customBuiltin="1"/>
    <cellStyle name="Warning Text 2" xfId="299" xr:uid="{469E1C77-506B-4BED-9012-C0805E9C8528}"/>
    <cellStyle name="Warning Text 2 2" xfId="8329" xr:uid="{F9E1E1A0-320E-4F7B-B9AD-8D10C222501E}"/>
    <cellStyle name="Warning Text 2_Jurisdictional Study" xfId="10783" xr:uid="{FB3A808D-66B0-477B-84C1-F45D49EF223D}"/>
    <cellStyle name="Warning Text 3" xfId="8330" xr:uid="{68EE55F3-7DA5-4F21-B893-49F4DBBA3D09}"/>
    <cellStyle name="Warning Text 4" xfId="8331" xr:uid="{4BF80D79-9311-44B3-AA94-9F8F133D7532}"/>
    <cellStyle name="Warning Text 5" xfId="3167" xr:uid="{95A50113-AC97-40C2-8BD0-2E2D6386D705}"/>
  </cellStyles>
  <dxfs count="270">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VID/PSC/M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1999/FACJA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ials/LG&amp;E/2008/lge0308re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eff/AppData/Local/Temp/eM%20Client%20temporary%20files/xsfgun54.yeh/KU%20Forecast%20Period%20Jul17-Jun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6Plan/Utility%20Plan/Supporting%20Schedules/Gross%20Margin/Gross%20Margin%202006-2008%20Pl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RevRptg\Reports\Data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thly%20Reporting/Tax%20Report/LGE/LGELedger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y%20Documents/BellarExhibi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NT/Profiles/e004977/Temporary%20Internet%20Files/OLK2D/Rate%20Case%20LGE%20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 List"/>
      <sheetName val="Support"/>
      <sheetName val="Report"/>
      <sheetName val="Cover"/>
      <sheetName val="dbase"/>
      <sheetName val="Invavg"/>
      <sheetName val="EGSplit"/>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11">
          <cell r="K11">
            <v>13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5">
          <cell r="G5">
            <v>2004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C Fuel Calc. Adj (Past)"/>
      <sheetName val="OVEC Fuel Calc. Adj (Current)"/>
      <sheetName val="dbase"/>
      <sheetName val="Sheet1"/>
      <sheetName val="Rate"/>
      <sheetName val="Cost"/>
      <sheetName val="kwh"/>
      <sheetName val="ov-un"/>
      <sheetName val="FAC Recon "/>
      <sheetName val="Forced Out"/>
      <sheetName val="focrmc"/>
      <sheetName val="fotc"/>
    </sheetNames>
    <sheetDataSet>
      <sheetData sheetId="0" refreshError="1"/>
      <sheetData sheetId="1" refreshError="1"/>
      <sheetData sheetId="2"/>
      <sheetData sheetId="3" refreshError="1"/>
      <sheetData sheetId="4"/>
      <sheetData sheetId="5"/>
      <sheetData sheetId="6"/>
      <sheetData sheetId="7"/>
      <sheetData sheetId="8" refreshError="1"/>
      <sheetData sheetId="9" refreshError="1"/>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Index"/>
      <sheetName val="1"/>
      <sheetName val="2"/>
      <sheetName val="3"/>
      <sheetName val="4"/>
      <sheetName val="5"/>
      <sheetName val="6"/>
      <sheetName val="7-8"/>
      <sheetName val="9-10"/>
      <sheetName val="11"/>
      <sheetName val="12"/>
      <sheetName val="13"/>
      <sheetName val="14"/>
      <sheetName val="15"/>
      <sheetName val="16"/>
      <sheetName val="17"/>
      <sheetName val="18"/>
      <sheetName val="19"/>
      <sheetName val="20"/>
      <sheetName val="21"/>
      <sheetName val="CODE"/>
      <sheetName val="22"/>
      <sheetName val="23"/>
      <sheetName val="24"/>
      <sheetName val="25"/>
      <sheetName val="26"/>
      <sheetName val="27"/>
      <sheetName val="28"/>
      <sheetName val="28.1"/>
      <sheetName val="28.2"/>
      <sheetName val="29"/>
      <sheetName val="29.1"/>
      <sheetName val="29.2"/>
      <sheetName val="30"/>
      <sheetName val="31"/>
      <sheetName val="32"/>
      <sheetName val="33"/>
      <sheetName val="33.1"/>
      <sheetName val="33.2"/>
      <sheetName val="34"/>
      <sheetName val="34.1"/>
      <sheetName val="34.2"/>
      <sheetName val="34.3"/>
      <sheetName val="34.4"/>
      <sheetName val="35"/>
      <sheetName val="36"/>
      <sheetName val="37"/>
      <sheetName val="38"/>
      <sheetName val="39"/>
      <sheetName val="40"/>
      <sheetName val="41"/>
      <sheetName val="check"/>
      <sheetName val="units"/>
      <sheetName val="validations"/>
      <sheetName val="Index1"/>
      <sheetName val="d1"/>
      <sheetName val="d2"/>
      <sheetName val="d3"/>
      <sheetName val="d5"/>
      <sheetName val="d7-10"/>
      <sheetName val="d11"/>
      <sheetName val="d12-13"/>
      <sheetName val="d14-15"/>
      <sheetName val="d16"/>
      <sheetName val="d17"/>
      <sheetName val="d18"/>
      <sheetName val="d19"/>
      <sheetName val="d20"/>
      <sheetName val="d23-24"/>
      <sheetName val="d26"/>
      <sheetName val="d27"/>
      <sheetName val="d28"/>
      <sheetName val="d28.1"/>
      <sheetName val="d28.2"/>
      <sheetName val="d29"/>
      <sheetName val="d29.1"/>
      <sheetName val="d29.2"/>
      <sheetName val="d30"/>
      <sheetName val="d31"/>
      <sheetName val="d32"/>
      <sheetName val="d33a"/>
      <sheetName val="d33b"/>
      <sheetName val="d33.1"/>
      <sheetName val="d33.2"/>
      <sheetName val="d34a"/>
      <sheetName val="d34b"/>
      <sheetName val="d34.1"/>
      <sheetName val="d34.2"/>
      <sheetName val="d34.3"/>
      <sheetName val="d34.4"/>
      <sheetName val="d35a"/>
      <sheetName val="d35b"/>
      <sheetName val="d36"/>
      <sheetName val="d37"/>
      <sheetName val="d38"/>
      <sheetName val="d39"/>
      <sheetName val="d40"/>
      <sheetName val="d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1.1"/>
      <sheetName val="Sch M-1.2"/>
      <sheetName val="Sch M-1.3-pg 14-18"/>
      <sheetName val="Conroy Exhibit P2"/>
      <sheetName val="Yr End Cust Adj"/>
      <sheetName val="Rate Switch"/>
      <sheetName val="Sch M-2.1"/>
      <sheetName val="Sch M-2.2"/>
      <sheetName val="Sch M-2.3 pg 1-2"/>
      <sheetName val="Sch M-1.3-pg2-13"/>
      <sheetName val="Sch M-2.3 pgs 3-15"/>
      <sheetName val="Sch M-2.3.1 pgs 16-20"/>
      <sheetName val="True-ups==&gt;"/>
      <sheetName val="A-F kwh"/>
      <sheetName val="A-F Demand"/>
      <sheetName val="A-F Revenue"/>
      <sheetName val="Sch M-1.3-pg 1"/>
      <sheetName val="Analyses ==&gt;"/>
      <sheetName val="Reconciliation"/>
      <sheetName val="Rate Summary"/>
      <sheetName val="Class Summary"/>
      <sheetName val="ECR Roll In==&gt;"/>
      <sheetName val="Summary"/>
      <sheetName val="Group1"/>
      <sheetName val="Group2"/>
      <sheetName val="ECR Rollin"/>
      <sheetName val="StLtTYRevenueNetOfBaseECR"/>
      <sheetName val="Data==&gt;"/>
      <sheetName val="12MonResults"/>
      <sheetName val="12MonLights"/>
      <sheetName val="FACResults"/>
      <sheetName val="FACLights"/>
      <sheetName val="ECR Adjustments"/>
      <sheetName val="BaseECR"/>
      <sheetName val="BaseECRLights"/>
      <sheetName val="ECRResults"/>
      <sheetName val="ECRLights"/>
      <sheetName val="Sources ==&gt;"/>
      <sheetName val="Rates"/>
      <sheetName val="KY Detail Electric Revenues 2"/>
      <sheetName val="Cal_Energy"/>
      <sheetName val="Billing Demand"/>
      <sheetName val="Customers"/>
      <sheetName val="Rates-Lights"/>
      <sheetName val="12 ME 08.2016 Billed Lights KU"/>
      <sheetName val="1022"/>
      <sheetName val="SBR"/>
      <sheetName val="1055"/>
      <sheetName val="MiscData"/>
      <sheetName val="GranVille"/>
      <sheetName val="KY Detail Electric Revenues"/>
      <sheetName val="Rate Case Constants"/>
      <sheetName val="Reconciliation==&gt;"/>
      <sheetName val="January"/>
      <sheetName val="February"/>
      <sheetName val="March"/>
      <sheetName val="April"/>
      <sheetName val="May"/>
      <sheetName val="June"/>
      <sheetName val="July"/>
      <sheetName val="August"/>
      <sheetName val="Sept"/>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
          <cell r="C4" t="str">
            <v>GS</v>
          </cell>
        </row>
        <row r="5">
          <cell r="C5" t="str">
            <v>PSP</v>
          </cell>
        </row>
        <row r="6">
          <cell r="C6" t="str">
            <v>PSS</v>
          </cell>
        </row>
        <row r="7">
          <cell r="C7" t="str">
            <v>PSS</v>
          </cell>
        </row>
        <row r="8">
          <cell r="C8" t="str">
            <v>PSP</v>
          </cell>
        </row>
        <row r="9">
          <cell r="C9" t="str">
            <v>PSP</v>
          </cell>
        </row>
        <row r="10">
          <cell r="C10" t="str">
            <v>GS</v>
          </cell>
        </row>
        <row r="11">
          <cell r="C11" t="str">
            <v>RS</v>
          </cell>
        </row>
        <row r="12">
          <cell r="C12" t="str">
            <v>RS</v>
          </cell>
        </row>
        <row r="13">
          <cell r="C13" t="str">
            <v>GS</v>
          </cell>
          <cell r="K13">
            <v>79580535.01830551</v>
          </cell>
        </row>
        <row r="14">
          <cell r="C14" t="str">
            <v>GS</v>
          </cell>
        </row>
        <row r="15">
          <cell r="C15" t="str">
            <v>GS3</v>
          </cell>
          <cell r="K15">
            <v>92981338.809229434</v>
          </cell>
        </row>
        <row r="16">
          <cell r="C16" t="str">
            <v>AES</v>
          </cell>
          <cell r="K16">
            <v>728000</v>
          </cell>
        </row>
        <row r="17">
          <cell r="C17" t="str">
            <v>AES</v>
          </cell>
        </row>
        <row r="18">
          <cell r="C18" t="str">
            <v>AES3</v>
          </cell>
          <cell r="K18">
            <v>14787000</v>
          </cell>
        </row>
        <row r="19">
          <cell r="C19" t="str">
            <v>AES3</v>
          </cell>
        </row>
        <row r="20">
          <cell r="C20" t="str">
            <v>AES3</v>
          </cell>
        </row>
        <row r="21">
          <cell r="C21" t="str">
            <v>AES3</v>
          </cell>
        </row>
        <row r="22">
          <cell r="C22" t="str">
            <v>AES3</v>
          </cell>
        </row>
        <row r="23">
          <cell r="C23" t="str">
            <v>AES</v>
          </cell>
        </row>
        <row r="24">
          <cell r="C24" t="str">
            <v>LE</v>
          </cell>
          <cell r="K24">
            <v>20623.858594947502</v>
          </cell>
        </row>
        <row r="25">
          <cell r="C25" t="str">
            <v>LE</v>
          </cell>
        </row>
        <row r="26">
          <cell r="C26" t="str">
            <v>LE</v>
          </cell>
        </row>
        <row r="27">
          <cell r="C27" t="str">
            <v>TE</v>
          </cell>
          <cell r="K27">
            <v>137015.53325663053</v>
          </cell>
        </row>
        <row r="28">
          <cell r="C28" t="str">
            <v>TE</v>
          </cell>
        </row>
        <row r="29">
          <cell r="C29" t="str">
            <v>TE</v>
          </cell>
        </row>
        <row r="30">
          <cell r="C30" t="str">
            <v>RTS</v>
          </cell>
        </row>
        <row r="31">
          <cell r="C31" t="str">
            <v>PSP</v>
          </cell>
        </row>
        <row r="32">
          <cell r="C32" t="str">
            <v>PSS</v>
          </cell>
          <cell r="K32">
            <v>188646754.93011254</v>
          </cell>
        </row>
        <row r="33">
          <cell r="C33" t="str">
            <v>PSP</v>
          </cell>
        </row>
        <row r="34">
          <cell r="C34" t="str">
            <v>PSS</v>
          </cell>
        </row>
        <row r="35">
          <cell r="C35" t="str">
            <v>TODP</v>
          </cell>
          <cell r="K35">
            <v>328030195.22457445</v>
          </cell>
        </row>
        <row r="36">
          <cell r="C36" t="str">
            <v>TODS</v>
          </cell>
        </row>
        <row r="37">
          <cell r="C37" t="str">
            <v>SQF</v>
          </cell>
        </row>
        <row r="38">
          <cell r="C38" t="str">
            <v>SQF</v>
          </cell>
        </row>
        <row r="39">
          <cell r="C39" t="str">
            <v>LQF</v>
          </cell>
        </row>
        <row r="40">
          <cell r="C40" t="str">
            <v>GS</v>
          </cell>
        </row>
        <row r="41">
          <cell r="C41" t="str">
            <v>GS3</v>
          </cell>
        </row>
        <row r="42">
          <cell r="C42" t="str">
            <v>RS</v>
          </cell>
        </row>
        <row r="43">
          <cell r="C43" t="str">
            <v>RS</v>
          </cell>
        </row>
        <row r="44">
          <cell r="C44" t="str">
            <v>CSR</v>
          </cell>
        </row>
        <row r="45">
          <cell r="C45" t="str">
            <v>CSR</v>
          </cell>
        </row>
        <row r="46">
          <cell r="C46" t="str">
            <v>CSR</v>
          </cell>
        </row>
        <row r="47">
          <cell r="C47" t="str">
            <v>CSR</v>
          </cell>
        </row>
        <row r="48">
          <cell r="C48" t="str">
            <v>CSR</v>
          </cell>
        </row>
        <row r="49">
          <cell r="C49" t="str">
            <v>GS</v>
          </cell>
        </row>
        <row r="50">
          <cell r="C50" t="str">
            <v>GS</v>
          </cell>
        </row>
        <row r="51">
          <cell r="C51" t="str">
            <v>GS</v>
          </cell>
        </row>
        <row r="52">
          <cell r="C52" t="str">
            <v>GS</v>
          </cell>
        </row>
        <row r="53">
          <cell r="C53" t="str">
            <v>GS</v>
          </cell>
        </row>
        <row r="54">
          <cell r="C54" t="str">
            <v>GS</v>
          </cell>
        </row>
        <row r="55">
          <cell r="C55" t="str">
            <v>GS</v>
          </cell>
        </row>
        <row r="56">
          <cell r="C56" t="str">
            <v>GS</v>
          </cell>
        </row>
        <row r="57">
          <cell r="C57" t="str">
            <v>GS</v>
          </cell>
        </row>
        <row r="58">
          <cell r="C58" t="str">
            <v>GS</v>
          </cell>
        </row>
        <row r="59">
          <cell r="C59" t="str">
            <v>GS</v>
          </cell>
        </row>
        <row r="60">
          <cell r="C60" t="str">
            <v>GS3</v>
          </cell>
        </row>
        <row r="61">
          <cell r="C61" t="str">
            <v>GS3</v>
          </cell>
        </row>
        <row r="62">
          <cell r="C62" t="str">
            <v>RTS</v>
          </cell>
        </row>
        <row r="63">
          <cell r="C63" t="str">
            <v>RTS</v>
          </cell>
          <cell r="K63">
            <v>128588318.04509391</v>
          </cell>
        </row>
        <row r="64">
          <cell r="C64" t="str">
            <v>PSP</v>
          </cell>
        </row>
        <row r="65">
          <cell r="C65" t="str">
            <v>PSP</v>
          </cell>
        </row>
        <row r="66">
          <cell r="C66" t="str">
            <v>PSS</v>
          </cell>
        </row>
        <row r="67">
          <cell r="C67" t="str">
            <v>PSS</v>
          </cell>
        </row>
        <row r="68">
          <cell r="C68" t="str">
            <v>PSP</v>
          </cell>
        </row>
        <row r="69">
          <cell r="C69" t="str">
            <v>PSP</v>
          </cell>
        </row>
        <row r="70">
          <cell r="C70" t="str">
            <v>PSS</v>
          </cell>
        </row>
        <row r="71">
          <cell r="C71" t="str">
            <v>PSS</v>
          </cell>
        </row>
        <row r="72">
          <cell r="C72" t="str">
            <v>TODP</v>
          </cell>
        </row>
        <row r="73">
          <cell r="C73" t="str">
            <v>TODP</v>
          </cell>
        </row>
        <row r="74">
          <cell r="C74" t="str">
            <v>TODS</v>
          </cell>
        </row>
        <row r="75">
          <cell r="C75" t="str">
            <v>TODS</v>
          </cell>
        </row>
        <row r="76">
          <cell r="C76" t="str">
            <v>GS3</v>
          </cell>
        </row>
        <row r="77">
          <cell r="C77" t="str">
            <v>GS3</v>
          </cell>
        </row>
        <row r="78">
          <cell r="C78" t="str">
            <v>FLS</v>
          </cell>
          <cell r="K78">
            <v>47150802.677865498</v>
          </cell>
        </row>
        <row r="79">
          <cell r="C79" t="str">
            <v>FLS</v>
          </cell>
        </row>
        <row r="85">
          <cell r="C85" t="str">
            <v>RS</v>
          </cell>
        </row>
        <row r="86">
          <cell r="C86" t="str">
            <v>RS</v>
          </cell>
          <cell r="K86">
            <v>736904932.73229086</v>
          </cell>
        </row>
        <row r="87">
          <cell r="C87" t="str">
            <v>RS</v>
          </cell>
        </row>
        <row r="88">
          <cell r="C88" t="str">
            <v>RS</v>
          </cell>
        </row>
        <row r="89">
          <cell r="C89" t="str">
            <v>RTOD-E</v>
          </cell>
          <cell r="K89">
            <v>41632.050309773404</v>
          </cell>
        </row>
        <row r="90">
          <cell r="C90" t="str">
            <v>RTOD-D</v>
          </cell>
        </row>
        <row r="91">
          <cell r="C91" t="str">
            <v>RS</v>
          </cell>
        </row>
        <row r="92">
          <cell r="C92" t="str">
            <v>RS</v>
          </cell>
        </row>
        <row r="93">
          <cell r="C93" t="str">
            <v>RS</v>
          </cell>
        </row>
        <row r="94">
          <cell r="C94" t="str">
            <v>RS</v>
          </cell>
        </row>
        <row r="95">
          <cell r="C95" t="str">
            <v>RTS</v>
          </cell>
        </row>
        <row r="96">
          <cell r="C96" t="str">
            <v>PSP</v>
          </cell>
          <cell r="K96">
            <v>13527018.359776281</v>
          </cell>
        </row>
        <row r="97">
          <cell r="C97" t="str">
            <v>PSS</v>
          </cell>
        </row>
        <row r="98">
          <cell r="C98" t="str">
            <v>TODP</v>
          </cell>
        </row>
        <row r="99">
          <cell r="C99" t="str">
            <v>PSP</v>
          </cell>
        </row>
        <row r="100">
          <cell r="C100" t="str">
            <v>PSS</v>
          </cell>
        </row>
        <row r="101">
          <cell r="C101" t="str">
            <v>TODP</v>
          </cell>
        </row>
        <row r="102">
          <cell r="C102" t="str">
            <v>TODS</v>
          </cell>
          <cell r="K102">
            <v>134464604.23249334</v>
          </cell>
        </row>
        <row r="103">
          <cell r="C103" t="str">
            <v>TOD</v>
          </cell>
        </row>
        <row r="104">
          <cell r="C104" t="str">
            <v>MPT</v>
          </cell>
        </row>
        <row r="105">
          <cell r="C105" t="str">
            <v>MPP</v>
          </cell>
        </row>
        <row r="106">
          <cell r="C106" t="str">
            <v>LTOD</v>
          </cell>
        </row>
        <row r="107">
          <cell r="C107" t="str">
            <v>LTOD</v>
          </cell>
        </row>
        <row r="108">
          <cell r="C108" t="str">
            <v>MPP PF</v>
          </cell>
        </row>
        <row r="109">
          <cell r="C109" t="str">
            <v>MPT PF</v>
          </cell>
        </row>
        <row r="110">
          <cell r="C110" t="str">
            <v>LEV</v>
          </cell>
        </row>
        <row r="111">
          <cell r="C111" t="str">
            <v>GS</v>
          </cell>
        </row>
        <row r="112">
          <cell r="C112" t="str">
            <v>GS</v>
          </cell>
        </row>
        <row r="113">
          <cell r="C113" t="str">
            <v>GS3</v>
          </cell>
        </row>
        <row r="114">
          <cell r="C114" t="str">
            <v>GS3</v>
          </cell>
        </row>
        <row r="115">
          <cell r="C115" t="str">
            <v>LEV</v>
          </cell>
        </row>
        <row r="116">
          <cell r="C116" t="str">
            <v>CSR</v>
          </cell>
        </row>
        <row r="117">
          <cell r="C117" t="str">
            <v>CSR</v>
          </cell>
        </row>
        <row r="118">
          <cell r="C118" t="str">
            <v>CSR</v>
          </cell>
        </row>
        <row r="119">
          <cell r="C119" t="str">
            <v>CSR</v>
          </cell>
        </row>
        <row r="120">
          <cell r="C120" t="str">
            <v>CSR</v>
          </cell>
        </row>
        <row r="121">
          <cell r="C121" t="str">
            <v>CSR</v>
          </cell>
        </row>
        <row r="122">
          <cell r="C122" t="str">
            <v>CSR</v>
          </cell>
        </row>
        <row r="123">
          <cell r="C123" t="str">
            <v>CSR</v>
          </cell>
        </row>
        <row r="124">
          <cell r="C124" t="str">
            <v>LEV</v>
          </cell>
        </row>
        <row r="125">
          <cell r="C125" t="str">
            <v>LEV</v>
          </cell>
        </row>
        <row r="126">
          <cell r="C126" t="str">
            <v>GS</v>
          </cell>
        </row>
        <row r="127">
          <cell r="C127" t="str">
            <v>PSP</v>
          </cell>
        </row>
        <row r="128">
          <cell r="C128" t="str">
            <v>PSS</v>
          </cell>
        </row>
        <row r="129">
          <cell r="C129" t="str">
            <v>PSS</v>
          </cell>
        </row>
        <row r="130">
          <cell r="C130" t="str">
            <v>PSP</v>
          </cell>
        </row>
        <row r="131">
          <cell r="C131" t="str">
            <v>PSP</v>
          </cell>
        </row>
        <row r="132">
          <cell r="C132" t="str">
            <v>GS</v>
          </cell>
        </row>
        <row r="133">
          <cell r="C133" t="str">
            <v>RS</v>
          </cell>
        </row>
        <row r="134">
          <cell r="C134" t="str">
            <v>RS</v>
          </cell>
        </row>
        <row r="135">
          <cell r="C135" t="str">
            <v>GS</v>
          </cell>
          <cell r="K135">
            <v>70635217.661141485</v>
          </cell>
        </row>
        <row r="136">
          <cell r="C136" t="str">
            <v>GS</v>
          </cell>
        </row>
        <row r="137">
          <cell r="C137" t="str">
            <v>GS3</v>
          </cell>
          <cell r="K137">
            <v>81104470.031557083</v>
          </cell>
        </row>
        <row r="138">
          <cell r="C138" t="str">
            <v>AES</v>
          </cell>
          <cell r="K138">
            <v>677000</v>
          </cell>
        </row>
        <row r="139">
          <cell r="C139" t="str">
            <v>AES</v>
          </cell>
        </row>
        <row r="140">
          <cell r="C140" t="str">
            <v>AES3</v>
          </cell>
          <cell r="K140">
            <v>13760000</v>
          </cell>
        </row>
        <row r="141">
          <cell r="C141" t="str">
            <v>AES3</v>
          </cell>
        </row>
        <row r="142">
          <cell r="C142" t="str">
            <v>AES3</v>
          </cell>
        </row>
        <row r="143">
          <cell r="C143" t="str">
            <v>AES3</v>
          </cell>
        </row>
        <row r="144">
          <cell r="C144" t="str">
            <v>AES3</v>
          </cell>
        </row>
        <row r="145">
          <cell r="C145" t="str">
            <v>AES</v>
          </cell>
        </row>
        <row r="146">
          <cell r="C146" t="str">
            <v>LE</v>
          </cell>
          <cell r="K146">
            <v>18323.98268499643</v>
          </cell>
        </row>
        <row r="147">
          <cell r="C147" t="str">
            <v>LE</v>
          </cell>
        </row>
        <row r="148">
          <cell r="C148" t="str">
            <v>LE</v>
          </cell>
        </row>
        <row r="149">
          <cell r="C149" t="str">
            <v>TE</v>
          </cell>
          <cell r="K149">
            <v>125421.64109458604</v>
          </cell>
        </row>
        <row r="150">
          <cell r="C150" t="str">
            <v>TE</v>
          </cell>
        </row>
        <row r="151">
          <cell r="C151" t="str">
            <v>TE</v>
          </cell>
        </row>
        <row r="152">
          <cell r="C152" t="str">
            <v>RTS</v>
          </cell>
        </row>
        <row r="153">
          <cell r="C153" t="str">
            <v>PSP</v>
          </cell>
        </row>
        <row r="154">
          <cell r="C154" t="str">
            <v>PSS</v>
          </cell>
          <cell r="K154">
            <v>167134642.33827847</v>
          </cell>
        </row>
        <row r="155">
          <cell r="C155" t="str">
            <v>PSP</v>
          </cell>
        </row>
        <row r="156">
          <cell r="C156" t="str">
            <v>PSS</v>
          </cell>
        </row>
        <row r="157">
          <cell r="C157" t="str">
            <v>TODP</v>
          </cell>
          <cell r="K157">
            <v>315064916.82046193</v>
          </cell>
        </row>
        <row r="158">
          <cell r="C158" t="str">
            <v>TODS</v>
          </cell>
        </row>
        <row r="159">
          <cell r="C159" t="str">
            <v>SQF</v>
          </cell>
        </row>
        <row r="160">
          <cell r="C160" t="str">
            <v>SQF</v>
          </cell>
        </row>
        <row r="161">
          <cell r="C161" t="str">
            <v>LQF</v>
          </cell>
        </row>
        <row r="162">
          <cell r="C162" t="str">
            <v>GS</v>
          </cell>
        </row>
        <row r="163">
          <cell r="C163" t="str">
            <v>GS3</v>
          </cell>
        </row>
        <row r="164">
          <cell r="C164" t="str">
            <v>RS</v>
          </cell>
        </row>
        <row r="165">
          <cell r="C165" t="str">
            <v>RS</v>
          </cell>
        </row>
        <row r="166">
          <cell r="C166" t="str">
            <v>CSR</v>
          </cell>
        </row>
        <row r="167">
          <cell r="C167" t="str">
            <v>CSR</v>
          </cell>
        </row>
        <row r="168">
          <cell r="C168" t="str">
            <v>CSR</v>
          </cell>
        </row>
        <row r="169">
          <cell r="C169" t="str">
            <v>CSR</v>
          </cell>
        </row>
        <row r="170">
          <cell r="C170" t="str">
            <v>CSR</v>
          </cell>
        </row>
        <row r="171">
          <cell r="C171" t="str">
            <v>GS</v>
          </cell>
        </row>
        <row r="172">
          <cell r="C172" t="str">
            <v>GS</v>
          </cell>
        </row>
        <row r="173">
          <cell r="C173" t="str">
            <v>GS</v>
          </cell>
        </row>
        <row r="174">
          <cell r="C174" t="str">
            <v>GS</v>
          </cell>
        </row>
        <row r="175">
          <cell r="C175" t="str">
            <v>GS</v>
          </cell>
        </row>
        <row r="176">
          <cell r="C176" t="str">
            <v>GS</v>
          </cell>
        </row>
        <row r="177">
          <cell r="C177" t="str">
            <v>GS</v>
          </cell>
        </row>
        <row r="178">
          <cell r="C178" t="str">
            <v>GS</v>
          </cell>
        </row>
        <row r="179">
          <cell r="C179" t="str">
            <v>GS</v>
          </cell>
        </row>
        <row r="180">
          <cell r="C180" t="str">
            <v>GS</v>
          </cell>
        </row>
        <row r="181">
          <cell r="C181" t="str">
            <v>GS</v>
          </cell>
        </row>
        <row r="182">
          <cell r="C182" t="str">
            <v>GS3</v>
          </cell>
        </row>
        <row r="183">
          <cell r="C183" t="str">
            <v>GS3</v>
          </cell>
        </row>
        <row r="184">
          <cell r="C184" t="str">
            <v>RTS</v>
          </cell>
        </row>
        <row r="185">
          <cell r="C185" t="str">
            <v>RTS</v>
          </cell>
          <cell r="K185">
            <v>121343183.00875309</v>
          </cell>
        </row>
        <row r="186">
          <cell r="C186" t="str">
            <v>PSP</v>
          </cell>
        </row>
        <row r="187">
          <cell r="C187" t="str">
            <v>PSP</v>
          </cell>
        </row>
        <row r="188">
          <cell r="C188" t="str">
            <v>PSS</v>
          </cell>
        </row>
        <row r="189">
          <cell r="C189" t="str">
            <v>PSS</v>
          </cell>
        </row>
        <row r="190">
          <cell r="C190" t="str">
            <v>PSP</v>
          </cell>
        </row>
        <row r="191">
          <cell r="C191" t="str">
            <v>PSP</v>
          </cell>
        </row>
        <row r="192">
          <cell r="C192" t="str">
            <v>PSS</v>
          </cell>
        </row>
        <row r="193">
          <cell r="C193" t="str">
            <v>PSS</v>
          </cell>
        </row>
        <row r="194">
          <cell r="C194" t="str">
            <v>TODP</v>
          </cell>
        </row>
        <row r="195">
          <cell r="C195" t="str">
            <v>TODP</v>
          </cell>
        </row>
        <row r="196">
          <cell r="C196" t="str">
            <v>TODS</v>
          </cell>
        </row>
        <row r="197">
          <cell r="C197" t="str">
            <v>TODS</v>
          </cell>
        </row>
        <row r="198">
          <cell r="C198" t="str">
            <v>GS3</v>
          </cell>
        </row>
        <row r="199">
          <cell r="C199" t="str">
            <v>GS3</v>
          </cell>
        </row>
        <row r="200">
          <cell r="C200" t="str">
            <v>FLS</v>
          </cell>
          <cell r="K200">
            <v>44267468.936801001</v>
          </cell>
        </row>
        <row r="201">
          <cell r="C201" t="str">
            <v>FLS</v>
          </cell>
        </row>
        <row r="207">
          <cell r="C207" t="str">
            <v>RS</v>
          </cell>
        </row>
        <row r="208">
          <cell r="C208" t="str">
            <v>RS</v>
          </cell>
          <cell r="K208">
            <v>608819914.74919307</v>
          </cell>
        </row>
        <row r="209">
          <cell r="C209" t="str">
            <v>RS</v>
          </cell>
        </row>
        <row r="210">
          <cell r="C210" t="str">
            <v>RS</v>
          </cell>
        </row>
        <row r="211">
          <cell r="C211" t="str">
            <v>RTOD-E</v>
          </cell>
          <cell r="K211">
            <v>35243.998239997461</v>
          </cell>
        </row>
        <row r="212">
          <cell r="C212" t="str">
            <v>RTOD-D</v>
          </cell>
        </row>
        <row r="213">
          <cell r="C213" t="str">
            <v>RS</v>
          </cell>
        </row>
        <row r="214">
          <cell r="C214" t="str">
            <v>RS</v>
          </cell>
        </row>
        <row r="215">
          <cell r="C215" t="str">
            <v>RS</v>
          </cell>
        </row>
        <row r="216">
          <cell r="C216" t="str">
            <v>RS</v>
          </cell>
        </row>
        <row r="217">
          <cell r="C217" t="str">
            <v>RTS</v>
          </cell>
        </row>
        <row r="218">
          <cell r="C218" t="str">
            <v>PSP</v>
          </cell>
          <cell r="K218">
            <v>12992367.703936562</v>
          </cell>
        </row>
        <row r="219">
          <cell r="C219" t="str">
            <v>PSS</v>
          </cell>
        </row>
        <row r="220">
          <cell r="C220" t="str">
            <v>TODP</v>
          </cell>
        </row>
        <row r="221">
          <cell r="C221" t="str">
            <v>PSP</v>
          </cell>
        </row>
        <row r="222">
          <cell r="C222" t="str">
            <v>PSS</v>
          </cell>
        </row>
        <row r="223">
          <cell r="C223" t="str">
            <v>TODP</v>
          </cell>
        </row>
        <row r="224">
          <cell r="C224" t="str">
            <v>TODS</v>
          </cell>
          <cell r="K224">
            <v>127981543.4462775</v>
          </cell>
        </row>
        <row r="225">
          <cell r="C225" t="str">
            <v>TOD</v>
          </cell>
        </row>
        <row r="226">
          <cell r="C226" t="str">
            <v>MPT</v>
          </cell>
        </row>
        <row r="227">
          <cell r="C227" t="str">
            <v>MPP</v>
          </cell>
        </row>
        <row r="228">
          <cell r="C228" t="str">
            <v>LTOD</v>
          </cell>
        </row>
        <row r="229">
          <cell r="C229" t="str">
            <v>LTOD</v>
          </cell>
        </row>
        <row r="230">
          <cell r="C230" t="str">
            <v>MPP PF</v>
          </cell>
        </row>
        <row r="231">
          <cell r="C231" t="str">
            <v>MPT PF</v>
          </cell>
        </row>
        <row r="232">
          <cell r="C232" t="str">
            <v>LEV</v>
          </cell>
        </row>
        <row r="233">
          <cell r="C233" t="str">
            <v>GS</v>
          </cell>
        </row>
        <row r="234">
          <cell r="C234" t="str">
            <v>GS</v>
          </cell>
        </row>
        <row r="235">
          <cell r="C235" t="str">
            <v>GS3</v>
          </cell>
        </row>
        <row r="236">
          <cell r="C236" t="str">
            <v>GS3</v>
          </cell>
        </row>
        <row r="237">
          <cell r="C237" t="str">
            <v>LEV</v>
          </cell>
        </row>
        <row r="238">
          <cell r="C238" t="str">
            <v>CSR</v>
          </cell>
        </row>
        <row r="239">
          <cell r="C239" t="str">
            <v>CSR</v>
          </cell>
        </row>
        <row r="240">
          <cell r="C240" t="str">
            <v>CSR</v>
          </cell>
        </row>
        <row r="241">
          <cell r="C241" t="str">
            <v>CSR</v>
          </cell>
        </row>
        <row r="242">
          <cell r="C242" t="str">
            <v>CSR</v>
          </cell>
        </row>
        <row r="243">
          <cell r="C243" t="str">
            <v>CSR</v>
          </cell>
        </row>
        <row r="244">
          <cell r="C244" t="str">
            <v>CSR</v>
          </cell>
        </row>
        <row r="245">
          <cell r="C245" t="str">
            <v>CSR</v>
          </cell>
        </row>
        <row r="246">
          <cell r="C246" t="str">
            <v>LEV</v>
          </cell>
        </row>
        <row r="247">
          <cell r="C247" t="str">
            <v>LEV</v>
          </cell>
        </row>
        <row r="248">
          <cell r="C248" t="str">
            <v>GS</v>
          </cell>
        </row>
        <row r="249">
          <cell r="C249" t="str">
            <v>PSP</v>
          </cell>
        </row>
        <row r="250">
          <cell r="C250" t="str">
            <v>PSS</v>
          </cell>
        </row>
        <row r="251">
          <cell r="C251" t="str">
            <v>PSS</v>
          </cell>
        </row>
        <row r="252">
          <cell r="C252" t="str">
            <v>PSP</v>
          </cell>
        </row>
        <row r="253">
          <cell r="C253" t="str">
            <v>PSP</v>
          </cell>
        </row>
        <row r="254">
          <cell r="C254" t="str">
            <v>GS</v>
          </cell>
        </row>
        <row r="255">
          <cell r="C255" t="str">
            <v>RS</v>
          </cell>
        </row>
        <row r="256">
          <cell r="C256" t="str">
            <v>RS</v>
          </cell>
        </row>
        <row r="257">
          <cell r="C257" t="str">
            <v>GS</v>
          </cell>
          <cell r="K257">
            <v>64343601.855323754</v>
          </cell>
        </row>
        <row r="258">
          <cell r="C258" t="str">
            <v>GS</v>
          </cell>
        </row>
        <row r="259">
          <cell r="C259" t="str">
            <v>GS3</v>
          </cell>
          <cell r="K259">
            <v>76016984.558436885</v>
          </cell>
        </row>
        <row r="260">
          <cell r="C260" t="str">
            <v>AES</v>
          </cell>
          <cell r="K260">
            <v>630000</v>
          </cell>
        </row>
        <row r="261">
          <cell r="C261" t="str">
            <v>AES</v>
          </cell>
        </row>
        <row r="262">
          <cell r="C262" t="str">
            <v>AES3</v>
          </cell>
          <cell r="K262">
            <v>12799000</v>
          </cell>
        </row>
        <row r="263">
          <cell r="C263" t="str">
            <v>AES3</v>
          </cell>
        </row>
        <row r="264">
          <cell r="C264" t="str">
            <v>AES3</v>
          </cell>
        </row>
        <row r="265">
          <cell r="C265" t="str">
            <v>AES3</v>
          </cell>
        </row>
        <row r="266">
          <cell r="C266" t="str">
            <v>AES3</v>
          </cell>
        </row>
        <row r="267">
          <cell r="C267" t="str">
            <v>AES</v>
          </cell>
        </row>
        <row r="268">
          <cell r="C268" t="str">
            <v>LE</v>
          </cell>
          <cell r="K268">
            <v>44330.254439454424</v>
          </cell>
        </row>
        <row r="269">
          <cell r="C269" t="str">
            <v>LE</v>
          </cell>
        </row>
        <row r="270">
          <cell r="C270" t="str">
            <v>LE</v>
          </cell>
        </row>
        <row r="271">
          <cell r="C271" t="str">
            <v>TE</v>
          </cell>
          <cell r="K271">
            <v>119881.59547011479</v>
          </cell>
        </row>
        <row r="272">
          <cell r="C272" t="str">
            <v>TE</v>
          </cell>
        </row>
        <row r="273">
          <cell r="C273" t="str">
            <v>TE</v>
          </cell>
        </row>
        <row r="274">
          <cell r="C274" t="str">
            <v>RTS</v>
          </cell>
        </row>
        <row r="275">
          <cell r="C275" t="str">
            <v>PSP</v>
          </cell>
        </row>
        <row r="276">
          <cell r="C276" t="str">
            <v>PSS</v>
          </cell>
          <cell r="K276">
            <v>160672594.44158393</v>
          </cell>
        </row>
        <row r="277">
          <cell r="C277" t="str">
            <v>PSP</v>
          </cell>
        </row>
        <row r="278">
          <cell r="C278" t="str">
            <v>PSS</v>
          </cell>
        </row>
        <row r="279">
          <cell r="C279" t="str">
            <v>TODP</v>
          </cell>
          <cell r="K279">
            <v>313471868.05076802</v>
          </cell>
        </row>
        <row r="280">
          <cell r="C280" t="str">
            <v>TODS</v>
          </cell>
        </row>
        <row r="281">
          <cell r="C281" t="str">
            <v>SQF</v>
          </cell>
        </row>
        <row r="282">
          <cell r="C282" t="str">
            <v>SQF</v>
          </cell>
        </row>
        <row r="283">
          <cell r="C283" t="str">
            <v>LQF</v>
          </cell>
        </row>
        <row r="284">
          <cell r="C284" t="str">
            <v>GS</v>
          </cell>
        </row>
        <row r="285">
          <cell r="C285" t="str">
            <v>GS3</v>
          </cell>
        </row>
        <row r="286">
          <cell r="C286" t="str">
            <v>RS</v>
          </cell>
        </row>
        <row r="287">
          <cell r="C287" t="str">
            <v>RS</v>
          </cell>
        </row>
        <row r="288">
          <cell r="C288" t="str">
            <v>CSR</v>
          </cell>
        </row>
        <row r="289">
          <cell r="C289" t="str">
            <v>CSR</v>
          </cell>
        </row>
        <row r="290">
          <cell r="C290" t="str">
            <v>CSR</v>
          </cell>
        </row>
        <row r="291">
          <cell r="C291" t="str">
            <v>CSR</v>
          </cell>
        </row>
        <row r="292">
          <cell r="C292" t="str">
            <v>CSR</v>
          </cell>
        </row>
        <row r="293">
          <cell r="C293" t="str">
            <v>GS</v>
          </cell>
        </row>
        <row r="294">
          <cell r="C294" t="str">
            <v>GS</v>
          </cell>
        </row>
        <row r="295">
          <cell r="C295" t="str">
            <v>GS</v>
          </cell>
        </row>
        <row r="296">
          <cell r="C296" t="str">
            <v>GS</v>
          </cell>
        </row>
        <row r="297">
          <cell r="C297" t="str">
            <v>GS</v>
          </cell>
        </row>
        <row r="298">
          <cell r="C298" t="str">
            <v>GS</v>
          </cell>
        </row>
        <row r="299">
          <cell r="C299" t="str">
            <v>GS</v>
          </cell>
        </row>
        <row r="300">
          <cell r="C300" t="str">
            <v>GS</v>
          </cell>
        </row>
        <row r="301">
          <cell r="C301" t="str">
            <v>GS</v>
          </cell>
        </row>
        <row r="302">
          <cell r="C302" t="str">
            <v>GS</v>
          </cell>
        </row>
        <row r="303">
          <cell r="C303" t="str">
            <v>GS</v>
          </cell>
        </row>
        <row r="304">
          <cell r="C304" t="str">
            <v>GS3</v>
          </cell>
        </row>
        <row r="305">
          <cell r="C305" t="str">
            <v>GS3</v>
          </cell>
        </row>
        <row r="306">
          <cell r="C306" t="str">
            <v>RTS</v>
          </cell>
        </row>
        <row r="307">
          <cell r="C307" t="str">
            <v>RTS</v>
          </cell>
          <cell r="K307">
            <v>121011121.1262189</v>
          </cell>
        </row>
        <row r="308">
          <cell r="C308" t="str">
            <v>PSP</v>
          </cell>
        </row>
        <row r="309">
          <cell r="C309" t="str">
            <v>PSP</v>
          </cell>
        </row>
        <row r="310">
          <cell r="C310" t="str">
            <v>PSS</v>
          </cell>
        </row>
        <row r="311">
          <cell r="C311" t="str">
            <v>PSS</v>
          </cell>
        </row>
        <row r="312">
          <cell r="C312" t="str">
            <v>PSP</v>
          </cell>
        </row>
        <row r="313">
          <cell r="C313" t="str">
            <v>PSP</v>
          </cell>
        </row>
        <row r="314">
          <cell r="C314" t="str">
            <v>PSS</v>
          </cell>
        </row>
        <row r="315">
          <cell r="C315" t="str">
            <v>PSS</v>
          </cell>
        </row>
        <row r="316">
          <cell r="C316" t="str">
            <v>TODP</v>
          </cell>
        </row>
        <row r="317">
          <cell r="C317" t="str">
            <v>TODP</v>
          </cell>
        </row>
        <row r="318">
          <cell r="C318" t="str">
            <v>TODS</v>
          </cell>
        </row>
        <row r="319">
          <cell r="C319" t="str">
            <v>TODS</v>
          </cell>
        </row>
        <row r="320">
          <cell r="C320" t="str">
            <v>GS3</v>
          </cell>
        </row>
        <row r="321">
          <cell r="C321" t="str">
            <v>GS3</v>
          </cell>
        </row>
        <row r="322">
          <cell r="C322" t="str">
            <v>FLS</v>
          </cell>
          <cell r="K322">
            <v>47487680.049483702</v>
          </cell>
        </row>
        <row r="323">
          <cell r="C323" t="str">
            <v>FLS</v>
          </cell>
        </row>
        <row r="329">
          <cell r="C329" t="str">
            <v>RS</v>
          </cell>
        </row>
        <row r="330">
          <cell r="C330" t="str">
            <v>RS</v>
          </cell>
          <cell r="K330">
            <v>532467112.11362398</v>
          </cell>
        </row>
        <row r="331">
          <cell r="C331" t="str">
            <v>RS</v>
          </cell>
        </row>
        <row r="332">
          <cell r="C332" t="str">
            <v>RS</v>
          </cell>
        </row>
        <row r="333">
          <cell r="C333" t="str">
            <v>RTOD-E</v>
          </cell>
          <cell r="K333">
            <v>31511.213390159683</v>
          </cell>
        </row>
        <row r="334">
          <cell r="C334" t="str">
            <v>RTOD-D</v>
          </cell>
        </row>
        <row r="335">
          <cell r="C335" t="str">
            <v>RS</v>
          </cell>
        </row>
        <row r="336">
          <cell r="C336" t="str">
            <v>RS</v>
          </cell>
        </row>
        <row r="337">
          <cell r="C337" t="str">
            <v>RS</v>
          </cell>
        </row>
        <row r="338">
          <cell r="C338" t="str">
            <v>RS</v>
          </cell>
        </row>
        <row r="339">
          <cell r="C339" t="str">
            <v>RTS</v>
          </cell>
        </row>
        <row r="340">
          <cell r="C340" t="str">
            <v>PSP</v>
          </cell>
          <cell r="K340">
            <v>12926674.971165713</v>
          </cell>
        </row>
        <row r="341">
          <cell r="C341" t="str">
            <v>PSS</v>
          </cell>
        </row>
        <row r="342">
          <cell r="C342" t="str">
            <v>TODP</v>
          </cell>
        </row>
        <row r="343">
          <cell r="C343" t="str">
            <v>PSP</v>
          </cell>
        </row>
        <row r="344">
          <cell r="C344" t="str">
            <v>PSS</v>
          </cell>
        </row>
        <row r="345">
          <cell r="C345" t="str">
            <v>TODP</v>
          </cell>
        </row>
        <row r="346">
          <cell r="C346" t="str">
            <v>TODS</v>
          </cell>
          <cell r="K346">
            <v>126819256.92690147</v>
          </cell>
        </row>
        <row r="347">
          <cell r="C347" t="str">
            <v>TOD</v>
          </cell>
        </row>
        <row r="348">
          <cell r="C348" t="str">
            <v>MPT</v>
          </cell>
        </row>
        <row r="349">
          <cell r="C349" t="str">
            <v>MPP</v>
          </cell>
        </row>
        <row r="350">
          <cell r="C350" t="str">
            <v>LTOD</v>
          </cell>
        </row>
        <row r="351">
          <cell r="C351" t="str">
            <v>LTOD</v>
          </cell>
        </row>
        <row r="352">
          <cell r="C352" t="str">
            <v>MPP PF</v>
          </cell>
        </row>
        <row r="353">
          <cell r="C353" t="str">
            <v>MPT PF</v>
          </cell>
        </row>
        <row r="354">
          <cell r="C354" t="str">
            <v>LEV</v>
          </cell>
        </row>
        <row r="355">
          <cell r="C355" t="str">
            <v>GS</v>
          </cell>
        </row>
        <row r="356">
          <cell r="C356" t="str">
            <v>GS</v>
          </cell>
        </row>
        <row r="357">
          <cell r="C357" t="str">
            <v>GS3</v>
          </cell>
        </row>
        <row r="358">
          <cell r="C358" t="str">
            <v>GS3</v>
          </cell>
        </row>
        <row r="359">
          <cell r="C359" t="str">
            <v>LEV</v>
          </cell>
        </row>
        <row r="360">
          <cell r="C360" t="str">
            <v>CSR</v>
          </cell>
        </row>
        <row r="361">
          <cell r="C361" t="str">
            <v>CSR</v>
          </cell>
        </row>
        <row r="362">
          <cell r="C362" t="str">
            <v>CSR</v>
          </cell>
        </row>
        <row r="363">
          <cell r="C363" t="str">
            <v>CSR</v>
          </cell>
        </row>
        <row r="364">
          <cell r="C364" t="str">
            <v>CSR</v>
          </cell>
        </row>
        <row r="365">
          <cell r="C365" t="str">
            <v>CSR</v>
          </cell>
        </row>
        <row r="366">
          <cell r="C366" t="str">
            <v>CSR</v>
          </cell>
        </row>
        <row r="367">
          <cell r="C367" t="str">
            <v>CSR</v>
          </cell>
        </row>
        <row r="368">
          <cell r="C368" t="str">
            <v>LEV</v>
          </cell>
        </row>
        <row r="369">
          <cell r="C369" t="str">
            <v>LEV</v>
          </cell>
        </row>
        <row r="370">
          <cell r="C370" t="str">
            <v>GS</v>
          </cell>
        </row>
        <row r="371">
          <cell r="C371" t="str">
            <v>PSP</v>
          </cell>
        </row>
        <row r="372">
          <cell r="C372" t="str">
            <v>PSS</v>
          </cell>
        </row>
        <row r="373">
          <cell r="C373" t="str">
            <v>PSS</v>
          </cell>
        </row>
        <row r="374">
          <cell r="C374" t="str">
            <v>PSP</v>
          </cell>
        </row>
        <row r="375">
          <cell r="C375" t="str">
            <v>PSP</v>
          </cell>
        </row>
        <row r="376">
          <cell r="C376" t="str">
            <v>GS</v>
          </cell>
        </row>
        <row r="377">
          <cell r="C377" t="str">
            <v>RS</v>
          </cell>
        </row>
        <row r="378">
          <cell r="C378" t="str">
            <v>RS</v>
          </cell>
        </row>
        <row r="379">
          <cell r="C379" t="str">
            <v>GS</v>
          </cell>
          <cell r="K379">
            <v>52960713.851201646</v>
          </cell>
        </row>
        <row r="380">
          <cell r="C380" t="str">
            <v>GS</v>
          </cell>
        </row>
        <row r="381">
          <cell r="C381" t="str">
            <v>GS3</v>
          </cell>
          <cell r="K381">
            <v>70799801.654426351</v>
          </cell>
        </row>
        <row r="382">
          <cell r="C382" t="str">
            <v>AES</v>
          </cell>
          <cell r="K382">
            <v>551000</v>
          </cell>
        </row>
        <row r="383">
          <cell r="C383" t="str">
            <v>AES</v>
          </cell>
        </row>
        <row r="384">
          <cell r="C384" t="str">
            <v>AES3</v>
          </cell>
          <cell r="K384">
            <v>11204000</v>
          </cell>
        </row>
        <row r="385">
          <cell r="C385" t="str">
            <v>AES3</v>
          </cell>
        </row>
        <row r="386">
          <cell r="C386" t="str">
            <v>AES3</v>
          </cell>
        </row>
        <row r="387">
          <cell r="C387" t="str">
            <v>AES3</v>
          </cell>
        </row>
        <row r="388">
          <cell r="C388" t="str">
            <v>AES3</v>
          </cell>
        </row>
        <row r="389">
          <cell r="C389" t="str">
            <v>AES</v>
          </cell>
        </row>
        <row r="390">
          <cell r="C390" t="str">
            <v>LE</v>
          </cell>
          <cell r="K390">
            <v>37456.172350536974</v>
          </cell>
        </row>
        <row r="391">
          <cell r="C391" t="str">
            <v>LE</v>
          </cell>
        </row>
        <row r="392">
          <cell r="C392" t="str">
            <v>LE</v>
          </cell>
        </row>
        <row r="393">
          <cell r="C393" t="str">
            <v>TE</v>
          </cell>
          <cell r="K393">
            <v>112784.33727769413</v>
          </cell>
        </row>
        <row r="394">
          <cell r="C394" t="str">
            <v>TE</v>
          </cell>
        </row>
        <row r="395">
          <cell r="C395" t="str">
            <v>TE</v>
          </cell>
        </row>
        <row r="396">
          <cell r="C396" t="str">
            <v>RTS</v>
          </cell>
        </row>
        <row r="397">
          <cell r="C397" t="str">
            <v>PSP</v>
          </cell>
        </row>
        <row r="398">
          <cell r="C398" t="str">
            <v>PSS</v>
          </cell>
          <cell r="K398">
            <v>143676479.04327977</v>
          </cell>
        </row>
        <row r="399">
          <cell r="C399" t="str">
            <v>PSP</v>
          </cell>
        </row>
        <row r="400">
          <cell r="C400" t="str">
            <v>PSS</v>
          </cell>
        </row>
        <row r="401">
          <cell r="C401" t="str">
            <v>TODP</v>
          </cell>
          <cell r="K401">
            <v>312658487.11057991</v>
          </cell>
        </row>
        <row r="402">
          <cell r="C402" t="str">
            <v>TODS</v>
          </cell>
        </row>
        <row r="403">
          <cell r="C403" t="str">
            <v>SQF</v>
          </cell>
        </row>
        <row r="404">
          <cell r="C404" t="str">
            <v>SQF</v>
          </cell>
        </row>
        <row r="405">
          <cell r="C405" t="str">
            <v>LQF</v>
          </cell>
        </row>
        <row r="406">
          <cell r="C406" t="str">
            <v>GS</v>
          </cell>
        </row>
        <row r="407">
          <cell r="C407" t="str">
            <v>GS3</v>
          </cell>
        </row>
        <row r="408">
          <cell r="C408" t="str">
            <v>RS</v>
          </cell>
        </row>
        <row r="409">
          <cell r="C409" t="str">
            <v>RS</v>
          </cell>
        </row>
        <row r="410">
          <cell r="C410" t="str">
            <v>CSR</v>
          </cell>
        </row>
        <row r="411">
          <cell r="C411" t="str">
            <v>CSR</v>
          </cell>
        </row>
        <row r="412">
          <cell r="C412" t="str">
            <v>CSR</v>
          </cell>
        </row>
        <row r="413">
          <cell r="C413" t="str">
            <v>CSR</v>
          </cell>
        </row>
        <row r="414">
          <cell r="C414" t="str">
            <v>CSR</v>
          </cell>
        </row>
        <row r="415">
          <cell r="C415" t="str">
            <v>GS</v>
          </cell>
        </row>
        <row r="416">
          <cell r="C416" t="str">
            <v>GS</v>
          </cell>
        </row>
        <row r="417">
          <cell r="C417" t="str">
            <v>GS</v>
          </cell>
        </row>
        <row r="418">
          <cell r="C418" t="str">
            <v>GS</v>
          </cell>
        </row>
        <row r="419">
          <cell r="C419" t="str">
            <v>GS</v>
          </cell>
        </row>
        <row r="420">
          <cell r="C420" t="str">
            <v>GS</v>
          </cell>
        </row>
        <row r="421">
          <cell r="C421" t="str">
            <v>GS</v>
          </cell>
        </row>
        <row r="422">
          <cell r="C422" t="str">
            <v>GS</v>
          </cell>
        </row>
        <row r="423">
          <cell r="C423" t="str">
            <v>GS</v>
          </cell>
        </row>
        <row r="424">
          <cell r="C424" t="str">
            <v>GS</v>
          </cell>
        </row>
        <row r="425">
          <cell r="C425" t="str">
            <v>GS</v>
          </cell>
        </row>
        <row r="426">
          <cell r="C426" t="str">
            <v>GS3</v>
          </cell>
        </row>
        <row r="427">
          <cell r="C427" t="str">
            <v>GS3</v>
          </cell>
        </row>
        <row r="428">
          <cell r="C428" t="str">
            <v>RTS</v>
          </cell>
        </row>
        <row r="429">
          <cell r="C429" t="str">
            <v>RTS</v>
          </cell>
          <cell r="K429">
            <v>118033836.43614669</v>
          </cell>
        </row>
        <row r="430">
          <cell r="C430" t="str">
            <v>PSP</v>
          </cell>
        </row>
        <row r="431">
          <cell r="C431" t="str">
            <v>PSP</v>
          </cell>
        </row>
        <row r="432">
          <cell r="C432" t="str">
            <v>PSS</v>
          </cell>
        </row>
        <row r="433">
          <cell r="C433" t="str">
            <v>PSS</v>
          </cell>
        </row>
        <row r="434">
          <cell r="C434" t="str">
            <v>PSP</v>
          </cell>
        </row>
        <row r="435">
          <cell r="C435" t="str">
            <v>PSP</v>
          </cell>
        </row>
        <row r="436">
          <cell r="C436" t="str">
            <v>PSS</v>
          </cell>
        </row>
        <row r="437">
          <cell r="C437" t="str">
            <v>PSS</v>
          </cell>
        </row>
        <row r="438">
          <cell r="C438" t="str">
            <v>TODP</v>
          </cell>
        </row>
        <row r="439">
          <cell r="C439" t="str">
            <v>TODP</v>
          </cell>
        </row>
        <row r="440">
          <cell r="C440" t="str">
            <v>TODS</v>
          </cell>
        </row>
        <row r="441">
          <cell r="C441" t="str">
            <v>TODS</v>
          </cell>
        </row>
        <row r="442">
          <cell r="C442" t="str">
            <v>GS3</v>
          </cell>
        </row>
        <row r="443">
          <cell r="C443" t="str">
            <v>GS3</v>
          </cell>
        </row>
        <row r="444">
          <cell r="C444" t="str">
            <v>FLS</v>
          </cell>
          <cell r="K444">
            <v>48026205.778607696</v>
          </cell>
        </row>
        <row r="445">
          <cell r="C445" t="str">
            <v>FLS</v>
          </cell>
        </row>
        <row r="451">
          <cell r="C451" t="str">
            <v>RS</v>
          </cell>
        </row>
        <row r="452">
          <cell r="C452" t="str">
            <v>RS</v>
          </cell>
          <cell r="K452">
            <v>367882886.53898299</v>
          </cell>
        </row>
        <row r="453">
          <cell r="C453" t="str">
            <v>RS</v>
          </cell>
        </row>
        <row r="454">
          <cell r="C454" t="str">
            <v>RS</v>
          </cell>
        </row>
        <row r="455">
          <cell r="C455" t="str">
            <v>RTOD-E</v>
          </cell>
          <cell r="K455">
            <v>22289.760695002704</v>
          </cell>
        </row>
        <row r="456">
          <cell r="C456" t="str">
            <v>RTOD-D</v>
          </cell>
        </row>
        <row r="457">
          <cell r="C457" t="str">
            <v>RS</v>
          </cell>
        </row>
        <row r="458">
          <cell r="C458" t="str">
            <v>RS</v>
          </cell>
        </row>
        <row r="459">
          <cell r="C459" t="str">
            <v>RS</v>
          </cell>
        </row>
        <row r="460">
          <cell r="C460" t="str">
            <v>RS</v>
          </cell>
        </row>
        <row r="461">
          <cell r="C461" t="str">
            <v>RTS</v>
          </cell>
        </row>
        <row r="462">
          <cell r="C462" t="str">
            <v>PSP</v>
          </cell>
          <cell r="K462">
            <v>12893133.489096072</v>
          </cell>
        </row>
        <row r="463">
          <cell r="C463" t="str">
            <v>PSS</v>
          </cell>
        </row>
        <row r="464">
          <cell r="C464" t="str">
            <v>TODP</v>
          </cell>
        </row>
        <row r="465">
          <cell r="C465" t="str">
            <v>PSP</v>
          </cell>
        </row>
        <row r="466">
          <cell r="C466" t="str">
            <v>PSS</v>
          </cell>
        </row>
        <row r="467">
          <cell r="C467" t="str">
            <v>TODP</v>
          </cell>
        </row>
        <row r="468">
          <cell r="C468" t="str">
            <v>TODS</v>
          </cell>
          <cell r="K468">
            <v>125611788.52217272</v>
          </cell>
        </row>
        <row r="469">
          <cell r="C469" t="str">
            <v>TOD</v>
          </cell>
        </row>
        <row r="470">
          <cell r="C470" t="str">
            <v>MPT</v>
          </cell>
        </row>
        <row r="471">
          <cell r="C471" t="str">
            <v>MPP</v>
          </cell>
        </row>
        <row r="472">
          <cell r="C472" t="str">
            <v>LTOD</v>
          </cell>
        </row>
        <row r="473">
          <cell r="C473" t="str">
            <v>LTOD</v>
          </cell>
        </row>
        <row r="474">
          <cell r="C474" t="str">
            <v>MPP PF</v>
          </cell>
        </row>
        <row r="475">
          <cell r="C475" t="str">
            <v>MPT PF</v>
          </cell>
        </row>
        <row r="476">
          <cell r="C476" t="str">
            <v>LEV</v>
          </cell>
        </row>
        <row r="477">
          <cell r="C477" t="str">
            <v>GS</v>
          </cell>
        </row>
        <row r="478">
          <cell r="C478" t="str">
            <v>GS</v>
          </cell>
        </row>
        <row r="479">
          <cell r="C479" t="str">
            <v>GS3</v>
          </cell>
        </row>
        <row r="480">
          <cell r="C480" t="str">
            <v>GS3</v>
          </cell>
        </row>
        <row r="481">
          <cell r="C481" t="str">
            <v>LEV</v>
          </cell>
        </row>
        <row r="482">
          <cell r="C482" t="str">
            <v>CSR</v>
          </cell>
        </row>
        <row r="483">
          <cell r="C483" t="str">
            <v>CSR</v>
          </cell>
        </row>
        <row r="484">
          <cell r="C484" t="str">
            <v>CSR</v>
          </cell>
        </row>
        <row r="485">
          <cell r="C485" t="str">
            <v>CSR</v>
          </cell>
        </row>
        <row r="486">
          <cell r="C486" t="str">
            <v>CSR</v>
          </cell>
        </row>
        <row r="487">
          <cell r="C487" t="str">
            <v>CSR</v>
          </cell>
        </row>
        <row r="488">
          <cell r="C488" t="str">
            <v>CSR</v>
          </cell>
        </row>
        <row r="489">
          <cell r="C489" t="str">
            <v>CSR</v>
          </cell>
        </row>
        <row r="490">
          <cell r="C490" t="str">
            <v>LEV</v>
          </cell>
        </row>
        <row r="491">
          <cell r="C491" t="str">
            <v>LEV</v>
          </cell>
        </row>
        <row r="492">
          <cell r="C492" t="str">
            <v>GS</v>
          </cell>
        </row>
        <row r="493">
          <cell r="C493" t="str">
            <v>PSP</v>
          </cell>
        </row>
        <row r="494">
          <cell r="C494" t="str">
            <v>PSS</v>
          </cell>
        </row>
        <row r="495">
          <cell r="C495" t="str">
            <v>PSS</v>
          </cell>
        </row>
        <row r="496">
          <cell r="C496" t="str">
            <v>PSP</v>
          </cell>
        </row>
        <row r="497">
          <cell r="C497" t="str">
            <v>PSP</v>
          </cell>
        </row>
        <row r="498">
          <cell r="C498" t="str">
            <v>GS</v>
          </cell>
        </row>
        <row r="499">
          <cell r="C499" t="str">
            <v>RS</v>
          </cell>
        </row>
        <row r="500">
          <cell r="C500" t="str">
            <v>RS</v>
          </cell>
        </row>
        <row r="501">
          <cell r="C501" t="str">
            <v>GS</v>
          </cell>
          <cell r="K501">
            <v>56152375.485459454</v>
          </cell>
        </row>
        <row r="502">
          <cell r="C502" t="str">
            <v>GS</v>
          </cell>
        </row>
        <row r="503">
          <cell r="C503" t="str">
            <v>GS3</v>
          </cell>
          <cell r="K503">
            <v>82728907.452432171</v>
          </cell>
        </row>
        <row r="504">
          <cell r="C504" t="str">
            <v>AES</v>
          </cell>
          <cell r="K504">
            <v>572000</v>
          </cell>
        </row>
        <row r="505">
          <cell r="C505" t="str">
            <v>AES</v>
          </cell>
        </row>
        <row r="506">
          <cell r="C506" t="str">
            <v>AES3</v>
          </cell>
          <cell r="K506">
            <v>11631000</v>
          </cell>
        </row>
        <row r="507">
          <cell r="C507" t="str">
            <v>AES3</v>
          </cell>
        </row>
        <row r="508">
          <cell r="C508" t="str">
            <v>AES3</v>
          </cell>
        </row>
        <row r="509">
          <cell r="C509" t="str">
            <v>AES3</v>
          </cell>
        </row>
        <row r="510">
          <cell r="C510" t="str">
            <v>AES3</v>
          </cell>
        </row>
        <row r="511">
          <cell r="C511" t="str">
            <v>AES</v>
          </cell>
        </row>
        <row r="512">
          <cell r="C512" t="str">
            <v>LE</v>
          </cell>
          <cell r="K512">
            <v>35496.612992405004</v>
          </cell>
        </row>
        <row r="513">
          <cell r="C513" t="str">
            <v>LE</v>
          </cell>
        </row>
        <row r="514">
          <cell r="C514" t="str">
            <v>LE</v>
          </cell>
        </row>
        <row r="515">
          <cell r="C515" t="str">
            <v>TE</v>
          </cell>
          <cell r="K515">
            <v>118027.83579471071</v>
          </cell>
        </row>
        <row r="516">
          <cell r="C516" t="str">
            <v>TE</v>
          </cell>
        </row>
        <row r="517">
          <cell r="C517" t="str">
            <v>TE</v>
          </cell>
        </row>
        <row r="518">
          <cell r="C518" t="str">
            <v>RTS</v>
          </cell>
        </row>
        <row r="519">
          <cell r="C519" t="str">
            <v>PSP</v>
          </cell>
        </row>
        <row r="520">
          <cell r="C520" t="str">
            <v>PSS</v>
          </cell>
          <cell r="K520">
            <v>168152223.5840404</v>
          </cell>
        </row>
        <row r="521">
          <cell r="C521" t="str">
            <v>PSP</v>
          </cell>
        </row>
        <row r="522">
          <cell r="C522" t="str">
            <v>PSS</v>
          </cell>
        </row>
        <row r="523">
          <cell r="C523" t="str">
            <v>TODP</v>
          </cell>
          <cell r="K523">
            <v>363394293.0927574</v>
          </cell>
        </row>
        <row r="524">
          <cell r="C524" t="str">
            <v>TODS</v>
          </cell>
        </row>
        <row r="525">
          <cell r="C525" t="str">
            <v>SQF</v>
          </cell>
        </row>
        <row r="526">
          <cell r="C526" t="str">
            <v>SQF</v>
          </cell>
        </row>
        <row r="527">
          <cell r="C527" t="str">
            <v>LQF</v>
          </cell>
        </row>
        <row r="528">
          <cell r="C528" t="str">
            <v>GS</v>
          </cell>
        </row>
        <row r="529">
          <cell r="C529" t="str">
            <v>GS3</v>
          </cell>
        </row>
        <row r="530">
          <cell r="C530" t="str">
            <v>RS</v>
          </cell>
        </row>
        <row r="531">
          <cell r="C531" t="str">
            <v>RS</v>
          </cell>
        </row>
        <row r="532">
          <cell r="C532" t="str">
            <v>CSR</v>
          </cell>
        </row>
        <row r="533">
          <cell r="C533" t="str">
            <v>CSR</v>
          </cell>
        </row>
        <row r="534">
          <cell r="C534" t="str">
            <v>CSR</v>
          </cell>
        </row>
        <row r="535">
          <cell r="C535" t="str">
            <v>CSR</v>
          </cell>
        </row>
        <row r="536">
          <cell r="C536" t="str">
            <v>CSR</v>
          </cell>
        </row>
        <row r="537">
          <cell r="C537" t="str">
            <v>GS</v>
          </cell>
        </row>
        <row r="538">
          <cell r="C538" t="str">
            <v>GS</v>
          </cell>
        </row>
        <row r="539">
          <cell r="C539" t="str">
            <v>GS</v>
          </cell>
        </row>
        <row r="540">
          <cell r="C540" t="str">
            <v>GS</v>
          </cell>
        </row>
        <row r="541">
          <cell r="C541" t="str">
            <v>GS</v>
          </cell>
        </row>
        <row r="542">
          <cell r="C542" t="str">
            <v>GS</v>
          </cell>
        </row>
        <row r="543">
          <cell r="C543" t="str">
            <v>GS</v>
          </cell>
        </row>
        <row r="544">
          <cell r="C544" t="str">
            <v>GS</v>
          </cell>
        </row>
        <row r="545">
          <cell r="C545" t="str">
            <v>GS</v>
          </cell>
        </row>
        <row r="546">
          <cell r="C546" t="str">
            <v>GS</v>
          </cell>
        </row>
        <row r="547">
          <cell r="C547" t="str">
            <v>GS</v>
          </cell>
        </row>
        <row r="548">
          <cell r="C548" t="str">
            <v>GS3</v>
          </cell>
        </row>
        <row r="549">
          <cell r="C549" t="str">
            <v>GS3</v>
          </cell>
        </row>
        <row r="550">
          <cell r="C550" t="str">
            <v>RTS</v>
          </cell>
        </row>
        <row r="551">
          <cell r="C551" t="str">
            <v>RTS</v>
          </cell>
          <cell r="K551">
            <v>136564871.36022782</v>
          </cell>
        </row>
        <row r="552">
          <cell r="C552" t="str">
            <v>PSP</v>
          </cell>
        </row>
        <row r="553">
          <cell r="C553" t="str">
            <v>PSP</v>
          </cell>
        </row>
        <row r="554">
          <cell r="C554" t="str">
            <v>PSS</v>
          </cell>
        </row>
        <row r="555">
          <cell r="C555" t="str">
            <v>PSS</v>
          </cell>
        </row>
        <row r="556">
          <cell r="C556" t="str">
            <v>PSP</v>
          </cell>
        </row>
        <row r="557">
          <cell r="C557" t="str">
            <v>PSP</v>
          </cell>
        </row>
        <row r="558">
          <cell r="C558" t="str">
            <v>PSS</v>
          </cell>
        </row>
        <row r="559">
          <cell r="C559" t="str">
            <v>PSS</v>
          </cell>
        </row>
        <row r="560">
          <cell r="C560" t="str">
            <v>TODP</v>
          </cell>
        </row>
        <row r="561">
          <cell r="C561" t="str">
            <v>TODP</v>
          </cell>
        </row>
        <row r="562">
          <cell r="C562" t="str">
            <v>TODS</v>
          </cell>
        </row>
        <row r="563">
          <cell r="C563" t="str">
            <v>TODS</v>
          </cell>
        </row>
        <row r="564">
          <cell r="C564" t="str">
            <v>GS3</v>
          </cell>
        </row>
        <row r="565">
          <cell r="C565" t="str">
            <v>GS3</v>
          </cell>
        </row>
        <row r="566">
          <cell r="C566" t="str">
            <v>FLS</v>
          </cell>
          <cell r="K566">
            <v>47838801.266908802</v>
          </cell>
        </row>
        <row r="567">
          <cell r="C567" t="str">
            <v>FLS</v>
          </cell>
        </row>
        <row r="573">
          <cell r="C573" t="str">
            <v>RS</v>
          </cell>
        </row>
        <row r="574">
          <cell r="C574" t="str">
            <v>RS</v>
          </cell>
          <cell r="K574">
            <v>373489493.27129209</v>
          </cell>
        </row>
        <row r="575">
          <cell r="C575" t="str">
            <v>RS</v>
          </cell>
        </row>
        <row r="576">
          <cell r="C576" t="str">
            <v>RS</v>
          </cell>
        </row>
        <row r="577">
          <cell r="C577" t="str">
            <v>RTOD-E</v>
          </cell>
          <cell r="K577">
            <v>23136.864862405946</v>
          </cell>
        </row>
        <row r="578">
          <cell r="C578" t="str">
            <v>RTOD-D</v>
          </cell>
        </row>
        <row r="579">
          <cell r="C579" t="str">
            <v>RS</v>
          </cell>
        </row>
        <row r="580">
          <cell r="C580" t="str">
            <v>RS</v>
          </cell>
        </row>
        <row r="581">
          <cell r="C581" t="str">
            <v>RS</v>
          </cell>
        </row>
        <row r="582">
          <cell r="C582" t="str">
            <v>RS</v>
          </cell>
        </row>
        <row r="583">
          <cell r="C583" t="str">
            <v>RTS</v>
          </cell>
        </row>
        <row r="584">
          <cell r="C584" t="str">
            <v>PSP</v>
          </cell>
          <cell r="K584">
            <v>14985331.673928164</v>
          </cell>
        </row>
        <row r="585">
          <cell r="C585" t="str">
            <v>PSS</v>
          </cell>
        </row>
        <row r="586">
          <cell r="C586" t="str">
            <v>TODP</v>
          </cell>
        </row>
        <row r="587">
          <cell r="C587" t="str">
            <v>PSP</v>
          </cell>
        </row>
        <row r="588">
          <cell r="C588" t="str">
            <v>PSS</v>
          </cell>
        </row>
        <row r="589">
          <cell r="C589" t="str">
            <v>TODP</v>
          </cell>
        </row>
        <row r="590">
          <cell r="C590" t="str">
            <v>TODS</v>
          </cell>
          <cell r="K590">
            <v>146207283.5413301</v>
          </cell>
        </row>
        <row r="591">
          <cell r="C591" t="str">
            <v>TOD</v>
          </cell>
        </row>
        <row r="592">
          <cell r="C592" t="str">
            <v>MPT</v>
          </cell>
        </row>
        <row r="593">
          <cell r="C593" t="str">
            <v>MPP</v>
          </cell>
        </row>
        <row r="594">
          <cell r="C594" t="str">
            <v>LTOD</v>
          </cell>
        </row>
        <row r="595">
          <cell r="C595" t="str">
            <v>LTOD</v>
          </cell>
        </row>
        <row r="596">
          <cell r="C596" t="str">
            <v>MPP PF</v>
          </cell>
        </row>
        <row r="597">
          <cell r="C597" t="str">
            <v>MPT PF</v>
          </cell>
        </row>
        <row r="598">
          <cell r="C598" t="str">
            <v>LEV</v>
          </cell>
        </row>
        <row r="599">
          <cell r="C599" t="str">
            <v>GS</v>
          </cell>
        </row>
        <row r="600">
          <cell r="C600" t="str">
            <v>GS</v>
          </cell>
        </row>
        <row r="601">
          <cell r="C601" t="str">
            <v>GS3</v>
          </cell>
        </row>
        <row r="602">
          <cell r="C602" t="str">
            <v>GS3</v>
          </cell>
        </row>
        <row r="603">
          <cell r="C603" t="str">
            <v>LEV</v>
          </cell>
        </row>
        <row r="604">
          <cell r="C604" t="str">
            <v>CSR</v>
          </cell>
        </row>
        <row r="605">
          <cell r="C605" t="str">
            <v>CSR</v>
          </cell>
        </row>
        <row r="606">
          <cell r="C606" t="str">
            <v>CSR</v>
          </cell>
        </row>
        <row r="607">
          <cell r="C607" t="str">
            <v>CSR</v>
          </cell>
        </row>
        <row r="608">
          <cell r="C608" t="str">
            <v>CSR</v>
          </cell>
        </row>
        <row r="609">
          <cell r="C609" t="str">
            <v>CSR</v>
          </cell>
        </row>
        <row r="610">
          <cell r="C610" t="str">
            <v>CSR</v>
          </cell>
        </row>
        <row r="611">
          <cell r="C611" t="str">
            <v>CSR</v>
          </cell>
        </row>
        <row r="612">
          <cell r="C612" t="str">
            <v>LEV</v>
          </cell>
        </row>
        <row r="613">
          <cell r="C613" t="str">
            <v>LEV</v>
          </cell>
        </row>
        <row r="614">
          <cell r="C614" t="str">
            <v>GS</v>
          </cell>
        </row>
        <row r="615">
          <cell r="C615" t="str">
            <v>PSP</v>
          </cell>
        </row>
        <row r="616">
          <cell r="C616" t="str">
            <v>PSS</v>
          </cell>
        </row>
        <row r="617">
          <cell r="C617" t="str">
            <v>PSS</v>
          </cell>
        </row>
        <row r="618">
          <cell r="C618" t="str">
            <v>PSP</v>
          </cell>
        </row>
        <row r="619">
          <cell r="C619" t="str">
            <v>PSP</v>
          </cell>
        </row>
        <row r="620">
          <cell r="C620" t="str">
            <v>GS</v>
          </cell>
        </row>
        <row r="621">
          <cell r="C621" t="str">
            <v>RS</v>
          </cell>
        </row>
        <row r="622">
          <cell r="C622" t="str">
            <v>RS</v>
          </cell>
        </row>
        <row r="623">
          <cell r="C623" t="str">
            <v>GS</v>
          </cell>
          <cell r="K623">
            <v>63599546.024280377</v>
          </cell>
        </row>
        <row r="624">
          <cell r="C624" t="str">
            <v>GS</v>
          </cell>
        </row>
        <row r="625">
          <cell r="C625" t="str">
            <v>GS3</v>
          </cell>
          <cell r="K625">
            <v>95195283.442038551</v>
          </cell>
        </row>
        <row r="626">
          <cell r="C626" t="str">
            <v>AES</v>
          </cell>
          <cell r="K626">
            <v>558000</v>
          </cell>
        </row>
        <row r="627">
          <cell r="C627" t="str">
            <v>AES</v>
          </cell>
        </row>
        <row r="628">
          <cell r="C628" t="str">
            <v>AES3</v>
          </cell>
          <cell r="K628">
            <v>11338000</v>
          </cell>
        </row>
        <row r="629">
          <cell r="C629" t="str">
            <v>AES3</v>
          </cell>
        </row>
        <row r="630">
          <cell r="C630" t="str">
            <v>AES3</v>
          </cell>
        </row>
        <row r="631">
          <cell r="C631" t="str">
            <v>AES3</v>
          </cell>
        </row>
        <row r="632">
          <cell r="C632" t="str">
            <v>AES3</v>
          </cell>
        </row>
        <row r="633">
          <cell r="C633" t="str">
            <v>AES</v>
          </cell>
        </row>
        <row r="634">
          <cell r="C634" t="str">
            <v>LE</v>
          </cell>
          <cell r="K634">
            <v>38646.939579554142</v>
          </cell>
        </row>
        <row r="635">
          <cell r="C635" t="str">
            <v>LE</v>
          </cell>
        </row>
        <row r="636">
          <cell r="C636" t="str">
            <v>LE</v>
          </cell>
        </row>
        <row r="637">
          <cell r="C637" t="str">
            <v>TE</v>
          </cell>
          <cell r="K637">
            <v>122387.2269268934</v>
          </cell>
        </row>
        <row r="638">
          <cell r="C638" t="str">
            <v>TE</v>
          </cell>
        </row>
        <row r="639">
          <cell r="C639" t="str">
            <v>TE</v>
          </cell>
        </row>
        <row r="640">
          <cell r="C640" t="str">
            <v>RTS</v>
          </cell>
        </row>
        <row r="641">
          <cell r="C641" t="str">
            <v>PSP</v>
          </cell>
        </row>
        <row r="642">
          <cell r="C642" t="str">
            <v>PSS</v>
          </cell>
          <cell r="K642">
            <v>193182125.90242544</v>
          </cell>
        </row>
        <row r="643">
          <cell r="C643" t="str">
            <v>PSP</v>
          </cell>
        </row>
        <row r="644">
          <cell r="C644" t="str">
            <v>PSS</v>
          </cell>
        </row>
        <row r="645">
          <cell r="C645" t="str">
            <v>TODP</v>
          </cell>
          <cell r="K645">
            <v>376654323.88324076</v>
          </cell>
        </row>
        <row r="646">
          <cell r="C646" t="str">
            <v>TODS</v>
          </cell>
        </row>
        <row r="647">
          <cell r="C647" t="str">
            <v>SQF</v>
          </cell>
        </row>
        <row r="648">
          <cell r="C648" t="str">
            <v>SQF</v>
          </cell>
        </row>
        <row r="649">
          <cell r="C649" t="str">
            <v>LQF</v>
          </cell>
        </row>
        <row r="650">
          <cell r="C650" t="str">
            <v>GS</v>
          </cell>
        </row>
        <row r="651">
          <cell r="C651" t="str">
            <v>GS3</v>
          </cell>
        </row>
        <row r="652">
          <cell r="C652" t="str">
            <v>RS</v>
          </cell>
        </row>
        <row r="653">
          <cell r="C653" t="str">
            <v>RS</v>
          </cell>
        </row>
        <row r="654">
          <cell r="C654" t="str">
            <v>CSR</v>
          </cell>
        </row>
        <row r="655">
          <cell r="C655" t="str">
            <v>CSR</v>
          </cell>
        </row>
        <row r="656">
          <cell r="C656" t="str">
            <v>CSR</v>
          </cell>
        </row>
        <row r="657">
          <cell r="C657" t="str">
            <v>CSR</v>
          </cell>
        </row>
        <row r="658">
          <cell r="C658" t="str">
            <v>CSR</v>
          </cell>
        </row>
        <row r="659">
          <cell r="C659" t="str">
            <v>GS</v>
          </cell>
        </row>
        <row r="660">
          <cell r="C660" t="str">
            <v>GS</v>
          </cell>
        </row>
        <row r="661">
          <cell r="C661" t="str">
            <v>GS</v>
          </cell>
        </row>
        <row r="662">
          <cell r="C662" t="str">
            <v>GS</v>
          </cell>
        </row>
        <row r="663">
          <cell r="C663" t="str">
            <v>GS</v>
          </cell>
        </row>
        <row r="664">
          <cell r="C664" t="str">
            <v>GS</v>
          </cell>
        </row>
        <row r="665">
          <cell r="C665" t="str">
            <v>GS</v>
          </cell>
        </row>
        <row r="666">
          <cell r="C666" t="str">
            <v>GS</v>
          </cell>
        </row>
        <row r="667">
          <cell r="C667" t="str">
            <v>GS</v>
          </cell>
        </row>
        <row r="668">
          <cell r="C668" t="str">
            <v>GS</v>
          </cell>
        </row>
        <row r="669">
          <cell r="C669" t="str">
            <v>GS</v>
          </cell>
        </row>
        <row r="670">
          <cell r="C670" t="str">
            <v>GS3</v>
          </cell>
        </row>
        <row r="671">
          <cell r="C671" t="str">
            <v>GS3</v>
          </cell>
        </row>
        <row r="672">
          <cell r="C672" t="str">
            <v>RTS</v>
          </cell>
        </row>
        <row r="673">
          <cell r="C673" t="str">
            <v>RTS</v>
          </cell>
          <cell r="K673">
            <v>132425398.58144915</v>
          </cell>
        </row>
        <row r="674">
          <cell r="C674" t="str">
            <v>PSP</v>
          </cell>
        </row>
        <row r="675">
          <cell r="C675" t="str">
            <v>PSP</v>
          </cell>
        </row>
        <row r="676">
          <cell r="C676" t="str">
            <v>PSS</v>
          </cell>
        </row>
        <row r="677">
          <cell r="C677" t="str">
            <v>PSS</v>
          </cell>
        </row>
        <row r="678">
          <cell r="C678" t="str">
            <v>PSP</v>
          </cell>
        </row>
        <row r="679">
          <cell r="C679" t="str">
            <v>PSP</v>
          </cell>
        </row>
        <row r="680">
          <cell r="C680" t="str">
            <v>PSS</v>
          </cell>
        </row>
        <row r="681">
          <cell r="C681" t="str">
            <v>PSS</v>
          </cell>
        </row>
        <row r="682">
          <cell r="C682" t="str">
            <v>TODP</v>
          </cell>
        </row>
        <row r="683">
          <cell r="C683" t="str">
            <v>TODP</v>
          </cell>
        </row>
        <row r="684">
          <cell r="C684" t="str">
            <v>TODS</v>
          </cell>
        </row>
        <row r="685">
          <cell r="C685" t="str">
            <v>TODS</v>
          </cell>
        </row>
        <row r="686">
          <cell r="C686" t="str">
            <v>GS3</v>
          </cell>
        </row>
        <row r="687">
          <cell r="C687" t="str">
            <v>GS3</v>
          </cell>
        </row>
        <row r="688">
          <cell r="C688" t="str">
            <v>FLS</v>
          </cell>
          <cell r="K688">
            <v>45150238.919397302</v>
          </cell>
        </row>
        <row r="689">
          <cell r="C689" t="str">
            <v>FLS</v>
          </cell>
        </row>
        <row r="695">
          <cell r="C695" t="str">
            <v>RS</v>
          </cell>
        </row>
        <row r="696">
          <cell r="C696" t="str">
            <v>RS</v>
          </cell>
          <cell r="K696">
            <v>465315109.07475817</v>
          </cell>
        </row>
        <row r="697">
          <cell r="C697" t="str">
            <v>RS</v>
          </cell>
        </row>
        <row r="698">
          <cell r="C698" t="str">
            <v>RS</v>
          </cell>
        </row>
        <row r="699">
          <cell r="C699" t="str">
            <v>RTOD-E</v>
          </cell>
          <cell r="K699">
            <v>29419.246569606992</v>
          </cell>
        </row>
        <row r="700">
          <cell r="C700" t="str">
            <v>RTOD-D</v>
          </cell>
        </row>
        <row r="701">
          <cell r="C701" t="str">
            <v>RS</v>
          </cell>
        </row>
        <row r="702">
          <cell r="C702" t="str">
            <v>RS</v>
          </cell>
        </row>
        <row r="703">
          <cell r="C703" t="str">
            <v>RS</v>
          </cell>
        </row>
        <row r="704">
          <cell r="C704" t="str">
            <v>RS</v>
          </cell>
        </row>
        <row r="705">
          <cell r="C705" t="str">
            <v>RTS</v>
          </cell>
        </row>
        <row r="706">
          <cell r="C706" t="str">
            <v>PSP</v>
          </cell>
          <cell r="K706">
            <v>15532137.067350149</v>
          </cell>
        </row>
        <row r="707">
          <cell r="C707" t="str">
            <v>PSS</v>
          </cell>
        </row>
        <row r="708">
          <cell r="C708" t="str">
            <v>TODP</v>
          </cell>
        </row>
        <row r="709">
          <cell r="C709" t="str">
            <v>PSP</v>
          </cell>
        </row>
        <row r="710">
          <cell r="C710" t="str">
            <v>PSS</v>
          </cell>
        </row>
        <row r="711">
          <cell r="C711" t="str">
            <v>TODP</v>
          </cell>
        </row>
        <row r="712">
          <cell r="C712" t="str">
            <v>TODS</v>
          </cell>
          <cell r="K712">
            <v>153064097.49079764</v>
          </cell>
        </row>
        <row r="713">
          <cell r="C713" t="str">
            <v>TOD</v>
          </cell>
        </row>
        <row r="714">
          <cell r="C714" t="str">
            <v>MPT</v>
          </cell>
        </row>
        <row r="715">
          <cell r="C715" t="str">
            <v>MPP</v>
          </cell>
        </row>
        <row r="716">
          <cell r="C716" t="str">
            <v>LTOD</v>
          </cell>
        </row>
        <row r="717">
          <cell r="C717" t="str">
            <v>LTOD</v>
          </cell>
        </row>
        <row r="718">
          <cell r="C718" t="str">
            <v>MPP PF</v>
          </cell>
        </row>
        <row r="719">
          <cell r="C719" t="str">
            <v>MPT PF</v>
          </cell>
        </row>
        <row r="720">
          <cell r="C720" t="str">
            <v>LEV</v>
          </cell>
        </row>
        <row r="721">
          <cell r="C721" t="str">
            <v>GS</v>
          </cell>
        </row>
        <row r="722">
          <cell r="C722" t="str">
            <v>GS</v>
          </cell>
        </row>
        <row r="723">
          <cell r="C723" t="str">
            <v>GS3</v>
          </cell>
        </row>
        <row r="724">
          <cell r="C724" t="str">
            <v>GS3</v>
          </cell>
        </row>
        <row r="725">
          <cell r="C725" t="str">
            <v>LEV</v>
          </cell>
        </row>
        <row r="726">
          <cell r="C726" t="str">
            <v>CSR</v>
          </cell>
        </row>
        <row r="727">
          <cell r="C727" t="str">
            <v>CSR</v>
          </cell>
        </row>
        <row r="728">
          <cell r="C728" t="str">
            <v>CSR</v>
          </cell>
        </row>
        <row r="729">
          <cell r="C729" t="str">
            <v>CSR</v>
          </cell>
        </row>
        <row r="730">
          <cell r="C730" t="str">
            <v>CSR</v>
          </cell>
        </row>
        <row r="731">
          <cell r="C731" t="str">
            <v>CSR</v>
          </cell>
        </row>
        <row r="732">
          <cell r="C732" t="str">
            <v>CSR</v>
          </cell>
        </row>
        <row r="733">
          <cell r="C733" t="str">
            <v>CSR</v>
          </cell>
        </row>
        <row r="734">
          <cell r="C734" t="str">
            <v>LEV</v>
          </cell>
        </row>
        <row r="735">
          <cell r="C735" t="str">
            <v>LEV</v>
          </cell>
        </row>
        <row r="736">
          <cell r="C736" t="str">
            <v>GS</v>
          </cell>
        </row>
        <row r="737">
          <cell r="C737" t="str">
            <v>PSP</v>
          </cell>
        </row>
        <row r="738">
          <cell r="C738" t="str">
            <v>PSS</v>
          </cell>
        </row>
        <row r="739">
          <cell r="C739" t="str">
            <v>PSS</v>
          </cell>
        </row>
        <row r="740">
          <cell r="C740" t="str">
            <v>PSP</v>
          </cell>
        </row>
        <row r="741">
          <cell r="C741" t="str">
            <v>PSP</v>
          </cell>
        </row>
        <row r="742">
          <cell r="C742" t="str">
            <v>GS</v>
          </cell>
        </row>
        <row r="743">
          <cell r="C743" t="str">
            <v>RS</v>
          </cell>
        </row>
        <row r="744">
          <cell r="C744" t="str">
            <v>RS</v>
          </cell>
        </row>
        <row r="745">
          <cell r="C745" t="str">
            <v>GS</v>
          </cell>
          <cell r="K745">
            <v>69693903.604106724</v>
          </cell>
        </row>
        <row r="746">
          <cell r="C746" t="str">
            <v>GS</v>
          </cell>
        </row>
        <row r="747">
          <cell r="C747" t="str">
            <v>GS3</v>
          </cell>
          <cell r="K747">
            <v>101721168.49297555</v>
          </cell>
        </row>
        <row r="748">
          <cell r="C748" t="str">
            <v>AES</v>
          </cell>
          <cell r="K748">
            <v>561000</v>
          </cell>
        </row>
        <row r="749">
          <cell r="C749" t="str">
            <v>AES</v>
          </cell>
        </row>
        <row r="750">
          <cell r="C750" t="str">
            <v>AES3</v>
          </cell>
          <cell r="K750">
            <v>11406000</v>
          </cell>
        </row>
        <row r="751">
          <cell r="C751" t="str">
            <v>AES3</v>
          </cell>
        </row>
        <row r="752">
          <cell r="C752" t="str">
            <v>AES3</v>
          </cell>
        </row>
        <row r="753">
          <cell r="C753" t="str">
            <v>AES3</v>
          </cell>
        </row>
        <row r="754">
          <cell r="C754" t="str">
            <v>AES3</v>
          </cell>
        </row>
        <row r="755">
          <cell r="C755" t="str">
            <v>AES</v>
          </cell>
        </row>
        <row r="756">
          <cell r="C756" t="str">
            <v>LE</v>
          </cell>
          <cell r="K756">
            <v>33106.414074477398</v>
          </cell>
        </row>
        <row r="757">
          <cell r="C757" t="str">
            <v>LE</v>
          </cell>
        </row>
        <row r="758">
          <cell r="C758" t="str">
            <v>LE</v>
          </cell>
        </row>
        <row r="759">
          <cell r="C759" t="str">
            <v>TE</v>
          </cell>
          <cell r="K759">
            <v>119265.43403866269</v>
          </cell>
        </row>
        <row r="760">
          <cell r="C760" t="str">
            <v>TE</v>
          </cell>
        </row>
        <row r="761">
          <cell r="C761" t="str">
            <v>TE</v>
          </cell>
        </row>
        <row r="762">
          <cell r="C762" t="str">
            <v>RTS</v>
          </cell>
        </row>
        <row r="763">
          <cell r="C763" t="str">
            <v>PSP</v>
          </cell>
        </row>
        <row r="764">
          <cell r="C764" t="str">
            <v>PSS</v>
          </cell>
          <cell r="K764">
            <v>199907571.76098618</v>
          </cell>
        </row>
        <row r="765">
          <cell r="C765" t="str">
            <v>PSP</v>
          </cell>
        </row>
        <row r="766">
          <cell r="C766" t="str">
            <v>PSS</v>
          </cell>
        </row>
        <row r="767">
          <cell r="C767" t="str">
            <v>TODP</v>
          </cell>
          <cell r="K767">
            <v>379899181.28394741</v>
          </cell>
        </row>
        <row r="768">
          <cell r="C768" t="str">
            <v>TODS</v>
          </cell>
        </row>
        <row r="769">
          <cell r="C769" t="str">
            <v>SQF</v>
          </cell>
        </row>
        <row r="770">
          <cell r="C770" t="str">
            <v>SQF</v>
          </cell>
        </row>
        <row r="771">
          <cell r="C771" t="str">
            <v>LQF</v>
          </cell>
        </row>
        <row r="772">
          <cell r="C772" t="str">
            <v>GS</v>
          </cell>
        </row>
        <row r="773">
          <cell r="C773" t="str">
            <v>GS3</v>
          </cell>
        </row>
        <row r="774">
          <cell r="C774" t="str">
            <v>RS</v>
          </cell>
        </row>
        <row r="775">
          <cell r="C775" t="str">
            <v>RS</v>
          </cell>
        </row>
        <row r="776">
          <cell r="C776" t="str">
            <v>CSR</v>
          </cell>
        </row>
        <row r="777">
          <cell r="C777" t="str">
            <v>CSR</v>
          </cell>
        </row>
        <row r="778">
          <cell r="C778" t="str">
            <v>CSR</v>
          </cell>
        </row>
        <row r="779">
          <cell r="C779" t="str">
            <v>CSR</v>
          </cell>
        </row>
        <row r="780">
          <cell r="C780" t="str">
            <v>CSR</v>
          </cell>
        </row>
        <row r="781">
          <cell r="C781" t="str">
            <v>GS</v>
          </cell>
        </row>
        <row r="782">
          <cell r="C782" t="str">
            <v>GS</v>
          </cell>
        </row>
        <row r="783">
          <cell r="C783" t="str">
            <v>GS</v>
          </cell>
        </row>
        <row r="784">
          <cell r="C784" t="str">
            <v>GS</v>
          </cell>
        </row>
        <row r="785">
          <cell r="C785" t="str">
            <v>GS</v>
          </cell>
        </row>
        <row r="786">
          <cell r="C786" t="str">
            <v>GS</v>
          </cell>
        </row>
        <row r="787">
          <cell r="C787" t="str">
            <v>GS</v>
          </cell>
        </row>
        <row r="788">
          <cell r="C788" t="str">
            <v>GS</v>
          </cell>
        </row>
        <row r="789">
          <cell r="C789" t="str">
            <v>GS</v>
          </cell>
        </row>
        <row r="790">
          <cell r="C790" t="str">
            <v>GS</v>
          </cell>
        </row>
        <row r="791">
          <cell r="C791" t="str">
            <v>GS</v>
          </cell>
        </row>
        <row r="792">
          <cell r="C792" t="str">
            <v>GS3</v>
          </cell>
        </row>
        <row r="793">
          <cell r="C793" t="str">
            <v>GS3</v>
          </cell>
        </row>
        <row r="794">
          <cell r="C794" t="str">
            <v>RTS</v>
          </cell>
        </row>
        <row r="795">
          <cell r="C795" t="str">
            <v>RTS</v>
          </cell>
          <cell r="K795">
            <v>116337251.81426908</v>
          </cell>
        </row>
        <row r="796">
          <cell r="C796" t="str">
            <v>PSP</v>
          </cell>
        </row>
        <row r="797">
          <cell r="C797" t="str">
            <v>PSP</v>
          </cell>
        </row>
        <row r="798">
          <cell r="C798" t="str">
            <v>PSS</v>
          </cell>
        </row>
        <row r="799">
          <cell r="C799" t="str">
            <v>PSS</v>
          </cell>
        </row>
        <row r="800">
          <cell r="C800" t="str">
            <v>PSP</v>
          </cell>
        </row>
        <row r="801">
          <cell r="C801" t="str">
            <v>PSP</v>
          </cell>
        </row>
        <row r="802">
          <cell r="C802" t="str">
            <v>PSS</v>
          </cell>
        </row>
        <row r="803">
          <cell r="C803" t="str">
            <v>PSS</v>
          </cell>
        </row>
        <row r="804">
          <cell r="C804" t="str">
            <v>TODP</v>
          </cell>
        </row>
        <row r="805">
          <cell r="C805" t="str">
            <v>TODP</v>
          </cell>
        </row>
        <row r="806">
          <cell r="C806" t="str">
            <v>TODS</v>
          </cell>
        </row>
        <row r="807">
          <cell r="C807" t="str">
            <v>TODS</v>
          </cell>
        </row>
        <row r="808">
          <cell r="C808" t="str">
            <v>GS3</v>
          </cell>
        </row>
        <row r="809">
          <cell r="C809" t="str">
            <v>GS3</v>
          </cell>
        </row>
        <row r="810">
          <cell r="C810" t="str">
            <v>FLS</v>
          </cell>
          <cell r="K810">
            <v>45065423.071025401</v>
          </cell>
        </row>
        <row r="811">
          <cell r="C811" t="str">
            <v>FLS</v>
          </cell>
        </row>
        <row r="817">
          <cell r="C817" t="str">
            <v>RS</v>
          </cell>
        </row>
        <row r="818">
          <cell r="C818" t="str">
            <v>RS</v>
          </cell>
          <cell r="K818">
            <v>556162998.52850509</v>
          </cell>
        </row>
        <row r="819">
          <cell r="C819" t="str">
            <v>RS</v>
          </cell>
        </row>
        <row r="820">
          <cell r="C820" t="str">
            <v>RS</v>
          </cell>
        </row>
        <row r="821">
          <cell r="C821" t="str">
            <v>RTOD-E</v>
          </cell>
          <cell r="K821">
            <v>27075.944299446401</v>
          </cell>
        </row>
        <row r="822">
          <cell r="C822" t="str">
            <v>RTOD-D</v>
          </cell>
        </row>
        <row r="823">
          <cell r="C823" t="str">
            <v>RS</v>
          </cell>
        </row>
        <row r="824">
          <cell r="C824" t="str">
            <v>RS</v>
          </cell>
        </row>
        <row r="825">
          <cell r="C825" t="str">
            <v>RS</v>
          </cell>
        </row>
        <row r="826">
          <cell r="C826" t="str">
            <v>RS</v>
          </cell>
        </row>
        <row r="827">
          <cell r="C827" t="str">
            <v>RTS</v>
          </cell>
        </row>
        <row r="828">
          <cell r="C828" t="str">
            <v>PSP</v>
          </cell>
          <cell r="K828">
            <v>15665945.619956572</v>
          </cell>
        </row>
        <row r="829">
          <cell r="C829" t="str">
            <v>PSS</v>
          </cell>
        </row>
        <row r="830">
          <cell r="C830" t="str">
            <v>TODP</v>
          </cell>
        </row>
        <row r="831">
          <cell r="C831" t="str">
            <v>PSP</v>
          </cell>
        </row>
        <row r="832">
          <cell r="C832" t="str">
            <v>PSS</v>
          </cell>
        </row>
        <row r="833">
          <cell r="C833" t="str">
            <v>TODP</v>
          </cell>
        </row>
        <row r="834">
          <cell r="C834" t="str">
            <v>TODS</v>
          </cell>
          <cell r="K834">
            <v>148685179.84497198</v>
          </cell>
        </row>
        <row r="835">
          <cell r="C835" t="str">
            <v>TOD</v>
          </cell>
        </row>
        <row r="836">
          <cell r="C836" t="str">
            <v>MPT</v>
          </cell>
        </row>
        <row r="837">
          <cell r="C837" t="str">
            <v>MPP</v>
          </cell>
        </row>
        <row r="838">
          <cell r="C838" t="str">
            <v>LTOD</v>
          </cell>
        </row>
        <row r="839">
          <cell r="C839" t="str">
            <v>LTOD</v>
          </cell>
        </row>
        <row r="840">
          <cell r="C840" t="str">
            <v>MPP PF</v>
          </cell>
        </row>
        <row r="841">
          <cell r="C841" t="str">
            <v>MPT PF</v>
          </cell>
        </row>
        <row r="842">
          <cell r="C842" t="str">
            <v>LEV</v>
          </cell>
        </row>
        <row r="843">
          <cell r="C843" t="str">
            <v>GS</v>
          </cell>
        </row>
        <row r="844">
          <cell r="C844" t="str">
            <v>GS</v>
          </cell>
        </row>
        <row r="845">
          <cell r="C845" t="str">
            <v>GS3</v>
          </cell>
        </row>
        <row r="846">
          <cell r="C846" t="str">
            <v>GS3</v>
          </cell>
        </row>
        <row r="847">
          <cell r="C847" t="str">
            <v>LEV</v>
          </cell>
        </row>
        <row r="848">
          <cell r="C848" t="str">
            <v>CSR</v>
          </cell>
        </row>
        <row r="849">
          <cell r="C849" t="str">
            <v>CSR</v>
          </cell>
        </row>
        <row r="850">
          <cell r="C850" t="str">
            <v>CSR</v>
          </cell>
        </row>
        <row r="851">
          <cell r="C851" t="str">
            <v>CSR</v>
          </cell>
        </row>
        <row r="852">
          <cell r="C852" t="str">
            <v>CSR</v>
          </cell>
        </row>
        <row r="853">
          <cell r="C853" t="str">
            <v>CSR</v>
          </cell>
        </row>
        <row r="854">
          <cell r="C854" t="str">
            <v>CSR</v>
          </cell>
        </row>
        <row r="855">
          <cell r="C855" t="str">
            <v>CSR</v>
          </cell>
        </row>
        <row r="856">
          <cell r="C856" t="str">
            <v>LEV</v>
          </cell>
        </row>
        <row r="857">
          <cell r="C857" t="str">
            <v>LEV</v>
          </cell>
        </row>
        <row r="858">
          <cell r="C858" t="str">
            <v>GS</v>
          </cell>
        </row>
        <row r="859">
          <cell r="C859" t="str">
            <v>PSP</v>
          </cell>
        </row>
        <row r="860">
          <cell r="C860" t="str">
            <v>PSS</v>
          </cell>
        </row>
        <row r="861">
          <cell r="C861" t="str">
            <v>PSS</v>
          </cell>
        </row>
        <row r="862">
          <cell r="C862" t="str">
            <v>PSP</v>
          </cell>
        </row>
        <row r="863">
          <cell r="C863" t="str">
            <v>PSP</v>
          </cell>
        </row>
        <row r="864">
          <cell r="C864" t="str">
            <v>GS</v>
          </cell>
        </row>
        <row r="865">
          <cell r="C865" t="str">
            <v>RS</v>
          </cell>
        </row>
        <row r="866">
          <cell r="C866" t="str">
            <v>RS</v>
          </cell>
        </row>
        <row r="867">
          <cell r="C867" t="str">
            <v>GS</v>
          </cell>
          <cell r="K867">
            <v>71190036.833182618</v>
          </cell>
        </row>
        <row r="868">
          <cell r="C868" t="str">
            <v>GS</v>
          </cell>
        </row>
        <row r="869">
          <cell r="C869" t="str">
            <v>GS3</v>
          </cell>
          <cell r="K869">
            <v>103949887.8395537</v>
          </cell>
        </row>
        <row r="870">
          <cell r="C870" t="str">
            <v>AES</v>
          </cell>
          <cell r="K870">
            <v>565000</v>
          </cell>
        </row>
        <row r="871">
          <cell r="C871" t="str">
            <v>AES</v>
          </cell>
        </row>
        <row r="872">
          <cell r="C872" t="str">
            <v>AES3</v>
          </cell>
          <cell r="K872">
            <v>11472000</v>
          </cell>
        </row>
        <row r="873">
          <cell r="C873" t="str">
            <v>AES3</v>
          </cell>
        </row>
        <row r="874">
          <cell r="C874" t="str">
            <v>AES3</v>
          </cell>
        </row>
        <row r="875">
          <cell r="C875" t="str">
            <v>AES3</v>
          </cell>
        </row>
        <row r="876">
          <cell r="C876" t="str">
            <v>AES3</v>
          </cell>
        </row>
        <row r="877">
          <cell r="C877" t="str">
            <v>AES</v>
          </cell>
        </row>
        <row r="878">
          <cell r="C878" t="str">
            <v>LE</v>
          </cell>
          <cell r="K878">
            <v>37369.097054274018</v>
          </cell>
        </row>
        <row r="879">
          <cell r="C879" t="str">
            <v>LE</v>
          </cell>
        </row>
        <row r="880">
          <cell r="C880" t="str">
            <v>LE</v>
          </cell>
        </row>
        <row r="881">
          <cell r="C881" t="str">
            <v>TE</v>
          </cell>
          <cell r="K881">
            <v>116512.01135184469</v>
          </cell>
        </row>
        <row r="882">
          <cell r="C882" t="str">
            <v>TE</v>
          </cell>
        </row>
        <row r="883">
          <cell r="C883" t="str">
            <v>TE</v>
          </cell>
        </row>
        <row r="884">
          <cell r="C884" t="str">
            <v>RTS</v>
          </cell>
        </row>
        <row r="885">
          <cell r="C885" t="str">
            <v>PSP</v>
          </cell>
        </row>
        <row r="886">
          <cell r="C886" t="str">
            <v>PSS</v>
          </cell>
          <cell r="K886">
            <v>206745987.73112172</v>
          </cell>
        </row>
        <row r="887">
          <cell r="C887" t="str">
            <v>PSP</v>
          </cell>
        </row>
        <row r="888">
          <cell r="C888" t="str">
            <v>PSS</v>
          </cell>
        </row>
        <row r="889">
          <cell r="C889" t="str">
            <v>TODP</v>
          </cell>
          <cell r="K889">
            <v>381512521.33969343</v>
          </cell>
        </row>
        <row r="890">
          <cell r="C890" t="str">
            <v>TODS</v>
          </cell>
        </row>
        <row r="891">
          <cell r="C891" t="str">
            <v>SQF</v>
          </cell>
        </row>
        <row r="892">
          <cell r="C892" t="str">
            <v>SQF</v>
          </cell>
        </row>
        <row r="893">
          <cell r="C893" t="str">
            <v>LQF</v>
          </cell>
        </row>
        <row r="894">
          <cell r="C894" t="str">
            <v>GS</v>
          </cell>
        </row>
        <row r="895">
          <cell r="C895" t="str">
            <v>GS3</v>
          </cell>
        </row>
        <row r="896">
          <cell r="C896" t="str">
            <v>RS</v>
          </cell>
        </row>
        <row r="897">
          <cell r="C897" t="str">
            <v>RS</v>
          </cell>
        </row>
        <row r="898">
          <cell r="C898" t="str">
            <v>CSR</v>
          </cell>
        </row>
        <row r="899">
          <cell r="C899" t="str">
            <v>CSR</v>
          </cell>
        </row>
        <row r="900">
          <cell r="C900" t="str">
            <v>CSR</v>
          </cell>
        </row>
        <row r="901">
          <cell r="C901" t="str">
            <v>CSR</v>
          </cell>
        </row>
        <row r="902">
          <cell r="C902" t="str">
            <v>CSR</v>
          </cell>
        </row>
        <row r="903">
          <cell r="C903" t="str">
            <v>GS</v>
          </cell>
        </row>
        <row r="904">
          <cell r="C904" t="str">
            <v>GS</v>
          </cell>
        </row>
        <row r="905">
          <cell r="C905" t="str">
            <v>GS</v>
          </cell>
        </row>
        <row r="906">
          <cell r="C906" t="str">
            <v>GS</v>
          </cell>
        </row>
        <row r="907">
          <cell r="C907" t="str">
            <v>GS</v>
          </cell>
        </row>
        <row r="908">
          <cell r="C908" t="str">
            <v>GS</v>
          </cell>
        </row>
        <row r="909">
          <cell r="C909" t="str">
            <v>GS</v>
          </cell>
        </row>
        <row r="910">
          <cell r="C910" t="str">
            <v>GS</v>
          </cell>
        </row>
        <row r="911">
          <cell r="C911" t="str">
            <v>GS</v>
          </cell>
        </row>
        <row r="912">
          <cell r="C912" t="str">
            <v>GS</v>
          </cell>
        </row>
        <row r="913">
          <cell r="C913" t="str">
            <v>GS</v>
          </cell>
        </row>
        <row r="914">
          <cell r="C914" t="str">
            <v>GS3</v>
          </cell>
        </row>
        <row r="915">
          <cell r="C915" t="str">
            <v>GS3</v>
          </cell>
        </row>
        <row r="916">
          <cell r="C916" t="str">
            <v>RTS</v>
          </cell>
        </row>
        <row r="917">
          <cell r="C917" t="str">
            <v>RTS</v>
          </cell>
          <cell r="K917">
            <v>129687063.75810871</v>
          </cell>
        </row>
        <row r="918">
          <cell r="C918" t="str">
            <v>PSP</v>
          </cell>
        </row>
        <row r="919">
          <cell r="C919" t="str">
            <v>PSP</v>
          </cell>
        </row>
        <row r="920">
          <cell r="C920" t="str">
            <v>PSS</v>
          </cell>
        </row>
        <row r="921">
          <cell r="C921" t="str">
            <v>PSS</v>
          </cell>
        </row>
        <row r="922">
          <cell r="C922" t="str">
            <v>PSP</v>
          </cell>
        </row>
        <row r="923">
          <cell r="C923" t="str">
            <v>PSP</v>
          </cell>
        </row>
        <row r="924">
          <cell r="C924" t="str">
            <v>PSS</v>
          </cell>
        </row>
        <row r="925">
          <cell r="C925" t="str">
            <v>PSS</v>
          </cell>
        </row>
        <row r="926">
          <cell r="C926" t="str">
            <v>TODP</v>
          </cell>
        </row>
        <row r="927">
          <cell r="C927" t="str">
            <v>TODP</v>
          </cell>
        </row>
        <row r="928">
          <cell r="C928" t="str">
            <v>TODS</v>
          </cell>
        </row>
        <row r="929">
          <cell r="C929" t="str">
            <v>TODS</v>
          </cell>
        </row>
        <row r="930">
          <cell r="C930" t="str">
            <v>GS3</v>
          </cell>
        </row>
        <row r="931">
          <cell r="C931" t="str">
            <v>GS3</v>
          </cell>
        </row>
        <row r="932">
          <cell r="C932" t="str">
            <v>FLS</v>
          </cell>
          <cell r="K932">
            <v>46455195.103482999</v>
          </cell>
        </row>
        <row r="933">
          <cell r="C933" t="str">
            <v>FLS</v>
          </cell>
        </row>
        <row r="939">
          <cell r="C939" t="str">
            <v>RS</v>
          </cell>
        </row>
        <row r="940">
          <cell r="C940" t="str">
            <v>RS</v>
          </cell>
          <cell r="K940">
            <v>569946895.89519346</v>
          </cell>
        </row>
        <row r="941">
          <cell r="C941" t="str">
            <v>RS</v>
          </cell>
        </row>
        <row r="942">
          <cell r="C942" t="str">
            <v>RS</v>
          </cell>
        </row>
        <row r="943">
          <cell r="C943" t="str">
            <v>RTOD-E</v>
          </cell>
          <cell r="K943">
            <v>28493.718719622269</v>
          </cell>
        </row>
        <row r="944">
          <cell r="C944" t="str">
            <v>RTOD-D</v>
          </cell>
        </row>
        <row r="945">
          <cell r="C945" t="str">
            <v>RS</v>
          </cell>
        </row>
        <row r="946">
          <cell r="C946" t="str">
            <v>RS</v>
          </cell>
        </row>
        <row r="947">
          <cell r="C947" t="str">
            <v>RS</v>
          </cell>
        </row>
        <row r="948">
          <cell r="C948" t="str">
            <v>RS</v>
          </cell>
        </row>
        <row r="949">
          <cell r="C949" t="str">
            <v>RTS</v>
          </cell>
        </row>
        <row r="950">
          <cell r="C950" t="str">
            <v>PSP</v>
          </cell>
          <cell r="K950">
            <v>15732475.106791489</v>
          </cell>
        </row>
        <row r="951">
          <cell r="C951" t="str">
            <v>PSS</v>
          </cell>
        </row>
        <row r="952">
          <cell r="C952" t="str">
            <v>TODP</v>
          </cell>
        </row>
        <row r="953">
          <cell r="C953" t="str">
            <v>PSP</v>
          </cell>
        </row>
        <row r="954">
          <cell r="C954" t="str">
            <v>PSS</v>
          </cell>
        </row>
        <row r="955">
          <cell r="C955" t="str">
            <v>TODP</v>
          </cell>
        </row>
        <row r="956">
          <cell r="C956" t="str">
            <v>TODS</v>
          </cell>
          <cell r="K956">
            <v>150412747.67096141</v>
          </cell>
        </row>
        <row r="957">
          <cell r="C957" t="str">
            <v>TOD</v>
          </cell>
        </row>
        <row r="958">
          <cell r="C958" t="str">
            <v>MPT</v>
          </cell>
        </row>
        <row r="959">
          <cell r="C959" t="str">
            <v>MPP</v>
          </cell>
        </row>
        <row r="960">
          <cell r="C960" t="str">
            <v>LTOD</v>
          </cell>
        </row>
        <row r="961">
          <cell r="C961" t="str">
            <v>LTOD</v>
          </cell>
        </row>
        <row r="962">
          <cell r="C962" t="str">
            <v>MPP PF</v>
          </cell>
        </row>
        <row r="963">
          <cell r="C963" t="str">
            <v>MPT PF</v>
          </cell>
        </row>
        <row r="964">
          <cell r="C964" t="str">
            <v>LEV</v>
          </cell>
        </row>
        <row r="965">
          <cell r="C965" t="str">
            <v>GS</v>
          </cell>
        </row>
        <row r="966">
          <cell r="C966" t="str">
            <v>GS</v>
          </cell>
        </row>
        <row r="967">
          <cell r="C967" t="str">
            <v>GS3</v>
          </cell>
        </row>
        <row r="968">
          <cell r="C968" t="str">
            <v>GS3</v>
          </cell>
        </row>
        <row r="969">
          <cell r="C969" t="str">
            <v>LEV</v>
          </cell>
        </row>
        <row r="970">
          <cell r="C970" t="str">
            <v>CSR</v>
          </cell>
        </row>
        <row r="971">
          <cell r="C971" t="str">
            <v>CSR</v>
          </cell>
        </row>
        <row r="972">
          <cell r="C972" t="str">
            <v>CSR</v>
          </cell>
        </row>
        <row r="973">
          <cell r="C973" t="str">
            <v>CSR</v>
          </cell>
        </row>
        <row r="974">
          <cell r="C974" t="str">
            <v>CSR</v>
          </cell>
        </row>
        <row r="975">
          <cell r="C975" t="str">
            <v>CSR</v>
          </cell>
        </row>
        <row r="976">
          <cell r="C976" t="str">
            <v>CSR</v>
          </cell>
        </row>
        <row r="977">
          <cell r="C977" t="str">
            <v>CSR</v>
          </cell>
        </row>
        <row r="978">
          <cell r="C978" t="str">
            <v>LEV</v>
          </cell>
        </row>
        <row r="979">
          <cell r="C979" t="str">
            <v>LEV</v>
          </cell>
        </row>
        <row r="980">
          <cell r="C980" t="str">
            <v>GS</v>
          </cell>
        </row>
        <row r="981">
          <cell r="C981" t="str">
            <v>PSP</v>
          </cell>
        </row>
        <row r="982">
          <cell r="C982" t="str">
            <v>PSS</v>
          </cell>
        </row>
        <row r="983">
          <cell r="C983" t="str">
            <v>PSS</v>
          </cell>
        </row>
        <row r="984">
          <cell r="C984" t="str">
            <v>PSP</v>
          </cell>
        </row>
        <row r="985">
          <cell r="C985" t="str">
            <v>PSP</v>
          </cell>
        </row>
        <row r="986">
          <cell r="C986" t="str">
            <v>GS</v>
          </cell>
        </row>
        <row r="987">
          <cell r="C987" t="str">
            <v>RS</v>
          </cell>
        </row>
        <row r="988">
          <cell r="C988" t="str">
            <v>RS</v>
          </cell>
        </row>
        <row r="989">
          <cell r="C989" t="str">
            <v>GS</v>
          </cell>
          <cell r="K989">
            <v>59909053.487447366</v>
          </cell>
        </row>
        <row r="990">
          <cell r="C990" t="str">
            <v>GS</v>
          </cell>
        </row>
        <row r="991">
          <cell r="C991" t="str">
            <v>GS3</v>
          </cell>
          <cell r="K991">
            <v>88794483.672051951</v>
          </cell>
        </row>
        <row r="992">
          <cell r="C992" t="str">
            <v>AES</v>
          </cell>
          <cell r="K992">
            <v>477000</v>
          </cell>
        </row>
        <row r="993">
          <cell r="C993" t="str">
            <v>AES</v>
          </cell>
        </row>
        <row r="994">
          <cell r="C994" t="str">
            <v>AES3</v>
          </cell>
          <cell r="K994">
            <v>9701000</v>
          </cell>
        </row>
        <row r="995">
          <cell r="C995" t="str">
            <v>AES3</v>
          </cell>
        </row>
        <row r="996">
          <cell r="C996" t="str">
            <v>AES3</v>
          </cell>
        </row>
        <row r="997">
          <cell r="C997" t="str">
            <v>AES3</v>
          </cell>
        </row>
        <row r="998">
          <cell r="C998" t="str">
            <v>AES3</v>
          </cell>
        </row>
        <row r="999">
          <cell r="C999" t="str">
            <v>AES</v>
          </cell>
        </row>
        <row r="1000">
          <cell r="C1000" t="str">
            <v>LE</v>
          </cell>
          <cell r="K1000">
            <v>36873.136108390332</v>
          </cell>
        </row>
        <row r="1001">
          <cell r="C1001" t="str">
            <v>LE</v>
          </cell>
        </row>
        <row r="1002">
          <cell r="C1002" t="str">
            <v>LE</v>
          </cell>
        </row>
        <row r="1003">
          <cell r="C1003" t="str">
            <v>TE</v>
          </cell>
          <cell r="K1003">
            <v>107387.88233657608</v>
          </cell>
        </row>
        <row r="1004">
          <cell r="C1004" t="str">
            <v>TE</v>
          </cell>
        </row>
        <row r="1005">
          <cell r="C1005" t="str">
            <v>TE</v>
          </cell>
        </row>
        <row r="1006">
          <cell r="C1006" t="str">
            <v>RTS</v>
          </cell>
        </row>
        <row r="1007">
          <cell r="C1007" t="str">
            <v>PSP</v>
          </cell>
        </row>
        <row r="1008">
          <cell r="C1008" t="str">
            <v>PSS</v>
          </cell>
          <cell r="K1008">
            <v>183639756.3256999</v>
          </cell>
        </row>
        <row r="1009">
          <cell r="C1009" t="str">
            <v>PSP</v>
          </cell>
        </row>
        <row r="1010">
          <cell r="C1010" t="str">
            <v>PSS</v>
          </cell>
        </row>
        <row r="1011">
          <cell r="C1011" t="str">
            <v>TODP</v>
          </cell>
          <cell r="K1011">
            <v>323285622.61627239</v>
          </cell>
        </row>
        <row r="1012">
          <cell r="C1012" t="str">
            <v>TODS</v>
          </cell>
        </row>
        <row r="1013">
          <cell r="C1013" t="str">
            <v>SQF</v>
          </cell>
        </row>
        <row r="1014">
          <cell r="C1014" t="str">
            <v>SQF</v>
          </cell>
        </row>
        <row r="1015">
          <cell r="C1015" t="str">
            <v>LQF</v>
          </cell>
        </row>
        <row r="1016">
          <cell r="C1016" t="str">
            <v>GS</v>
          </cell>
        </row>
        <row r="1017">
          <cell r="C1017" t="str">
            <v>GS3</v>
          </cell>
        </row>
        <row r="1018">
          <cell r="C1018" t="str">
            <v>RS</v>
          </cell>
        </row>
        <row r="1019">
          <cell r="C1019" t="str">
            <v>RS</v>
          </cell>
        </row>
        <row r="1020">
          <cell r="C1020" t="str">
            <v>CSR</v>
          </cell>
        </row>
        <row r="1021">
          <cell r="C1021" t="str">
            <v>CSR</v>
          </cell>
        </row>
        <row r="1022">
          <cell r="C1022" t="str">
            <v>CSR</v>
          </cell>
        </row>
        <row r="1023">
          <cell r="C1023" t="str">
            <v>CSR</v>
          </cell>
        </row>
        <row r="1024">
          <cell r="C1024" t="str">
            <v>CSR</v>
          </cell>
        </row>
        <row r="1025">
          <cell r="C1025" t="str">
            <v>GS</v>
          </cell>
        </row>
        <row r="1026">
          <cell r="C1026" t="str">
            <v>GS</v>
          </cell>
        </row>
        <row r="1027">
          <cell r="C1027" t="str">
            <v>GS</v>
          </cell>
        </row>
        <row r="1028">
          <cell r="C1028" t="str">
            <v>GS</v>
          </cell>
        </row>
        <row r="1029">
          <cell r="C1029" t="str">
            <v>GS</v>
          </cell>
        </row>
        <row r="1030">
          <cell r="C1030" t="str">
            <v>GS</v>
          </cell>
        </row>
        <row r="1031">
          <cell r="C1031" t="str">
            <v>GS</v>
          </cell>
        </row>
        <row r="1032">
          <cell r="C1032" t="str">
            <v>GS</v>
          </cell>
        </row>
        <row r="1033">
          <cell r="C1033" t="str">
            <v>GS</v>
          </cell>
        </row>
        <row r="1034">
          <cell r="C1034" t="str">
            <v>GS</v>
          </cell>
        </row>
        <row r="1035">
          <cell r="C1035" t="str">
            <v>GS</v>
          </cell>
        </row>
        <row r="1036">
          <cell r="C1036" t="str">
            <v>GS3</v>
          </cell>
        </row>
        <row r="1037">
          <cell r="C1037" t="str">
            <v>GS3</v>
          </cell>
        </row>
        <row r="1038">
          <cell r="C1038" t="str">
            <v>RTS</v>
          </cell>
        </row>
        <row r="1039">
          <cell r="C1039" t="str">
            <v>RTS</v>
          </cell>
          <cell r="K1039">
            <v>111979737.34417948</v>
          </cell>
        </row>
        <row r="1040">
          <cell r="C1040" t="str">
            <v>PSP</v>
          </cell>
        </row>
        <row r="1041">
          <cell r="C1041" t="str">
            <v>PSP</v>
          </cell>
        </row>
        <row r="1042">
          <cell r="C1042" t="str">
            <v>PSS</v>
          </cell>
        </row>
        <row r="1043">
          <cell r="C1043" t="str">
            <v>PSS</v>
          </cell>
        </row>
        <row r="1044">
          <cell r="C1044" t="str">
            <v>PSP</v>
          </cell>
        </row>
        <row r="1045">
          <cell r="C1045" t="str">
            <v>PSP</v>
          </cell>
        </row>
        <row r="1046">
          <cell r="C1046" t="str">
            <v>PSS</v>
          </cell>
        </row>
        <row r="1047">
          <cell r="C1047" t="str">
            <v>PSS</v>
          </cell>
        </row>
        <row r="1048">
          <cell r="C1048" t="str">
            <v>TODP</v>
          </cell>
        </row>
        <row r="1049">
          <cell r="C1049" t="str">
            <v>TODP</v>
          </cell>
        </row>
        <row r="1050">
          <cell r="C1050" t="str">
            <v>TODS</v>
          </cell>
        </row>
        <row r="1051">
          <cell r="C1051" t="str">
            <v>TODS</v>
          </cell>
        </row>
        <row r="1052">
          <cell r="C1052" t="str">
            <v>GS3</v>
          </cell>
        </row>
        <row r="1053">
          <cell r="C1053" t="str">
            <v>GS3</v>
          </cell>
        </row>
        <row r="1054">
          <cell r="C1054" t="str">
            <v>FLS</v>
          </cell>
          <cell r="K1054">
            <v>46738188.728823803</v>
          </cell>
        </row>
        <row r="1055">
          <cell r="C1055" t="str">
            <v>FLS</v>
          </cell>
        </row>
        <row r="1061">
          <cell r="C1061" t="str">
            <v>RS</v>
          </cell>
        </row>
        <row r="1062">
          <cell r="C1062" t="str">
            <v>RS</v>
          </cell>
          <cell r="K1062">
            <v>419057958.94622535</v>
          </cell>
        </row>
        <row r="1063">
          <cell r="C1063" t="str">
            <v>RS</v>
          </cell>
        </row>
        <row r="1064">
          <cell r="C1064" t="str">
            <v>RS</v>
          </cell>
        </row>
        <row r="1065">
          <cell r="C1065" t="str">
            <v>RTOD-E</v>
          </cell>
          <cell r="K1065">
            <v>21528.40945077801</v>
          </cell>
        </row>
        <row r="1066">
          <cell r="C1066" t="str">
            <v>RTOD-D</v>
          </cell>
        </row>
        <row r="1067">
          <cell r="C1067" t="str">
            <v>RS</v>
          </cell>
        </row>
        <row r="1068">
          <cell r="C1068" t="str">
            <v>RS</v>
          </cell>
        </row>
        <row r="1069">
          <cell r="C1069" t="str">
            <v>RS</v>
          </cell>
        </row>
        <row r="1070">
          <cell r="C1070" t="str">
            <v>RS</v>
          </cell>
        </row>
        <row r="1071">
          <cell r="C1071" t="str">
            <v>RTS</v>
          </cell>
        </row>
        <row r="1072">
          <cell r="C1072" t="str">
            <v>PSP</v>
          </cell>
          <cell r="K1072">
            <v>13331365.88108341</v>
          </cell>
        </row>
        <row r="1073">
          <cell r="C1073" t="str">
            <v>PSS</v>
          </cell>
        </row>
        <row r="1074">
          <cell r="C1074" t="str">
            <v>TODP</v>
          </cell>
        </row>
        <row r="1075">
          <cell r="C1075" t="str">
            <v>PSP</v>
          </cell>
        </row>
        <row r="1076">
          <cell r="C1076" t="str">
            <v>PSS</v>
          </cell>
        </row>
        <row r="1077">
          <cell r="C1077" t="str">
            <v>TODP</v>
          </cell>
        </row>
        <row r="1078">
          <cell r="C1078" t="str">
            <v>TODS</v>
          </cell>
          <cell r="K1078">
            <v>132958193.11196809</v>
          </cell>
        </row>
        <row r="1079">
          <cell r="C1079" t="str">
            <v>TOD</v>
          </cell>
        </row>
        <row r="1080">
          <cell r="C1080" t="str">
            <v>MPT</v>
          </cell>
        </row>
        <row r="1081">
          <cell r="C1081" t="str">
            <v>MPP</v>
          </cell>
        </row>
        <row r="1082">
          <cell r="C1082" t="str">
            <v>LTOD</v>
          </cell>
        </row>
        <row r="1083">
          <cell r="C1083" t="str">
            <v>LTOD</v>
          </cell>
        </row>
        <row r="1084">
          <cell r="C1084" t="str">
            <v>MPP PF</v>
          </cell>
        </row>
        <row r="1085">
          <cell r="C1085" t="str">
            <v>MPT PF</v>
          </cell>
        </row>
        <row r="1086">
          <cell r="C1086" t="str">
            <v>LEV</v>
          </cell>
        </row>
        <row r="1087">
          <cell r="C1087" t="str">
            <v>GS</v>
          </cell>
        </row>
        <row r="1088">
          <cell r="C1088" t="str">
            <v>GS</v>
          </cell>
        </row>
        <row r="1089">
          <cell r="C1089" t="str">
            <v>GS3</v>
          </cell>
        </row>
        <row r="1090">
          <cell r="C1090" t="str">
            <v>GS3</v>
          </cell>
        </row>
        <row r="1091">
          <cell r="C1091" t="str">
            <v>LEV</v>
          </cell>
        </row>
        <row r="1092">
          <cell r="C1092" t="str">
            <v>CSR</v>
          </cell>
        </row>
        <row r="1093">
          <cell r="C1093" t="str">
            <v>CSR</v>
          </cell>
        </row>
        <row r="1094">
          <cell r="C1094" t="str">
            <v>CSR</v>
          </cell>
        </row>
        <row r="1095">
          <cell r="C1095" t="str">
            <v>CSR</v>
          </cell>
        </row>
        <row r="1096">
          <cell r="C1096" t="str">
            <v>CSR</v>
          </cell>
        </row>
        <row r="1097">
          <cell r="C1097" t="str">
            <v>CSR</v>
          </cell>
        </row>
        <row r="1098">
          <cell r="C1098" t="str">
            <v>CSR</v>
          </cell>
        </row>
        <row r="1099">
          <cell r="C1099" t="str">
            <v>CSR</v>
          </cell>
        </row>
        <row r="1100">
          <cell r="C1100" t="str">
            <v>LEV</v>
          </cell>
        </row>
        <row r="1101">
          <cell r="C1101" t="str">
            <v>LEV</v>
          </cell>
        </row>
        <row r="1102">
          <cell r="C1102" t="str">
            <v>GS</v>
          </cell>
        </row>
        <row r="1103">
          <cell r="C1103" t="str">
            <v>PSP</v>
          </cell>
        </row>
        <row r="1104">
          <cell r="C1104" t="str">
            <v>PSS</v>
          </cell>
        </row>
        <row r="1105">
          <cell r="C1105" t="str">
            <v>PSS</v>
          </cell>
        </row>
        <row r="1106">
          <cell r="C1106" t="str">
            <v>PSP</v>
          </cell>
        </row>
        <row r="1107">
          <cell r="C1107" t="str">
            <v>PSP</v>
          </cell>
        </row>
        <row r="1108">
          <cell r="C1108" t="str">
            <v>GS</v>
          </cell>
        </row>
        <row r="1109">
          <cell r="C1109" t="str">
            <v>RS</v>
          </cell>
        </row>
        <row r="1110">
          <cell r="C1110" t="str">
            <v>RS</v>
          </cell>
        </row>
        <row r="1111">
          <cell r="C1111" t="str">
            <v>GS</v>
          </cell>
          <cell r="K1111">
            <v>54052188.097867072</v>
          </cell>
        </row>
        <row r="1112">
          <cell r="C1112" t="str">
            <v>GS</v>
          </cell>
        </row>
        <row r="1113">
          <cell r="C1113" t="str">
            <v>GS3</v>
          </cell>
          <cell r="K1113">
            <v>83271225.000115886</v>
          </cell>
        </row>
        <row r="1114">
          <cell r="C1114" t="str">
            <v>AES</v>
          </cell>
          <cell r="K1114">
            <v>521000</v>
          </cell>
        </row>
        <row r="1115">
          <cell r="C1115" t="str">
            <v>AES</v>
          </cell>
        </row>
        <row r="1116">
          <cell r="C1116" t="str">
            <v>AES3</v>
          </cell>
          <cell r="K1116">
            <v>10592000</v>
          </cell>
        </row>
        <row r="1117">
          <cell r="C1117" t="str">
            <v>AES3</v>
          </cell>
        </row>
        <row r="1118">
          <cell r="C1118" t="str">
            <v>AES3</v>
          </cell>
        </row>
        <row r="1119">
          <cell r="C1119" t="str">
            <v>AES3</v>
          </cell>
        </row>
        <row r="1120">
          <cell r="C1120" t="str">
            <v>AES3</v>
          </cell>
        </row>
        <row r="1121">
          <cell r="C1121" t="str">
            <v>AES</v>
          </cell>
        </row>
        <row r="1122">
          <cell r="C1122" t="str">
            <v>LE</v>
          </cell>
          <cell r="K1122">
            <v>41987.15172469052</v>
          </cell>
        </row>
        <row r="1123">
          <cell r="C1123" t="str">
            <v>LE</v>
          </cell>
        </row>
        <row r="1124">
          <cell r="C1124" t="str">
            <v>LE</v>
          </cell>
        </row>
        <row r="1125">
          <cell r="C1125" t="str">
            <v>TE</v>
          </cell>
          <cell r="K1125">
            <v>117147.25571744112</v>
          </cell>
        </row>
        <row r="1126">
          <cell r="C1126" t="str">
            <v>TE</v>
          </cell>
        </row>
        <row r="1127">
          <cell r="C1127" t="str">
            <v>TE</v>
          </cell>
        </row>
        <row r="1128">
          <cell r="C1128" t="str">
            <v>RTS</v>
          </cell>
        </row>
        <row r="1129">
          <cell r="C1129" t="str">
            <v>PSP</v>
          </cell>
        </row>
        <row r="1130">
          <cell r="C1130" t="str">
            <v>PSS</v>
          </cell>
          <cell r="K1130">
            <v>180935926.02177373</v>
          </cell>
        </row>
        <row r="1131">
          <cell r="C1131" t="str">
            <v>PSP</v>
          </cell>
        </row>
        <row r="1132">
          <cell r="C1132" t="str">
            <v>PSS</v>
          </cell>
        </row>
        <row r="1133">
          <cell r="C1133" t="str">
            <v>TODP</v>
          </cell>
          <cell r="K1133">
            <v>338904319.41432756</v>
          </cell>
        </row>
        <row r="1134">
          <cell r="C1134" t="str">
            <v>TODS</v>
          </cell>
        </row>
        <row r="1135">
          <cell r="C1135" t="str">
            <v>SQF</v>
          </cell>
        </row>
        <row r="1136">
          <cell r="C1136" t="str">
            <v>SQF</v>
          </cell>
        </row>
        <row r="1137">
          <cell r="C1137" t="str">
            <v>LQF</v>
          </cell>
        </row>
        <row r="1138">
          <cell r="C1138" t="str">
            <v>GS</v>
          </cell>
        </row>
        <row r="1139">
          <cell r="C1139" t="str">
            <v>GS3</v>
          </cell>
        </row>
        <row r="1140">
          <cell r="C1140" t="str">
            <v>RS</v>
          </cell>
        </row>
        <row r="1141">
          <cell r="C1141" t="str">
            <v>RS</v>
          </cell>
        </row>
        <row r="1142">
          <cell r="C1142" t="str">
            <v>CSR</v>
          </cell>
        </row>
        <row r="1143">
          <cell r="C1143" t="str">
            <v>CSR</v>
          </cell>
        </row>
        <row r="1144">
          <cell r="C1144" t="str">
            <v>CSR</v>
          </cell>
        </row>
        <row r="1145">
          <cell r="C1145" t="str">
            <v>CSR</v>
          </cell>
        </row>
        <row r="1146">
          <cell r="C1146" t="str">
            <v>CSR</v>
          </cell>
        </row>
        <row r="1147">
          <cell r="C1147" t="str">
            <v>GS</v>
          </cell>
        </row>
        <row r="1148">
          <cell r="C1148" t="str">
            <v>GS</v>
          </cell>
        </row>
        <row r="1149">
          <cell r="C1149" t="str">
            <v>GS</v>
          </cell>
        </row>
        <row r="1150">
          <cell r="C1150" t="str">
            <v>GS</v>
          </cell>
        </row>
        <row r="1151">
          <cell r="C1151" t="str">
            <v>GS</v>
          </cell>
        </row>
        <row r="1152">
          <cell r="C1152" t="str">
            <v>GS</v>
          </cell>
        </row>
        <row r="1153">
          <cell r="C1153" t="str">
            <v>GS</v>
          </cell>
        </row>
        <row r="1154">
          <cell r="C1154" t="str">
            <v>GS</v>
          </cell>
        </row>
        <row r="1155">
          <cell r="C1155" t="str">
            <v>GS</v>
          </cell>
        </row>
        <row r="1156">
          <cell r="C1156" t="str">
            <v>GS</v>
          </cell>
        </row>
        <row r="1157">
          <cell r="C1157" t="str">
            <v>GS</v>
          </cell>
        </row>
        <row r="1158">
          <cell r="C1158" t="str">
            <v>GS3</v>
          </cell>
        </row>
        <row r="1159">
          <cell r="C1159" t="str">
            <v>GS3</v>
          </cell>
        </row>
        <row r="1160">
          <cell r="C1160" t="str">
            <v>RTS</v>
          </cell>
        </row>
        <row r="1161">
          <cell r="C1161" t="str">
            <v>RTS</v>
          </cell>
          <cell r="K1161">
            <v>124634979.18482535</v>
          </cell>
        </row>
        <row r="1162">
          <cell r="C1162" t="str">
            <v>PSP</v>
          </cell>
        </row>
        <row r="1163">
          <cell r="C1163" t="str">
            <v>PSP</v>
          </cell>
        </row>
        <row r="1164">
          <cell r="C1164" t="str">
            <v>PSS</v>
          </cell>
        </row>
        <row r="1165">
          <cell r="C1165" t="str">
            <v>PSS</v>
          </cell>
        </row>
        <row r="1166">
          <cell r="C1166" t="str">
            <v>PSP</v>
          </cell>
        </row>
        <row r="1167">
          <cell r="C1167" t="str">
            <v>PSP</v>
          </cell>
        </row>
        <row r="1168">
          <cell r="C1168" t="str">
            <v>PSS</v>
          </cell>
        </row>
        <row r="1169">
          <cell r="C1169" t="str">
            <v>PSS</v>
          </cell>
        </row>
        <row r="1170">
          <cell r="C1170" t="str">
            <v>TODP</v>
          </cell>
        </row>
        <row r="1171">
          <cell r="C1171" t="str">
            <v>TODP</v>
          </cell>
        </row>
        <row r="1172">
          <cell r="C1172" t="str">
            <v>TODS</v>
          </cell>
        </row>
        <row r="1173">
          <cell r="C1173" t="str">
            <v>TODS</v>
          </cell>
        </row>
        <row r="1174">
          <cell r="C1174" t="str">
            <v>GS3</v>
          </cell>
        </row>
        <row r="1175">
          <cell r="C1175" t="str">
            <v>GS3</v>
          </cell>
        </row>
        <row r="1176">
          <cell r="C1176" t="str">
            <v>FLS</v>
          </cell>
          <cell r="K1176">
            <v>47163116.536751904</v>
          </cell>
        </row>
        <row r="1177">
          <cell r="C1177" t="str">
            <v>FLS</v>
          </cell>
        </row>
        <row r="1183">
          <cell r="C1183" t="str">
            <v>RS</v>
          </cell>
        </row>
        <row r="1184">
          <cell r="C1184" t="str">
            <v>RS</v>
          </cell>
          <cell r="K1184">
            <v>361122074.30423146</v>
          </cell>
        </row>
        <row r="1185">
          <cell r="C1185" t="str">
            <v>RS</v>
          </cell>
        </row>
        <row r="1186">
          <cell r="C1186" t="str">
            <v>RS</v>
          </cell>
        </row>
        <row r="1187">
          <cell r="C1187" t="str">
            <v>RTOD-E</v>
          </cell>
          <cell r="K1187">
            <v>19032.144537139611</v>
          </cell>
        </row>
        <row r="1188">
          <cell r="C1188" t="str">
            <v>RTOD-D</v>
          </cell>
        </row>
        <row r="1189">
          <cell r="C1189" t="str">
            <v>RS</v>
          </cell>
        </row>
        <row r="1190">
          <cell r="C1190" t="str">
            <v>RS</v>
          </cell>
        </row>
        <row r="1191">
          <cell r="C1191" t="str">
            <v>RS</v>
          </cell>
        </row>
        <row r="1192">
          <cell r="C1192" t="str">
            <v>RS</v>
          </cell>
        </row>
        <row r="1193">
          <cell r="C1193" t="str">
            <v>RTS</v>
          </cell>
        </row>
        <row r="1194">
          <cell r="C1194" t="str">
            <v>PSP</v>
          </cell>
          <cell r="K1194">
            <v>13975435.852137227</v>
          </cell>
        </row>
        <row r="1195">
          <cell r="C1195" t="str">
            <v>PSS</v>
          </cell>
        </row>
        <row r="1196">
          <cell r="C1196" t="str">
            <v>TODP</v>
          </cell>
        </row>
        <row r="1197">
          <cell r="C1197" t="str">
            <v>PSP</v>
          </cell>
        </row>
        <row r="1198">
          <cell r="C1198" t="str">
            <v>PSS</v>
          </cell>
        </row>
        <row r="1199">
          <cell r="C1199" t="str">
            <v>TODP</v>
          </cell>
        </row>
        <row r="1200">
          <cell r="C1200" t="str">
            <v>TODS</v>
          </cell>
          <cell r="K1200">
            <v>140186468.13315609</v>
          </cell>
        </row>
        <row r="1201">
          <cell r="C1201" t="str">
            <v>TOD</v>
          </cell>
        </row>
        <row r="1202">
          <cell r="C1202" t="str">
            <v>MPT</v>
          </cell>
        </row>
        <row r="1203">
          <cell r="C1203" t="str">
            <v>MPP</v>
          </cell>
        </row>
        <row r="1204">
          <cell r="C1204" t="str">
            <v>LTOD</v>
          </cell>
        </row>
        <row r="1205">
          <cell r="C1205" t="str">
            <v>LTOD</v>
          </cell>
        </row>
        <row r="1206">
          <cell r="C1206" t="str">
            <v>MPP PF</v>
          </cell>
        </row>
        <row r="1207">
          <cell r="C1207" t="str">
            <v>MPT PF</v>
          </cell>
        </row>
        <row r="1208">
          <cell r="C1208" t="str">
            <v>LEV</v>
          </cell>
        </row>
        <row r="1209">
          <cell r="C1209" t="str">
            <v>GS</v>
          </cell>
        </row>
        <row r="1210">
          <cell r="C1210" t="str">
            <v>GS</v>
          </cell>
        </row>
        <row r="1211">
          <cell r="C1211" t="str">
            <v>GS3</v>
          </cell>
        </row>
        <row r="1212">
          <cell r="C1212" t="str">
            <v>GS3</v>
          </cell>
        </row>
        <row r="1213">
          <cell r="C1213" t="str">
            <v>LEV</v>
          </cell>
        </row>
        <row r="1214">
          <cell r="C1214" t="str">
            <v>CSR</v>
          </cell>
        </row>
        <row r="1215">
          <cell r="C1215" t="str">
            <v>CSR</v>
          </cell>
        </row>
        <row r="1216">
          <cell r="C1216" t="str">
            <v>CSR</v>
          </cell>
        </row>
        <row r="1217">
          <cell r="C1217" t="str">
            <v>CSR</v>
          </cell>
        </row>
        <row r="1218">
          <cell r="C1218" t="str">
            <v>CSR</v>
          </cell>
        </row>
        <row r="1219">
          <cell r="C1219" t="str">
            <v>CSR</v>
          </cell>
        </row>
        <row r="1220">
          <cell r="C1220" t="str">
            <v>CSR</v>
          </cell>
        </row>
        <row r="1221">
          <cell r="C1221" t="str">
            <v>CSR</v>
          </cell>
        </row>
        <row r="1222">
          <cell r="C1222" t="str">
            <v>LEV</v>
          </cell>
        </row>
        <row r="1223">
          <cell r="C1223" t="str">
            <v>LEV</v>
          </cell>
        </row>
        <row r="1224">
          <cell r="C1224" t="str">
            <v>GS</v>
          </cell>
        </row>
        <row r="1225">
          <cell r="C1225" t="str">
            <v>PSP</v>
          </cell>
        </row>
        <row r="1226">
          <cell r="C1226" t="str">
            <v>PSS</v>
          </cell>
        </row>
        <row r="1227">
          <cell r="C1227" t="str">
            <v>PSS</v>
          </cell>
        </row>
        <row r="1228">
          <cell r="C1228" t="str">
            <v>PSP</v>
          </cell>
        </row>
        <row r="1229">
          <cell r="C1229" t="str">
            <v>PSP</v>
          </cell>
        </row>
        <row r="1230">
          <cell r="C1230" t="str">
            <v>GS</v>
          </cell>
        </row>
        <row r="1231">
          <cell r="C1231" t="str">
            <v>RS</v>
          </cell>
        </row>
        <row r="1232">
          <cell r="C1232" t="str">
            <v>RS</v>
          </cell>
        </row>
        <row r="1233">
          <cell r="C1233" t="str">
            <v>GS</v>
          </cell>
          <cell r="K1233">
            <v>54242795.903693855</v>
          </cell>
        </row>
        <row r="1234">
          <cell r="C1234" t="str">
            <v>GS</v>
          </cell>
        </row>
        <row r="1235">
          <cell r="C1235" t="str">
            <v>GS3</v>
          </cell>
          <cell r="K1235">
            <v>78819352.802513227</v>
          </cell>
        </row>
        <row r="1236">
          <cell r="C1236" t="str">
            <v>AES</v>
          </cell>
          <cell r="K1236">
            <v>605000</v>
          </cell>
        </row>
        <row r="1237">
          <cell r="C1237" t="str">
            <v>AES</v>
          </cell>
        </row>
        <row r="1238">
          <cell r="C1238" t="str">
            <v>AES3</v>
          </cell>
          <cell r="K1238">
            <v>12300000</v>
          </cell>
        </row>
        <row r="1239">
          <cell r="C1239" t="str">
            <v>AES3</v>
          </cell>
        </row>
        <row r="1240">
          <cell r="C1240" t="str">
            <v>AES3</v>
          </cell>
        </row>
        <row r="1241">
          <cell r="C1241" t="str">
            <v>AES3</v>
          </cell>
        </row>
        <row r="1242">
          <cell r="C1242" t="str">
            <v>AES3</v>
          </cell>
        </row>
        <row r="1243">
          <cell r="C1243" t="str">
            <v>AES</v>
          </cell>
        </row>
        <row r="1244">
          <cell r="C1244" t="str">
            <v>LE</v>
          </cell>
          <cell r="K1244">
            <v>50090.764433614298</v>
          </cell>
        </row>
        <row r="1245">
          <cell r="C1245" t="str">
            <v>LE</v>
          </cell>
        </row>
        <row r="1246">
          <cell r="C1246" t="str">
            <v>LE</v>
          </cell>
        </row>
        <row r="1247">
          <cell r="C1247" t="str">
            <v>TE</v>
          </cell>
          <cell r="K1247">
            <v>128553.97199665004</v>
          </cell>
        </row>
        <row r="1248">
          <cell r="C1248" t="str">
            <v>TE</v>
          </cell>
        </row>
        <row r="1249">
          <cell r="C1249" t="str">
            <v>TE</v>
          </cell>
        </row>
        <row r="1250">
          <cell r="C1250" t="str">
            <v>RTS</v>
          </cell>
        </row>
        <row r="1251">
          <cell r="C1251" t="str">
            <v>PSP</v>
          </cell>
        </row>
        <row r="1252">
          <cell r="C1252" t="str">
            <v>PSS</v>
          </cell>
          <cell r="K1252">
            <v>169713757.87580806</v>
          </cell>
        </row>
        <row r="1253">
          <cell r="C1253" t="str">
            <v>PSP</v>
          </cell>
        </row>
        <row r="1254">
          <cell r="C1254" t="str">
            <v>PSS</v>
          </cell>
        </row>
        <row r="1255">
          <cell r="C1255" t="str">
            <v>TODP</v>
          </cell>
          <cell r="K1255">
            <v>346339180.6060186</v>
          </cell>
        </row>
        <row r="1256">
          <cell r="C1256" t="str">
            <v>TODS</v>
          </cell>
        </row>
        <row r="1257">
          <cell r="C1257" t="str">
            <v>SQF</v>
          </cell>
        </row>
        <row r="1258">
          <cell r="C1258" t="str">
            <v>SQF</v>
          </cell>
        </row>
        <row r="1259">
          <cell r="C1259" t="str">
            <v>LQF</v>
          </cell>
        </row>
        <row r="1260">
          <cell r="C1260" t="str">
            <v>GS</v>
          </cell>
        </row>
        <row r="1261">
          <cell r="C1261" t="str">
            <v>GS3</v>
          </cell>
        </row>
        <row r="1262">
          <cell r="C1262" t="str">
            <v>RS</v>
          </cell>
        </row>
        <row r="1263">
          <cell r="C1263" t="str">
            <v>RS</v>
          </cell>
        </row>
        <row r="1264">
          <cell r="C1264" t="str">
            <v>CSR</v>
          </cell>
        </row>
        <row r="1265">
          <cell r="C1265" t="str">
            <v>CSR</v>
          </cell>
        </row>
        <row r="1266">
          <cell r="C1266" t="str">
            <v>CSR</v>
          </cell>
        </row>
        <row r="1267">
          <cell r="C1267" t="str">
            <v>CSR</v>
          </cell>
        </row>
        <row r="1268">
          <cell r="C1268" t="str">
            <v>CSR</v>
          </cell>
        </row>
        <row r="1269">
          <cell r="C1269" t="str">
            <v>GS</v>
          </cell>
        </row>
        <row r="1270">
          <cell r="C1270" t="str">
            <v>GS</v>
          </cell>
        </row>
        <row r="1271">
          <cell r="C1271" t="str">
            <v>GS</v>
          </cell>
        </row>
        <row r="1272">
          <cell r="C1272" t="str">
            <v>GS</v>
          </cell>
        </row>
        <row r="1273">
          <cell r="C1273" t="str">
            <v>GS</v>
          </cell>
        </row>
        <row r="1274">
          <cell r="C1274" t="str">
            <v>GS</v>
          </cell>
        </row>
        <row r="1275">
          <cell r="C1275" t="str">
            <v>GS</v>
          </cell>
        </row>
        <row r="1276">
          <cell r="C1276" t="str">
            <v>GS</v>
          </cell>
        </row>
        <row r="1277">
          <cell r="C1277" t="str">
            <v>GS</v>
          </cell>
        </row>
        <row r="1278">
          <cell r="C1278" t="str">
            <v>GS</v>
          </cell>
        </row>
        <row r="1279">
          <cell r="C1279" t="str">
            <v>GS</v>
          </cell>
        </row>
        <row r="1280">
          <cell r="C1280" t="str">
            <v>GS3</v>
          </cell>
        </row>
        <row r="1281">
          <cell r="C1281" t="str">
            <v>GS3</v>
          </cell>
        </row>
        <row r="1282">
          <cell r="C1282" t="str">
            <v>RTS</v>
          </cell>
        </row>
        <row r="1283">
          <cell r="C1283" t="str">
            <v>RTS</v>
          </cell>
          <cell r="K1283">
            <v>128966898.62774912</v>
          </cell>
        </row>
        <row r="1284">
          <cell r="C1284" t="str">
            <v>PSP</v>
          </cell>
        </row>
        <row r="1285">
          <cell r="C1285" t="str">
            <v>PSP</v>
          </cell>
        </row>
        <row r="1286">
          <cell r="C1286" t="str">
            <v>PSS</v>
          </cell>
        </row>
        <row r="1287">
          <cell r="C1287" t="str">
            <v>PSS</v>
          </cell>
        </row>
        <row r="1288">
          <cell r="C1288" t="str">
            <v>PSP</v>
          </cell>
        </row>
        <row r="1289">
          <cell r="C1289" t="str">
            <v>PSP</v>
          </cell>
        </row>
        <row r="1290">
          <cell r="C1290" t="str">
            <v>PSS</v>
          </cell>
        </row>
        <row r="1291">
          <cell r="C1291" t="str">
            <v>PSS</v>
          </cell>
        </row>
        <row r="1292">
          <cell r="C1292" t="str">
            <v>TODP</v>
          </cell>
        </row>
        <row r="1293">
          <cell r="C1293" t="str">
            <v>TODP</v>
          </cell>
        </row>
        <row r="1294">
          <cell r="C1294" t="str">
            <v>TODS</v>
          </cell>
        </row>
        <row r="1295">
          <cell r="C1295" t="str">
            <v>TODS</v>
          </cell>
        </row>
        <row r="1296">
          <cell r="C1296" t="str">
            <v>GS3</v>
          </cell>
        </row>
        <row r="1297">
          <cell r="C1297" t="str">
            <v>GS3</v>
          </cell>
        </row>
        <row r="1298">
          <cell r="C1298" t="str">
            <v>FLS</v>
          </cell>
          <cell r="K1298">
            <v>45730937.483929999</v>
          </cell>
        </row>
        <row r="1299">
          <cell r="C1299" t="str">
            <v>FLS</v>
          </cell>
        </row>
        <row r="1305">
          <cell r="C1305" t="str">
            <v>RS</v>
          </cell>
        </row>
        <row r="1306">
          <cell r="C1306" t="str">
            <v>RS</v>
          </cell>
          <cell r="K1306">
            <v>456877357.94351453</v>
          </cell>
        </row>
        <row r="1307">
          <cell r="C1307" t="str">
            <v>RS</v>
          </cell>
        </row>
        <row r="1308">
          <cell r="C1308" t="str">
            <v>RS</v>
          </cell>
        </row>
        <row r="1309">
          <cell r="C1309" t="str">
            <v>RTOD-E</v>
          </cell>
          <cell r="K1309">
            <v>24684.149398597205</v>
          </cell>
        </row>
        <row r="1310">
          <cell r="C1310" t="str">
            <v>RTOD-D</v>
          </cell>
        </row>
        <row r="1311">
          <cell r="C1311" t="str">
            <v>RS</v>
          </cell>
        </row>
        <row r="1312">
          <cell r="C1312" t="str">
            <v>RS</v>
          </cell>
        </row>
        <row r="1313">
          <cell r="C1313" t="str">
            <v>RS</v>
          </cell>
        </row>
        <row r="1314">
          <cell r="C1314" t="str">
            <v>RS</v>
          </cell>
        </row>
        <row r="1315">
          <cell r="C1315" t="str">
            <v>RTS</v>
          </cell>
        </row>
        <row r="1316">
          <cell r="C1316" t="str">
            <v>PSP</v>
          </cell>
          <cell r="K1316">
            <v>14282028.066227578</v>
          </cell>
        </row>
        <row r="1317">
          <cell r="C1317" t="str">
            <v>PSS</v>
          </cell>
        </row>
        <row r="1318">
          <cell r="C1318" t="str">
            <v>TODP</v>
          </cell>
        </row>
        <row r="1319">
          <cell r="C1319" t="str">
            <v>PSP</v>
          </cell>
        </row>
        <row r="1320">
          <cell r="C1320" t="str">
            <v>PSS</v>
          </cell>
        </row>
        <row r="1321">
          <cell r="C1321" t="str">
            <v>TODP</v>
          </cell>
        </row>
        <row r="1322">
          <cell r="C1322" t="str">
            <v>TODS</v>
          </cell>
          <cell r="K1322">
            <v>142849344.65883482</v>
          </cell>
        </row>
        <row r="1323">
          <cell r="C1323" t="str">
            <v>TOD</v>
          </cell>
        </row>
        <row r="1324">
          <cell r="C1324" t="str">
            <v>MPT</v>
          </cell>
        </row>
        <row r="1325">
          <cell r="C1325" t="str">
            <v>MPP</v>
          </cell>
        </row>
        <row r="1326">
          <cell r="C1326" t="str">
            <v>LTOD</v>
          </cell>
        </row>
        <row r="1327">
          <cell r="C1327" t="str">
            <v>LTOD</v>
          </cell>
        </row>
        <row r="1328">
          <cell r="C1328" t="str">
            <v>MPP PF</v>
          </cell>
        </row>
        <row r="1329">
          <cell r="C1329" t="str">
            <v>MPT PF</v>
          </cell>
        </row>
        <row r="1330">
          <cell r="C1330" t="str">
            <v>LEV</v>
          </cell>
        </row>
        <row r="1331">
          <cell r="C1331" t="str">
            <v>GS</v>
          </cell>
        </row>
        <row r="1332">
          <cell r="C1332" t="str">
            <v>GS</v>
          </cell>
        </row>
        <row r="1333">
          <cell r="C1333" t="str">
            <v>GS3</v>
          </cell>
        </row>
        <row r="1334">
          <cell r="C1334" t="str">
            <v>GS3</v>
          </cell>
        </row>
        <row r="1335">
          <cell r="C1335" t="str">
            <v>LEV</v>
          </cell>
        </row>
        <row r="1336">
          <cell r="C1336" t="str">
            <v>CSR</v>
          </cell>
        </row>
        <row r="1337">
          <cell r="C1337" t="str">
            <v>CSR</v>
          </cell>
        </row>
        <row r="1338">
          <cell r="C1338" t="str">
            <v>CSR</v>
          </cell>
        </row>
        <row r="1339">
          <cell r="C1339" t="str">
            <v>CSR</v>
          </cell>
        </row>
        <row r="1340">
          <cell r="C1340" t="str">
            <v>CSR</v>
          </cell>
        </row>
        <row r="1341">
          <cell r="C1341" t="str">
            <v>CSR</v>
          </cell>
        </row>
        <row r="1342">
          <cell r="C1342" t="str">
            <v>CSR</v>
          </cell>
        </row>
        <row r="1343">
          <cell r="C1343" t="str">
            <v>CSR</v>
          </cell>
        </row>
        <row r="1344">
          <cell r="C1344" t="str">
            <v>LEV</v>
          </cell>
        </row>
        <row r="1345">
          <cell r="C1345" t="str">
            <v>LEV</v>
          </cell>
        </row>
        <row r="1346">
          <cell r="C1346" t="str">
            <v>GS</v>
          </cell>
        </row>
        <row r="1347">
          <cell r="C1347" t="str">
            <v>PSP</v>
          </cell>
        </row>
        <row r="1348">
          <cell r="C1348" t="str">
            <v>PSS</v>
          </cell>
        </row>
        <row r="1349">
          <cell r="C1349" t="str">
            <v>PSS</v>
          </cell>
        </row>
        <row r="1350">
          <cell r="C1350" t="str">
            <v>PSP</v>
          </cell>
        </row>
        <row r="1351">
          <cell r="C1351" t="str">
            <v>PSP</v>
          </cell>
        </row>
        <row r="1352">
          <cell r="C1352" t="str">
            <v>GS</v>
          </cell>
        </row>
        <row r="1353">
          <cell r="C1353" t="str">
            <v>RS</v>
          </cell>
        </row>
        <row r="1354">
          <cell r="C1354" t="str">
            <v>RS</v>
          </cell>
        </row>
        <row r="1355">
          <cell r="C1355" t="str">
            <v>GS</v>
          </cell>
          <cell r="K1355">
            <v>79580535.01830551</v>
          </cell>
        </row>
        <row r="1356">
          <cell r="C1356" t="str">
            <v>GS</v>
          </cell>
        </row>
        <row r="1357">
          <cell r="C1357" t="str">
            <v>GS3</v>
          </cell>
          <cell r="K1357">
            <v>86182211.971874446</v>
          </cell>
        </row>
        <row r="1358">
          <cell r="C1358" t="str">
            <v>AES</v>
          </cell>
          <cell r="K1358">
            <v>677000</v>
          </cell>
        </row>
        <row r="1359">
          <cell r="C1359" t="str">
            <v>AES</v>
          </cell>
        </row>
        <row r="1360">
          <cell r="C1360" t="str">
            <v>AES3</v>
          </cell>
          <cell r="K1360">
            <v>13749000</v>
          </cell>
        </row>
        <row r="1361">
          <cell r="C1361" t="str">
            <v>AES3</v>
          </cell>
        </row>
        <row r="1362">
          <cell r="C1362" t="str">
            <v>AES3</v>
          </cell>
        </row>
        <row r="1363">
          <cell r="C1363" t="str">
            <v>AES3</v>
          </cell>
        </row>
        <row r="1364">
          <cell r="C1364" t="str">
            <v>AES3</v>
          </cell>
        </row>
        <row r="1365">
          <cell r="C1365" t="str">
            <v>AES</v>
          </cell>
        </row>
        <row r="1366">
          <cell r="C1366" t="str">
            <v>LE</v>
          </cell>
          <cell r="K1366">
            <v>52416.58819487811</v>
          </cell>
        </row>
        <row r="1367">
          <cell r="C1367" t="str">
            <v>LE</v>
          </cell>
        </row>
        <row r="1368">
          <cell r="C1368" t="str">
            <v>LE</v>
          </cell>
        </row>
        <row r="1369">
          <cell r="C1369" t="str">
            <v>TE</v>
          </cell>
          <cell r="K1369">
            <v>164746.68685094907</v>
          </cell>
        </row>
        <row r="1370">
          <cell r="C1370" t="str">
            <v>TE</v>
          </cell>
        </row>
        <row r="1371">
          <cell r="C1371" t="str">
            <v>TE</v>
          </cell>
        </row>
        <row r="1372">
          <cell r="C1372" t="str">
            <v>RTS</v>
          </cell>
        </row>
        <row r="1373">
          <cell r="C1373" t="str">
            <v>PSP</v>
          </cell>
        </row>
        <row r="1374">
          <cell r="C1374" t="str">
            <v>PSS</v>
          </cell>
          <cell r="K1374">
            <v>184186312.3441284</v>
          </cell>
        </row>
        <row r="1375">
          <cell r="C1375" t="str">
            <v>PSP</v>
          </cell>
        </row>
        <row r="1376">
          <cell r="C1376" t="str">
            <v>PSS</v>
          </cell>
        </row>
        <row r="1377">
          <cell r="C1377" t="str">
            <v>TODP</v>
          </cell>
          <cell r="K1377">
            <v>338786007.96074069</v>
          </cell>
        </row>
        <row r="1378">
          <cell r="C1378" t="str">
            <v>TODS</v>
          </cell>
        </row>
        <row r="1379">
          <cell r="C1379" t="str">
            <v>SQF</v>
          </cell>
        </row>
        <row r="1380">
          <cell r="C1380" t="str">
            <v>SQF</v>
          </cell>
        </row>
        <row r="1381">
          <cell r="C1381" t="str">
            <v>LQF</v>
          </cell>
        </row>
        <row r="1382">
          <cell r="C1382" t="str">
            <v>GS</v>
          </cell>
        </row>
        <row r="1383">
          <cell r="C1383" t="str">
            <v>GS3</v>
          </cell>
        </row>
        <row r="1384">
          <cell r="C1384" t="str">
            <v>RS</v>
          </cell>
        </row>
        <row r="1385">
          <cell r="C1385" t="str">
            <v>RS</v>
          </cell>
        </row>
        <row r="1386">
          <cell r="C1386" t="str">
            <v>CSR</v>
          </cell>
        </row>
        <row r="1387">
          <cell r="C1387" t="str">
            <v>CSR</v>
          </cell>
        </row>
        <row r="1388">
          <cell r="C1388" t="str">
            <v>CSR</v>
          </cell>
        </row>
        <row r="1389">
          <cell r="C1389" t="str">
            <v>CSR</v>
          </cell>
        </row>
        <row r="1390">
          <cell r="C1390" t="str">
            <v>CSR</v>
          </cell>
        </row>
        <row r="1391">
          <cell r="C1391" t="str">
            <v>GS</v>
          </cell>
        </row>
        <row r="1392">
          <cell r="C1392" t="str">
            <v>GS</v>
          </cell>
        </row>
        <row r="1393">
          <cell r="C1393" t="str">
            <v>GS</v>
          </cell>
        </row>
        <row r="1394">
          <cell r="C1394" t="str">
            <v>GS</v>
          </cell>
        </row>
        <row r="1395">
          <cell r="C1395" t="str">
            <v>GS</v>
          </cell>
        </row>
        <row r="1396">
          <cell r="C1396" t="str">
            <v>GS</v>
          </cell>
        </row>
        <row r="1397">
          <cell r="C1397" t="str">
            <v>GS</v>
          </cell>
        </row>
        <row r="1398">
          <cell r="C1398" t="str">
            <v>GS</v>
          </cell>
        </row>
        <row r="1399">
          <cell r="C1399" t="str">
            <v>GS</v>
          </cell>
        </row>
        <row r="1400">
          <cell r="C1400" t="str">
            <v>GS</v>
          </cell>
        </row>
        <row r="1401">
          <cell r="C1401" t="str">
            <v>GS</v>
          </cell>
        </row>
        <row r="1402">
          <cell r="C1402" t="str">
            <v>GS3</v>
          </cell>
        </row>
        <row r="1403">
          <cell r="C1403" t="str">
            <v>GS3</v>
          </cell>
        </row>
        <row r="1404">
          <cell r="C1404" t="str">
            <v>RTS</v>
          </cell>
        </row>
        <row r="1405">
          <cell r="C1405" t="str">
            <v>RTS</v>
          </cell>
          <cell r="K1405">
            <v>128141620.01965322</v>
          </cell>
        </row>
        <row r="1406">
          <cell r="C1406" t="str">
            <v>PSP</v>
          </cell>
        </row>
        <row r="1407">
          <cell r="C1407" t="str">
            <v>PSP</v>
          </cell>
        </row>
        <row r="1408">
          <cell r="C1408" t="str">
            <v>PSS</v>
          </cell>
        </row>
        <row r="1409">
          <cell r="C1409" t="str">
            <v>PSS</v>
          </cell>
        </row>
        <row r="1410">
          <cell r="C1410" t="str">
            <v>PSP</v>
          </cell>
        </row>
        <row r="1411">
          <cell r="C1411" t="str">
            <v>PSP</v>
          </cell>
        </row>
        <row r="1412">
          <cell r="C1412" t="str">
            <v>PSS</v>
          </cell>
        </row>
        <row r="1413">
          <cell r="C1413" t="str">
            <v>PSS</v>
          </cell>
        </row>
        <row r="1414">
          <cell r="C1414" t="str">
            <v>TODP</v>
          </cell>
        </row>
        <row r="1415">
          <cell r="C1415" t="str">
            <v>TODP</v>
          </cell>
        </row>
        <row r="1416">
          <cell r="C1416" t="str">
            <v>TODS</v>
          </cell>
        </row>
        <row r="1417">
          <cell r="C1417" t="str">
            <v>TODS</v>
          </cell>
        </row>
        <row r="1418">
          <cell r="C1418" t="str">
            <v>GS3</v>
          </cell>
        </row>
        <row r="1419">
          <cell r="C1419" t="str">
            <v>GS3</v>
          </cell>
        </row>
        <row r="1420">
          <cell r="C1420" t="str">
            <v>FLS</v>
          </cell>
          <cell r="K1420">
            <v>41843538.999491803</v>
          </cell>
        </row>
        <row r="1421">
          <cell r="C1421" t="str">
            <v>FLS</v>
          </cell>
        </row>
        <row r="1427">
          <cell r="C1427" t="str">
            <v>RS</v>
          </cell>
        </row>
        <row r="1428">
          <cell r="C1428" t="str">
            <v>RS</v>
          </cell>
          <cell r="K1428">
            <v>643584709.73703372</v>
          </cell>
        </row>
        <row r="1429">
          <cell r="C1429" t="str">
            <v>RS</v>
          </cell>
        </row>
        <row r="1430">
          <cell r="C1430" t="str">
            <v>RS</v>
          </cell>
        </row>
        <row r="1431">
          <cell r="C1431" t="str">
            <v>RTOD-E</v>
          </cell>
          <cell r="K1431">
            <v>35559.366300397873</v>
          </cell>
        </row>
        <row r="1432">
          <cell r="C1432" t="str">
            <v>RTOD-D</v>
          </cell>
        </row>
        <row r="1433">
          <cell r="C1433" t="str">
            <v>RS</v>
          </cell>
        </row>
        <row r="1434">
          <cell r="C1434" t="str">
            <v>RS</v>
          </cell>
        </row>
        <row r="1435">
          <cell r="C1435" t="str">
            <v>RS</v>
          </cell>
        </row>
        <row r="1436">
          <cell r="C1436" t="str">
            <v>RS</v>
          </cell>
        </row>
        <row r="1437">
          <cell r="C1437" t="str">
            <v>RTS</v>
          </cell>
        </row>
        <row r="1438">
          <cell r="C1438" t="str">
            <v>PSP</v>
          </cell>
          <cell r="K1438">
            <v>13970557.029308898</v>
          </cell>
        </row>
        <row r="1439">
          <cell r="C1439" t="str">
            <v>PSS</v>
          </cell>
        </row>
        <row r="1440">
          <cell r="C1440" t="str">
            <v>TODP</v>
          </cell>
        </row>
        <row r="1441">
          <cell r="C1441" t="str">
            <v>PSP</v>
          </cell>
        </row>
        <row r="1442">
          <cell r="C1442" t="str">
            <v>PSS</v>
          </cell>
        </row>
        <row r="1443">
          <cell r="C1443" t="str">
            <v>TODP</v>
          </cell>
        </row>
        <row r="1444">
          <cell r="C1444" t="str">
            <v>TODS</v>
          </cell>
          <cell r="K1444">
            <v>141890406.98313552</v>
          </cell>
        </row>
        <row r="1445">
          <cell r="C1445" t="str">
            <v>TOD</v>
          </cell>
        </row>
        <row r="1446">
          <cell r="C1446" t="str">
            <v>MPT</v>
          </cell>
        </row>
        <row r="1447">
          <cell r="C1447" t="str">
            <v>MPP</v>
          </cell>
        </row>
        <row r="1448">
          <cell r="C1448" t="str">
            <v>LTOD</v>
          </cell>
        </row>
        <row r="1449">
          <cell r="C1449" t="str">
            <v>LTOD</v>
          </cell>
        </row>
        <row r="1450">
          <cell r="C1450" t="str">
            <v>MPP PF</v>
          </cell>
        </row>
        <row r="1451">
          <cell r="C1451" t="str">
            <v>MPT PF</v>
          </cell>
        </row>
        <row r="1452">
          <cell r="C1452" t="str">
            <v>LEV</v>
          </cell>
        </row>
        <row r="1453">
          <cell r="C1453" t="str">
            <v>GS</v>
          </cell>
        </row>
        <row r="1454">
          <cell r="C1454" t="str">
            <v>GS</v>
          </cell>
        </row>
        <row r="1455">
          <cell r="C1455" t="str">
            <v>GS3</v>
          </cell>
        </row>
        <row r="1456">
          <cell r="C1456" t="str">
            <v>GS3</v>
          </cell>
        </row>
        <row r="1457">
          <cell r="C1457" t="str">
            <v>LEV</v>
          </cell>
        </row>
        <row r="1458">
          <cell r="C1458" t="str">
            <v>CSR</v>
          </cell>
        </row>
        <row r="1459">
          <cell r="C1459" t="str">
            <v>CSR</v>
          </cell>
        </row>
        <row r="1460">
          <cell r="C1460" t="str">
            <v>CSR</v>
          </cell>
        </row>
        <row r="1461">
          <cell r="C1461" t="str">
            <v>CSR</v>
          </cell>
        </row>
        <row r="1462">
          <cell r="C1462" t="str">
            <v>CSR</v>
          </cell>
        </row>
        <row r="1463">
          <cell r="C1463" t="str">
            <v>CSR</v>
          </cell>
        </row>
        <row r="1464">
          <cell r="C1464" t="str">
            <v>CSR</v>
          </cell>
        </row>
        <row r="1465">
          <cell r="C1465" t="str">
            <v>CSR</v>
          </cell>
        </row>
        <row r="1466">
          <cell r="C1466" t="str">
            <v>LEV</v>
          </cell>
        </row>
        <row r="1467">
          <cell r="C1467" t="str">
            <v>LEV</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Tab"/>
      <sheetName val="LGE Gross Margin-Inc.Stmt"/>
      <sheetName val="KU Gross Margin -Inc.Stmt"/>
      <sheetName val="Combined Gross Margin-Inc.Stmt"/>
      <sheetName val="LGE Retail Margin"/>
      <sheetName val="KU Retail Margin"/>
      <sheetName val="ODP Retail Margin"/>
      <sheetName val="Total KU Retail Margin"/>
      <sheetName val="Combined Retail Margin"/>
      <sheetName val="LGE OSS Margin"/>
      <sheetName val="KU OSS Margin"/>
      <sheetName val="Combined OSS Margin"/>
      <sheetName val="LGE Rev by Comp"/>
      <sheetName val="KU Rev by Comp"/>
      <sheetName val="Combined Rev by Comp"/>
      <sheetName val="LGE Cost of Sales"/>
      <sheetName val="KU Cost of Sales"/>
      <sheetName val="Combined Cost of Sales"/>
      <sheetName val="LGE Sales"/>
      <sheetName val="KU Sales"/>
      <sheetName val="ODP Sales"/>
      <sheetName val="Combined KU &amp; ODP Sales"/>
      <sheetName val="LGE Base Electric Revenues"/>
      <sheetName val="KU Base Electric Revenues"/>
      <sheetName val="ODP Base Electric Revenues"/>
      <sheetName val="Municipals Base Electric Revs"/>
      <sheetName val="Rate Case"/>
      <sheetName val="LGE Base Fuel &amp; FAC"/>
      <sheetName val="KU Base Fuel &amp; FAC"/>
      <sheetName val="LGE Other Electric-Gas Revenues"/>
      <sheetName val="KU Other Electric Revenues"/>
      <sheetName val="LG&amp;E ECR"/>
      <sheetName val="KU ECR"/>
      <sheetName val="LG&amp;E VDT"/>
      <sheetName val="KU VDT"/>
      <sheetName val="LG&amp;E DSM"/>
      <sheetName val="KU DSM "/>
      <sheetName val="Merger Surcredit"/>
      <sheetName val="LGE Misc Rev"/>
      <sheetName val="KU Misc Rev"/>
      <sheetName val="LGE Revenue Average Price"/>
      <sheetName val="KU Revenue Average Price "/>
      <sheetName val="LGE Require &amp; Source"/>
      <sheetName val="KU Require &amp; Source"/>
      <sheetName val="LGE Coal"/>
      <sheetName val="KU Coal "/>
      <sheetName val="LGE Gas Margin"/>
      <sheetName val="LGE Gas Revenue Summary"/>
      <sheetName val="LGE Base Gas Revenues"/>
      <sheetName val="LGE GSC Revenues"/>
      <sheetName val="Combined Balance Sheet"/>
      <sheetName val="LGE Electric Comparison"/>
      <sheetName val="KU Electric Comparison"/>
      <sheetName val="Combined Electric Comparison"/>
      <sheetName val="LGE Gas Comparison"/>
      <sheetName val="LGE Budget Inputs"/>
      <sheetName val="KU Budget Inputs"/>
      <sheetName val="ODP Budget Inputs"/>
      <sheetName val="LGE Budget Upload-2005"/>
      <sheetName val="KU Budget Upload-2005"/>
      <sheetName val="KU Revenue Accounting"/>
      <sheetName val="KU Summary of S&amp;R"/>
      <sheetName val="GM KPI 2006"/>
      <sheetName val="Annual_LGE"/>
      <sheetName val="Gross Margin 2006-2008 Plan"/>
      <sheetName val="LGE Gas-Ultimate Cons"/>
      <sheetName val="Combined Summary"/>
      <sheetName val="LGE Comparison"/>
      <sheetName val="KU Comparison"/>
      <sheetName val="Combined LGE &amp; KU Comparison"/>
      <sheetName val="LGE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RevDatabase"/>
      <sheetName val="BudgetDatabase"/>
      <sheetName val="KWHDistDatabase"/>
      <sheetName val="RevDatabase (2)"/>
    </sheetNames>
    <sheetDataSet>
      <sheetData sheetId="0"/>
      <sheetData sheetId="1" refreshError="1">
        <row r="12">
          <cell r="M12">
            <v>38541.687344907405</v>
          </cell>
          <cell r="O12">
            <v>38541.690394560188</v>
          </cell>
          <cell r="AE12">
            <v>38553.463117129628</v>
          </cell>
        </row>
        <row r="19">
          <cell r="K19">
            <v>6</v>
          </cell>
          <cell r="AE19">
            <v>7</v>
          </cell>
        </row>
        <row r="21">
          <cell r="K21">
            <v>2005</v>
          </cell>
          <cell r="AE21">
            <v>2005</v>
          </cell>
        </row>
        <row r="30">
          <cell r="M30">
            <v>31</v>
          </cell>
        </row>
        <row r="43">
          <cell r="M43">
            <v>1</v>
          </cell>
        </row>
        <row r="44">
          <cell r="M44">
            <v>2</v>
          </cell>
        </row>
        <row r="45">
          <cell r="M45">
            <v>3</v>
          </cell>
        </row>
        <row r="48">
          <cell r="M48">
            <v>4</v>
          </cell>
        </row>
        <row r="49">
          <cell r="M49">
            <v>5</v>
          </cell>
        </row>
        <row r="50">
          <cell r="M50">
            <v>6</v>
          </cell>
        </row>
        <row r="51">
          <cell r="M51">
            <v>7</v>
          </cell>
        </row>
        <row r="52">
          <cell r="M52">
            <v>8</v>
          </cell>
        </row>
        <row r="55">
          <cell r="M55">
            <v>9</v>
          </cell>
        </row>
        <row r="56">
          <cell r="M56">
            <v>10</v>
          </cell>
        </row>
        <row r="57">
          <cell r="M57">
            <v>11</v>
          </cell>
        </row>
        <row r="58">
          <cell r="M58">
            <v>12</v>
          </cell>
        </row>
        <row r="59">
          <cell r="M59">
            <v>13</v>
          </cell>
        </row>
        <row r="62">
          <cell r="M62">
            <v>14</v>
          </cell>
        </row>
        <row r="63">
          <cell r="M63">
            <v>15</v>
          </cell>
        </row>
        <row r="64">
          <cell r="M64">
            <v>16</v>
          </cell>
        </row>
        <row r="65">
          <cell r="M65">
            <v>17</v>
          </cell>
        </row>
        <row r="66">
          <cell r="M66">
            <v>18</v>
          </cell>
        </row>
        <row r="70">
          <cell r="M70">
            <v>19</v>
          </cell>
        </row>
        <row r="71">
          <cell r="M71">
            <v>20</v>
          </cell>
        </row>
        <row r="100">
          <cell r="O100">
            <v>0</v>
          </cell>
          <cell r="Q100">
            <v>0</v>
          </cell>
        </row>
        <row r="110">
          <cell r="O110">
            <v>1.1800000000000001E-3</v>
          </cell>
          <cell r="Q110">
            <v>2.0129999999999999E-2</v>
          </cell>
        </row>
        <row r="116">
          <cell r="O116">
            <v>2.01E-2</v>
          </cell>
        </row>
        <row r="118">
          <cell r="O118">
            <v>-2.503E-2</v>
          </cell>
          <cell r="Q118">
            <v>-1.23E-3</v>
          </cell>
        </row>
        <row r="120">
          <cell r="O120">
            <v>0</v>
          </cell>
        </row>
        <row r="122">
          <cell r="O122">
            <v>-4.1000000000000003E-3</v>
          </cell>
        </row>
        <row r="133">
          <cell r="M133">
            <v>1909011000</v>
          </cell>
          <cell r="O133">
            <v>71598689</v>
          </cell>
        </row>
        <row r="136">
          <cell r="M136">
            <v>109879303</v>
          </cell>
          <cell r="O136">
            <v>4786499</v>
          </cell>
        </row>
        <row r="139">
          <cell r="O139">
            <v>68971241</v>
          </cell>
        </row>
        <row r="142">
          <cell r="O142">
            <v>4500</v>
          </cell>
        </row>
        <row r="151">
          <cell r="O151">
            <v>55618</v>
          </cell>
        </row>
        <row r="152">
          <cell r="O152">
            <v>54587</v>
          </cell>
        </row>
        <row r="153">
          <cell r="O153">
            <v>57093</v>
          </cell>
        </row>
        <row r="154">
          <cell r="O154">
            <v>55989</v>
          </cell>
        </row>
        <row r="155">
          <cell r="O155">
            <v>58583</v>
          </cell>
        </row>
        <row r="156">
          <cell r="O156">
            <v>72619</v>
          </cell>
        </row>
        <row r="157">
          <cell r="O157">
            <v>69053</v>
          </cell>
        </row>
        <row r="158">
          <cell r="O158">
            <v>70289</v>
          </cell>
        </row>
        <row r="159">
          <cell r="O159">
            <v>70745</v>
          </cell>
        </row>
        <row r="160">
          <cell r="O160">
            <v>69742</v>
          </cell>
        </row>
        <row r="161">
          <cell r="O161">
            <v>56625</v>
          </cell>
        </row>
        <row r="162">
          <cell r="O162">
            <v>56514</v>
          </cell>
        </row>
        <row r="163">
          <cell r="O163">
            <v>59021</v>
          </cell>
        </row>
        <row r="164">
          <cell r="O164">
            <v>70651</v>
          </cell>
        </row>
        <row r="165">
          <cell r="O165">
            <v>66257</v>
          </cell>
        </row>
        <row r="166">
          <cell r="O166">
            <v>61762</v>
          </cell>
        </row>
        <row r="167">
          <cell r="O167">
            <v>58610</v>
          </cell>
        </row>
        <row r="168">
          <cell r="O168">
            <v>51014</v>
          </cell>
        </row>
        <row r="169">
          <cell r="O169">
            <v>50094</v>
          </cell>
        </row>
        <row r="170">
          <cell r="O170">
            <v>61324</v>
          </cell>
        </row>
        <row r="171">
          <cell r="O171">
            <v>64326</v>
          </cell>
        </row>
        <row r="172">
          <cell r="O172">
            <v>68072</v>
          </cell>
        </row>
        <row r="173">
          <cell r="O173">
            <v>68409</v>
          </cell>
        </row>
        <row r="174">
          <cell r="O174">
            <v>69340</v>
          </cell>
        </row>
        <row r="175">
          <cell r="O175">
            <v>65399</v>
          </cell>
        </row>
        <row r="176">
          <cell r="O176">
            <v>62370</v>
          </cell>
        </row>
        <row r="177">
          <cell r="O177">
            <v>71963</v>
          </cell>
        </row>
        <row r="178">
          <cell r="O178">
            <v>92580</v>
          </cell>
        </row>
        <row r="179">
          <cell r="O179">
            <v>73612</v>
          </cell>
        </row>
        <row r="180">
          <cell r="O180">
            <v>75222</v>
          </cell>
        </row>
        <row r="259">
          <cell r="O259">
            <v>0</v>
          </cell>
        </row>
        <row r="262">
          <cell r="O262">
            <v>0</v>
          </cell>
        </row>
        <row r="265">
          <cell r="O265">
            <v>0</v>
          </cell>
        </row>
        <row r="268">
          <cell r="O268">
            <v>0</v>
          </cell>
        </row>
        <row r="269">
          <cell r="O269">
            <v>0</v>
          </cell>
        </row>
        <row r="271">
          <cell r="O271">
            <v>3500</v>
          </cell>
        </row>
        <row r="272">
          <cell r="O272">
            <v>13182.6</v>
          </cell>
        </row>
        <row r="274">
          <cell r="O274">
            <v>0</v>
          </cell>
        </row>
        <row r="277">
          <cell r="O277">
            <v>0</v>
          </cell>
        </row>
        <row r="280">
          <cell r="O280">
            <v>0</v>
          </cell>
        </row>
        <row r="283">
          <cell r="O283">
            <v>0</v>
          </cell>
        </row>
        <row r="296">
          <cell r="G296">
            <v>0</v>
          </cell>
          <cell r="I296">
            <v>0</v>
          </cell>
          <cell r="K296">
            <v>0</v>
          </cell>
          <cell r="M296">
            <v>0</v>
          </cell>
          <cell r="O296">
            <v>0</v>
          </cell>
          <cell r="Q296">
            <v>0</v>
          </cell>
        </row>
        <row r="306">
          <cell r="I306">
            <v>0</v>
          </cell>
          <cell r="K306">
            <v>0</v>
          </cell>
        </row>
        <row r="316">
          <cell r="K316">
            <v>0</v>
          </cell>
          <cell r="M316">
            <v>0</v>
          </cell>
          <cell r="O316">
            <v>0</v>
          </cell>
          <cell r="Q316">
            <v>0</v>
          </cell>
        </row>
        <row r="318">
          <cell r="K318">
            <v>0</v>
          </cell>
          <cell r="M318">
            <v>0</v>
          </cell>
          <cell r="O318">
            <v>0</v>
          </cell>
          <cell r="Q318">
            <v>0</v>
          </cell>
        </row>
        <row r="328">
          <cell r="K328">
            <v>0</v>
          </cell>
          <cell r="M328">
            <v>0</v>
          </cell>
        </row>
        <row r="330">
          <cell r="K330">
            <v>0</v>
          </cell>
          <cell r="M330">
            <v>0</v>
          </cell>
        </row>
        <row r="345">
          <cell r="M345">
            <v>0</v>
          </cell>
          <cell r="O345">
            <v>0</v>
          </cell>
        </row>
        <row r="347">
          <cell r="K347">
            <v>180189000</v>
          </cell>
          <cell r="M347">
            <v>0</v>
          </cell>
          <cell r="O347">
            <v>7692007.3200000003</v>
          </cell>
        </row>
        <row r="349">
          <cell r="K349">
            <v>0</v>
          </cell>
          <cell r="M349">
            <v>0</v>
          </cell>
          <cell r="O349">
            <v>0</v>
          </cell>
        </row>
        <row r="355">
          <cell r="K355">
            <v>145395000</v>
          </cell>
          <cell r="M355">
            <v>0</v>
          </cell>
          <cell r="O355">
            <v>5898152.6699999999</v>
          </cell>
        </row>
        <row r="362">
          <cell r="K362">
            <v>0</v>
          </cell>
          <cell r="M362">
            <v>0</v>
          </cell>
          <cell r="O362">
            <v>0</v>
          </cell>
        </row>
        <row r="364">
          <cell r="K364">
            <v>3622984</v>
          </cell>
          <cell r="M364">
            <v>0</v>
          </cell>
          <cell r="O364">
            <v>338534.34</v>
          </cell>
        </row>
        <row r="370">
          <cell r="K370">
            <v>0</v>
          </cell>
          <cell r="M370">
            <v>0</v>
          </cell>
          <cell r="O370">
            <v>0</v>
          </cell>
        </row>
        <row r="383">
          <cell r="M383">
            <v>0</v>
          </cell>
        </row>
        <row r="385">
          <cell r="M385">
            <v>0</v>
          </cell>
        </row>
        <row r="387">
          <cell r="M387">
            <v>0</v>
          </cell>
        </row>
        <row r="389">
          <cell r="O389">
            <v>0</v>
          </cell>
        </row>
        <row r="391">
          <cell r="M391">
            <v>0</v>
          </cell>
          <cell r="O391">
            <v>0</v>
          </cell>
        </row>
        <row r="406">
          <cell r="M406">
            <v>409909.69</v>
          </cell>
        </row>
        <row r="408">
          <cell r="M408">
            <v>201457.04</v>
          </cell>
        </row>
        <row r="410">
          <cell r="M410">
            <v>11913.36</v>
          </cell>
        </row>
        <row r="412">
          <cell r="M412">
            <v>35686.78</v>
          </cell>
        </row>
        <row r="414">
          <cell r="M414">
            <v>220.03</v>
          </cell>
        </row>
        <row r="416">
          <cell r="M416">
            <v>6.72</v>
          </cell>
        </row>
        <row r="418">
          <cell r="M418">
            <v>2.95</v>
          </cell>
        </row>
        <row r="424">
          <cell r="M424">
            <v>0</v>
          </cell>
        </row>
        <row r="433">
          <cell r="M433">
            <v>1220732.58</v>
          </cell>
          <cell r="O433">
            <v>10989.78</v>
          </cell>
        </row>
      </sheetData>
      <sheetData sheetId="2"/>
      <sheetData sheetId="3" refreshError="1">
        <row r="5">
          <cell r="J5">
            <v>38504</v>
          </cell>
          <cell r="K5">
            <v>38473</v>
          </cell>
          <cell r="L5">
            <v>38443</v>
          </cell>
          <cell r="M5">
            <v>38412</v>
          </cell>
          <cell r="N5">
            <v>38384</v>
          </cell>
          <cell r="O5">
            <v>38353</v>
          </cell>
          <cell r="P5">
            <v>38322</v>
          </cell>
          <cell r="Q5">
            <v>38292</v>
          </cell>
          <cell r="R5">
            <v>38261</v>
          </cell>
          <cell r="S5">
            <v>38231</v>
          </cell>
          <cell r="T5">
            <v>38200</v>
          </cell>
          <cell r="U5">
            <v>38169</v>
          </cell>
          <cell r="V5">
            <v>38139</v>
          </cell>
          <cell r="W5">
            <v>38108</v>
          </cell>
          <cell r="X5">
            <v>38078</v>
          </cell>
          <cell r="Y5">
            <v>38047</v>
          </cell>
          <cell r="Z5">
            <v>38018</v>
          </cell>
          <cell r="AA5">
            <v>37987</v>
          </cell>
          <cell r="AB5">
            <v>37956</v>
          </cell>
          <cell r="AC5">
            <v>37926</v>
          </cell>
          <cell r="AD5">
            <v>37895</v>
          </cell>
          <cell r="AE5">
            <v>37865</v>
          </cell>
          <cell r="AF5">
            <v>37834</v>
          </cell>
          <cell r="AG5">
            <v>37803</v>
          </cell>
          <cell r="AH5">
            <v>37773</v>
          </cell>
          <cell r="AJ5">
            <v>38473</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J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J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J10">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J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J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J16">
            <v>0</v>
          </cell>
        </row>
        <row r="17">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J17">
            <v>0</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J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J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J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J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J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J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J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J25">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J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J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J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J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J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J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J38">
            <v>0</v>
          </cell>
        </row>
        <row r="40">
          <cell r="J40">
            <v>419185869</v>
          </cell>
          <cell r="K40">
            <v>348705654</v>
          </cell>
          <cell r="L40">
            <v>445763677</v>
          </cell>
          <cell r="M40">
            <v>501016562</v>
          </cell>
          <cell r="N40">
            <v>569345574</v>
          </cell>
          <cell r="O40">
            <v>697156928</v>
          </cell>
          <cell r="P40">
            <v>338833591</v>
          </cell>
          <cell r="Q40">
            <v>247369974</v>
          </cell>
          <cell r="R40">
            <v>234302586</v>
          </cell>
          <cell r="S40">
            <v>348643287</v>
          </cell>
          <cell r="T40">
            <v>378399000</v>
          </cell>
          <cell r="U40">
            <v>386762447</v>
          </cell>
          <cell r="V40">
            <v>294265744</v>
          </cell>
          <cell r="W40">
            <v>231025040</v>
          </cell>
          <cell r="X40">
            <v>274732486</v>
          </cell>
          <cell r="Y40">
            <v>323105410</v>
          </cell>
          <cell r="Z40">
            <v>370514475</v>
          </cell>
          <cell r="AA40">
            <v>435684653</v>
          </cell>
          <cell r="AB40">
            <v>325161377</v>
          </cell>
          <cell r="AC40">
            <v>232496144</v>
          </cell>
          <cell r="AD40">
            <v>237819479</v>
          </cell>
          <cell r="AE40">
            <v>325651647</v>
          </cell>
          <cell r="AF40">
            <v>386600461</v>
          </cell>
          <cell r="AG40">
            <v>367706272</v>
          </cell>
          <cell r="AH40">
            <v>285560751</v>
          </cell>
          <cell r="AJ40">
            <v>348705654</v>
          </cell>
        </row>
        <row r="41">
          <cell r="J41">
            <v>0</v>
          </cell>
          <cell r="K41">
            <v>0</v>
          </cell>
          <cell r="L41">
            <v>0</v>
          </cell>
          <cell r="M41">
            <v>0</v>
          </cell>
          <cell r="N41">
            <v>0</v>
          </cell>
          <cell r="O41">
            <v>0</v>
          </cell>
          <cell r="P41">
            <v>187017460</v>
          </cell>
          <cell r="Q41">
            <v>130677260</v>
          </cell>
          <cell r="R41">
            <v>105630697</v>
          </cell>
          <cell r="S41">
            <v>145665870</v>
          </cell>
          <cell r="T41">
            <v>158019901</v>
          </cell>
          <cell r="U41">
            <v>163493490</v>
          </cell>
          <cell r="V41">
            <v>130265199</v>
          </cell>
          <cell r="W41">
            <v>107535448</v>
          </cell>
          <cell r="X41">
            <v>147043134</v>
          </cell>
          <cell r="Y41">
            <v>183285426</v>
          </cell>
          <cell r="Z41">
            <v>212355642</v>
          </cell>
          <cell r="AA41">
            <v>252839460</v>
          </cell>
          <cell r="AB41">
            <v>176380963</v>
          </cell>
          <cell r="AC41">
            <v>122982733</v>
          </cell>
          <cell r="AD41">
            <v>110735254</v>
          </cell>
          <cell r="AE41">
            <v>137713282</v>
          </cell>
          <cell r="AF41">
            <v>161900687</v>
          </cell>
          <cell r="AG41">
            <v>155843395</v>
          </cell>
          <cell r="AH41">
            <v>126018785</v>
          </cell>
          <cell r="AJ41">
            <v>0</v>
          </cell>
        </row>
        <row r="42">
          <cell r="J42">
            <v>0</v>
          </cell>
          <cell r="K42">
            <v>0</v>
          </cell>
          <cell r="L42">
            <v>0</v>
          </cell>
          <cell r="M42">
            <v>0</v>
          </cell>
          <cell r="N42">
            <v>0</v>
          </cell>
          <cell r="O42">
            <v>0</v>
          </cell>
          <cell r="P42">
            <v>47246145</v>
          </cell>
          <cell r="Q42">
            <v>40186287</v>
          </cell>
          <cell r="R42">
            <v>41619926</v>
          </cell>
          <cell r="S42">
            <v>49389991</v>
          </cell>
          <cell r="T42">
            <v>48417009</v>
          </cell>
          <cell r="U42">
            <v>48270259</v>
          </cell>
          <cell r="V42">
            <v>43695002</v>
          </cell>
          <cell r="W42">
            <v>38110692</v>
          </cell>
          <cell r="X42">
            <v>41573683</v>
          </cell>
          <cell r="Y42">
            <v>44536855</v>
          </cell>
          <cell r="Z42">
            <v>48292708</v>
          </cell>
          <cell r="AA42">
            <v>53736782</v>
          </cell>
          <cell r="AB42">
            <v>45298617</v>
          </cell>
          <cell r="AC42">
            <v>39756532</v>
          </cell>
          <cell r="AD42">
            <v>40417272</v>
          </cell>
          <cell r="AE42">
            <v>47624041</v>
          </cell>
          <cell r="AF42">
            <v>48928479</v>
          </cell>
          <cell r="AG42">
            <v>47279397</v>
          </cell>
          <cell r="AH42">
            <v>42290163</v>
          </cell>
          <cell r="AJ42">
            <v>0</v>
          </cell>
        </row>
        <row r="43">
          <cell r="J43">
            <v>372380652</v>
          </cell>
          <cell r="K43">
            <v>324280804</v>
          </cell>
          <cell r="L43">
            <v>317049048</v>
          </cell>
          <cell r="M43">
            <v>328417951</v>
          </cell>
          <cell r="N43">
            <v>347166583</v>
          </cell>
          <cell r="O43">
            <v>381363518</v>
          </cell>
          <cell r="P43">
            <v>293808944</v>
          </cell>
          <cell r="Q43">
            <v>265077677</v>
          </cell>
          <cell r="R43">
            <v>291077918</v>
          </cell>
          <cell r="S43">
            <v>349085244</v>
          </cell>
          <cell r="T43">
            <v>342282631</v>
          </cell>
          <cell r="U43">
            <v>354059066</v>
          </cell>
          <cell r="V43">
            <v>313710971</v>
          </cell>
          <cell r="W43">
            <v>274988572</v>
          </cell>
          <cell r="X43">
            <v>268458345</v>
          </cell>
          <cell r="Y43">
            <v>271136290</v>
          </cell>
          <cell r="Z43">
            <v>286022529</v>
          </cell>
          <cell r="AA43">
            <v>309144140</v>
          </cell>
          <cell r="AB43">
            <v>295817234</v>
          </cell>
          <cell r="AC43">
            <v>268684707</v>
          </cell>
          <cell r="AD43">
            <v>284450933</v>
          </cell>
          <cell r="AE43">
            <v>337248054</v>
          </cell>
          <cell r="AF43">
            <v>350751861</v>
          </cell>
          <cell r="AG43">
            <v>348604623</v>
          </cell>
          <cell r="AH43">
            <v>314645846</v>
          </cell>
          <cell r="AJ43">
            <v>324280804</v>
          </cell>
        </row>
        <row r="44">
          <cell r="J44">
            <v>458061348</v>
          </cell>
          <cell r="K44">
            <v>444606417</v>
          </cell>
          <cell r="L44">
            <v>422222985</v>
          </cell>
          <cell r="M44">
            <v>427612535</v>
          </cell>
          <cell r="N44">
            <v>428298939</v>
          </cell>
          <cell r="O44">
            <v>426048278</v>
          </cell>
          <cell r="P44">
            <v>458919475</v>
          </cell>
          <cell r="Q44">
            <v>453189558</v>
          </cell>
          <cell r="R44">
            <v>456071954</v>
          </cell>
          <cell r="S44">
            <v>499347424</v>
          </cell>
          <cell r="T44">
            <v>461003541</v>
          </cell>
          <cell r="U44">
            <v>462838983</v>
          </cell>
          <cell r="V44">
            <v>464770845</v>
          </cell>
          <cell r="W44">
            <v>451662695</v>
          </cell>
          <cell r="X44">
            <v>440391952</v>
          </cell>
          <cell r="Y44">
            <v>424591402</v>
          </cell>
          <cell r="Z44">
            <v>429479422</v>
          </cell>
          <cell r="AA44">
            <v>420144187</v>
          </cell>
          <cell r="AB44">
            <v>436070806</v>
          </cell>
          <cell r="AC44">
            <v>438159483</v>
          </cell>
          <cell r="AD44">
            <v>449486108</v>
          </cell>
          <cell r="AE44">
            <v>471797149</v>
          </cell>
          <cell r="AF44">
            <v>464635083</v>
          </cell>
          <cell r="AG44">
            <v>454449553</v>
          </cell>
          <cell r="AH44">
            <v>459414836</v>
          </cell>
          <cell r="AJ44">
            <v>444606417</v>
          </cell>
        </row>
        <row r="45">
          <cell r="J45">
            <v>41051753</v>
          </cell>
          <cell r="K45">
            <v>40464689</v>
          </cell>
          <cell r="L45">
            <v>44400053</v>
          </cell>
          <cell r="M45">
            <v>47524035</v>
          </cell>
          <cell r="N45">
            <v>47036276</v>
          </cell>
          <cell r="O45">
            <v>49062950</v>
          </cell>
          <cell r="P45">
            <v>46726057</v>
          </cell>
          <cell r="Q45">
            <v>45725982</v>
          </cell>
          <cell r="R45">
            <v>41653502</v>
          </cell>
          <cell r="S45">
            <v>43540838</v>
          </cell>
          <cell r="T45">
            <v>41471734</v>
          </cell>
          <cell r="U45">
            <v>37636971</v>
          </cell>
          <cell r="V45">
            <v>43029626</v>
          </cell>
          <cell r="W45">
            <v>40748396</v>
          </cell>
          <cell r="X45">
            <v>45915756</v>
          </cell>
          <cell r="Y45">
            <v>48922730</v>
          </cell>
          <cell r="Z45">
            <v>48620235</v>
          </cell>
          <cell r="AA45">
            <v>50986883</v>
          </cell>
          <cell r="AB45">
            <v>44827516</v>
          </cell>
          <cell r="AC45">
            <v>43922254</v>
          </cell>
          <cell r="AD45">
            <v>40646644</v>
          </cell>
          <cell r="AE45">
            <v>41312924</v>
          </cell>
          <cell r="AF45">
            <v>41079125</v>
          </cell>
          <cell r="AG45">
            <v>35841365</v>
          </cell>
          <cell r="AH45">
            <v>41919123</v>
          </cell>
          <cell r="AJ45">
            <v>40464689</v>
          </cell>
        </row>
        <row r="46">
          <cell r="J46">
            <v>4262471</v>
          </cell>
          <cell r="K46">
            <v>4188599</v>
          </cell>
          <cell r="L46">
            <v>4576520</v>
          </cell>
          <cell r="M46">
            <v>5116286</v>
          </cell>
          <cell r="N46">
            <v>5106227</v>
          </cell>
          <cell r="O46">
            <v>5886500</v>
          </cell>
          <cell r="P46">
            <v>6100235</v>
          </cell>
          <cell r="Q46">
            <v>5559259</v>
          </cell>
          <cell r="R46">
            <v>5248977</v>
          </cell>
          <cell r="S46">
            <v>4857934</v>
          </cell>
          <cell r="T46">
            <v>4326706</v>
          </cell>
          <cell r="U46">
            <v>4270886</v>
          </cell>
          <cell r="V46">
            <v>4058532</v>
          </cell>
          <cell r="W46">
            <v>4076931</v>
          </cell>
          <cell r="X46">
            <v>4498007</v>
          </cell>
          <cell r="Y46">
            <v>5068226</v>
          </cell>
          <cell r="Z46">
            <v>5099089</v>
          </cell>
          <cell r="AA46">
            <v>5586954</v>
          </cell>
          <cell r="AB46">
            <v>6475862</v>
          </cell>
          <cell r="AC46">
            <v>5754170</v>
          </cell>
          <cell r="AD46">
            <v>5380564</v>
          </cell>
          <cell r="AE46">
            <v>4815634</v>
          </cell>
          <cell r="AF46">
            <v>4515600</v>
          </cell>
          <cell r="AG46">
            <v>4347822</v>
          </cell>
          <cell r="AH46">
            <v>4219468</v>
          </cell>
          <cell r="AJ46">
            <v>4188599</v>
          </cell>
        </row>
        <row r="47">
          <cell r="J47">
            <v>125487281</v>
          </cell>
          <cell r="K47">
            <v>113342398</v>
          </cell>
          <cell r="L47">
            <v>108088969</v>
          </cell>
          <cell r="M47">
            <v>109633801</v>
          </cell>
          <cell r="N47">
            <v>116675357</v>
          </cell>
          <cell r="O47">
            <v>121239038</v>
          </cell>
          <cell r="P47">
            <v>112691610</v>
          </cell>
          <cell r="Q47">
            <v>102228229</v>
          </cell>
          <cell r="R47">
            <v>115200135</v>
          </cell>
          <cell r="S47">
            <v>144121891</v>
          </cell>
          <cell r="T47">
            <v>129564720</v>
          </cell>
          <cell r="U47">
            <v>133066066</v>
          </cell>
          <cell r="V47">
            <v>120648071</v>
          </cell>
          <cell r="W47">
            <v>107652260</v>
          </cell>
          <cell r="X47">
            <v>105198162</v>
          </cell>
          <cell r="Y47">
            <v>107745101</v>
          </cell>
          <cell r="Z47">
            <v>112111053</v>
          </cell>
          <cell r="AA47">
            <v>114687368</v>
          </cell>
          <cell r="AB47">
            <v>114672698</v>
          </cell>
          <cell r="AC47">
            <v>102604299</v>
          </cell>
          <cell r="AD47">
            <v>113731529</v>
          </cell>
          <cell r="AE47">
            <v>139719175</v>
          </cell>
          <cell r="AF47">
            <v>131312225</v>
          </cell>
          <cell r="AG47">
            <v>130832395</v>
          </cell>
          <cell r="AH47">
            <v>118066259</v>
          </cell>
          <cell r="AJ47">
            <v>113342398</v>
          </cell>
        </row>
        <row r="48">
          <cell r="J48">
            <v>7328650</v>
          </cell>
          <cell r="K48">
            <v>6469062</v>
          </cell>
          <cell r="L48">
            <v>6792070</v>
          </cell>
          <cell r="M48">
            <v>6881070</v>
          </cell>
          <cell r="N48">
            <v>7269258</v>
          </cell>
          <cell r="O48">
            <v>7914433</v>
          </cell>
          <cell r="P48">
            <v>7079236</v>
          </cell>
          <cell r="Q48">
            <v>6357690</v>
          </cell>
          <cell r="R48">
            <v>6642771</v>
          </cell>
          <cell r="S48">
            <v>7389553</v>
          </cell>
          <cell r="T48">
            <v>6971102</v>
          </cell>
          <cell r="U48">
            <v>7565122</v>
          </cell>
          <cell r="V48">
            <v>6949076</v>
          </cell>
          <cell r="W48">
            <v>6410850</v>
          </cell>
          <cell r="X48">
            <v>6695783</v>
          </cell>
          <cell r="Y48">
            <v>6747031</v>
          </cell>
          <cell r="Z48">
            <v>7199795</v>
          </cell>
          <cell r="AA48">
            <v>7768520</v>
          </cell>
          <cell r="AB48">
            <v>7369886</v>
          </cell>
          <cell r="AC48">
            <v>6658170</v>
          </cell>
          <cell r="AD48">
            <v>6805989</v>
          </cell>
          <cell r="AE48">
            <v>7386413</v>
          </cell>
          <cell r="AF48">
            <v>7203842</v>
          </cell>
          <cell r="AG48">
            <v>7939602</v>
          </cell>
          <cell r="AH48">
            <v>7056039</v>
          </cell>
          <cell r="AJ48">
            <v>6469062</v>
          </cell>
        </row>
        <row r="49">
          <cell r="J49">
            <v>183979876</v>
          </cell>
          <cell r="K49">
            <v>155410564</v>
          </cell>
          <cell r="L49">
            <v>143248112</v>
          </cell>
          <cell r="M49">
            <v>155191874</v>
          </cell>
          <cell r="N49">
            <v>148130189</v>
          </cell>
          <cell r="O49">
            <v>167978825</v>
          </cell>
          <cell r="P49">
            <v>165283240</v>
          </cell>
          <cell r="Q49">
            <v>147678143</v>
          </cell>
          <cell r="R49">
            <v>151622300</v>
          </cell>
          <cell r="S49">
            <v>170317962</v>
          </cell>
          <cell r="T49">
            <v>206103593</v>
          </cell>
          <cell r="U49">
            <v>206577568</v>
          </cell>
          <cell r="V49">
            <v>185328431</v>
          </cell>
          <cell r="W49">
            <v>156323385</v>
          </cell>
          <cell r="X49">
            <v>144067280</v>
          </cell>
          <cell r="Y49">
            <v>156153907</v>
          </cell>
          <cell r="Z49">
            <v>148886597</v>
          </cell>
          <cell r="AA49">
            <v>169171204</v>
          </cell>
          <cell r="AB49">
            <v>160730705</v>
          </cell>
          <cell r="AC49">
            <v>145186498</v>
          </cell>
          <cell r="AD49">
            <v>145552985</v>
          </cell>
          <cell r="AE49">
            <v>160928684</v>
          </cell>
          <cell r="AF49">
            <v>197224462</v>
          </cell>
          <cell r="AG49">
            <v>197887348</v>
          </cell>
          <cell r="AH49">
            <v>177593886</v>
          </cell>
          <cell r="AJ49">
            <v>155410564</v>
          </cell>
        </row>
        <row r="50">
          <cell r="J50">
            <v>47416165</v>
          </cell>
          <cell r="K50">
            <v>30440713</v>
          </cell>
          <cell r="L50">
            <v>22512344</v>
          </cell>
          <cell r="M50">
            <v>92175162</v>
          </cell>
          <cell r="N50">
            <v>24038192</v>
          </cell>
          <cell r="O50">
            <v>65549101</v>
          </cell>
          <cell r="P50">
            <v>39038402</v>
          </cell>
          <cell r="Q50">
            <v>28193420</v>
          </cell>
          <cell r="R50">
            <v>101363630</v>
          </cell>
          <cell r="S50">
            <v>105870609</v>
          </cell>
          <cell r="T50">
            <v>90807833</v>
          </cell>
          <cell r="U50">
            <v>75762478</v>
          </cell>
          <cell r="V50">
            <v>96792375</v>
          </cell>
          <cell r="W50">
            <v>74579615</v>
          </cell>
          <cell r="X50">
            <v>5032100</v>
          </cell>
          <cell r="Y50">
            <v>12132019</v>
          </cell>
          <cell r="Z50">
            <v>8176886</v>
          </cell>
          <cell r="AA50">
            <v>33597823</v>
          </cell>
          <cell r="AB50">
            <v>191745071</v>
          </cell>
          <cell r="AC50">
            <v>168343361</v>
          </cell>
          <cell r="AD50">
            <v>108029900</v>
          </cell>
          <cell r="AE50">
            <v>126664640</v>
          </cell>
          <cell r="AF50">
            <v>120205704</v>
          </cell>
          <cell r="AG50">
            <v>136637911</v>
          </cell>
          <cell r="AH50">
            <v>195872184</v>
          </cell>
          <cell r="AJ50">
            <v>30440713</v>
          </cell>
        </row>
        <row r="51">
          <cell r="J51">
            <v>175947600</v>
          </cell>
          <cell r="K51">
            <v>185927700</v>
          </cell>
          <cell r="L51">
            <v>252458500</v>
          </cell>
          <cell r="M51">
            <v>361648800</v>
          </cell>
          <cell r="N51">
            <v>338225200</v>
          </cell>
          <cell r="O51">
            <v>382468700</v>
          </cell>
          <cell r="P51">
            <v>306898500</v>
          </cell>
          <cell r="Q51">
            <v>229405800</v>
          </cell>
          <cell r="R51">
            <v>239473700</v>
          </cell>
          <cell r="S51">
            <v>160869100</v>
          </cell>
          <cell r="T51">
            <v>91884000</v>
          </cell>
          <cell r="U51">
            <v>95087000</v>
          </cell>
          <cell r="V51">
            <v>122015000</v>
          </cell>
          <cell r="W51">
            <v>215816700</v>
          </cell>
          <cell r="X51">
            <v>60980400</v>
          </cell>
          <cell r="Y51">
            <v>114610400</v>
          </cell>
          <cell r="Z51">
            <v>201787700</v>
          </cell>
          <cell r="AA51">
            <v>305303400</v>
          </cell>
          <cell r="AB51">
            <v>298712200</v>
          </cell>
          <cell r="AC51">
            <v>216386900</v>
          </cell>
          <cell r="AD51">
            <v>117517800</v>
          </cell>
          <cell r="AE51">
            <v>196707500</v>
          </cell>
          <cell r="AF51">
            <v>172321200</v>
          </cell>
          <cell r="AG51">
            <v>177123200</v>
          </cell>
          <cell r="AH51">
            <v>213774200</v>
          </cell>
          <cell r="AJ51">
            <v>185927700</v>
          </cell>
        </row>
        <row r="53">
          <cell r="J53">
            <v>20464919.199999999</v>
          </cell>
          <cell r="K53">
            <v>17365725.25</v>
          </cell>
          <cell r="L53">
            <v>21638095</v>
          </cell>
          <cell r="M53">
            <v>24070398.18</v>
          </cell>
          <cell r="N53">
            <v>27076220.32</v>
          </cell>
          <cell r="O53">
            <v>32710652.719999999</v>
          </cell>
          <cell r="P53">
            <v>16235936.130000001</v>
          </cell>
          <cell r="Q53">
            <v>12499764.76</v>
          </cell>
          <cell r="R53">
            <v>11846860.26</v>
          </cell>
          <cell r="S53">
            <v>16936580.149999999</v>
          </cell>
          <cell r="T53">
            <v>18296121.940000001</v>
          </cell>
          <cell r="U53">
            <v>18766331.129999999</v>
          </cell>
          <cell r="V53">
            <v>13809638.060000001</v>
          </cell>
          <cell r="W53">
            <v>10828554.73</v>
          </cell>
          <cell r="X53">
            <v>12787200.060000001</v>
          </cell>
          <cell r="Y53">
            <v>14573396.93</v>
          </cell>
          <cell r="Z53">
            <v>16416466.359999999</v>
          </cell>
          <cell r="AA53">
            <v>18968768.629999999</v>
          </cell>
          <cell r="AB53">
            <v>13553577.619999999</v>
          </cell>
          <cell r="AC53">
            <v>10145911.52</v>
          </cell>
          <cell r="AD53">
            <v>10416325.800000001</v>
          </cell>
          <cell r="AE53">
            <v>13671137.43</v>
          </cell>
          <cell r="AF53">
            <v>16103841.15</v>
          </cell>
          <cell r="AG53">
            <v>15363798</v>
          </cell>
          <cell r="AH53">
            <v>12201239.01</v>
          </cell>
          <cell r="AJ53">
            <v>17365725.25</v>
          </cell>
        </row>
        <row r="54">
          <cell r="J54">
            <v>0</v>
          </cell>
          <cell r="K54">
            <v>0</v>
          </cell>
          <cell r="L54">
            <v>0</v>
          </cell>
          <cell r="M54">
            <v>0</v>
          </cell>
          <cell r="N54">
            <v>0</v>
          </cell>
          <cell r="O54">
            <v>0</v>
          </cell>
          <cell r="P54">
            <v>8597090.8499999996</v>
          </cell>
          <cell r="Q54">
            <v>6347891.0099999998</v>
          </cell>
          <cell r="R54">
            <v>5254660.68</v>
          </cell>
          <cell r="S54">
            <v>7040740.7300000004</v>
          </cell>
          <cell r="T54">
            <v>7614788.9100000001</v>
          </cell>
          <cell r="U54">
            <v>7897212.2199999997</v>
          </cell>
          <cell r="V54">
            <v>6062836.1699999999</v>
          </cell>
          <cell r="W54">
            <v>4954184.3</v>
          </cell>
          <cell r="X54">
            <v>6589052.0300000003</v>
          </cell>
          <cell r="Y54">
            <v>7916898.7599999998</v>
          </cell>
          <cell r="Z54">
            <v>9019161.6899999995</v>
          </cell>
          <cell r="AA54">
            <v>10584124.810000001</v>
          </cell>
          <cell r="AB54">
            <v>7062666.4699999997</v>
          </cell>
          <cell r="AC54">
            <v>5167909.67</v>
          </cell>
          <cell r="AD54">
            <v>4739439.1900000004</v>
          </cell>
          <cell r="AE54">
            <v>5712556.54</v>
          </cell>
          <cell r="AF54">
            <v>6666988.6299999999</v>
          </cell>
          <cell r="AG54">
            <v>6438229.75</v>
          </cell>
          <cell r="AH54">
            <v>5306957.99</v>
          </cell>
          <cell r="AJ54">
            <v>0</v>
          </cell>
        </row>
        <row r="55">
          <cell r="J55">
            <v>0</v>
          </cell>
          <cell r="K55">
            <v>0</v>
          </cell>
          <cell r="L55">
            <v>0</v>
          </cell>
          <cell r="M55">
            <v>0</v>
          </cell>
          <cell r="N55">
            <v>0</v>
          </cell>
          <cell r="O55">
            <v>0</v>
          </cell>
          <cell r="P55">
            <v>2476991.7999999998</v>
          </cell>
          <cell r="Q55">
            <v>2166741.9500000002</v>
          </cell>
          <cell r="R55">
            <v>2213519.6800000002</v>
          </cell>
          <cell r="S55">
            <v>2554650.6800000002</v>
          </cell>
          <cell r="T55">
            <v>2508296.89</v>
          </cell>
          <cell r="U55">
            <v>2520785.88</v>
          </cell>
          <cell r="V55">
            <v>2144159.11</v>
          </cell>
          <cell r="W55">
            <v>1878857.98</v>
          </cell>
          <cell r="X55">
            <v>2081555.91</v>
          </cell>
          <cell r="Y55">
            <v>2205114.86</v>
          </cell>
          <cell r="Z55">
            <v>2356621.9900000002</v>
          </cell>
          <cell r="AA55">
            <v>2566479.7999999998</v>
          </cell>
          <cell r="AB55">
            <v>2053377.71</v>
          </cell>
          <cell r="AC55">
            <v>1846341.8</v>
          </cell>
          <cell r="AD55">
            <v>1863665.61</v>
          </cell>
          <cell r="AE55">
            <v>2122990.71</v>
          </cell>
          <cell r="AF55">
            <v>2180389.6</v>
          </cell>
          <cell r="AG55">
            <v>2124817.77</v>
          </cell>
          <cell r="AH55">
            <v>1914698.84</v>
          </cell>
          <cell r="AJ55">
            <v>0</v>
          </cell>
        </row>
        <row r="56">
          <cell r="J56">
            <v>16762352.449999999</v>
          </cell>
          <cell r="K56">
            <v>15308596.16</v>
          </cell>
          <cell r="L56">
            <v>15214367.99</v>
          </cell>
          <cell r="M56">
            <v>15689268.09</v>
          </cell>
          <cell r="N56">
            <v>16449577.039999999</v>
          </cell>
          <cell r="O56">
            <v>17457219.140000001</v>
          </cell>
          <cell r="P56">
            <v>13614619.1</v>
          </cell>
          <cell r="Q56">
            <v>12426107.529999999</v>
          </cell>
          <cell r="R56">
            <v>13444904.050000001</v>
          </cell>
          <cell r="S56">
            <v>15716397.289999999</v>
          </cell>
          <cell r="T56">
            <v>15467415.310000001</v>
          </cell>
          <cell r="U56">
            <v>15925212.710000001</v>
          </cell>
          <cell r="V56">
            <v>13397413.109999999</v>
          </cell>
          <cell r="W56">
            <v>11725292.460000001</v>
          </cell>
          <cell r="X56">
            <v>11796703.73</v>
          </cell>
          <cell r="Y56">
            <v>11884037</v>
          </cell>
          <cell r="Z56">
            <v>12421394.130000001</v>
          </cell>
          <cell r="AA56">
            <v>13020573.310000001</v>
          </cell>
          <cell r="AB56">
            <v>11786006.59</v>
          </cell>
          <cell r="AC56">
            <v>10807855.85</v>
          </cell>
          <cell r="AD56">
            <v>11334372.619999999</v>
          </cell>
          <cell r="AE56">
            <v>13056567.27</v>
          </cell>
          <cell r="AF56">
            <v>13629194.84</v>
          </cell>
          <cell r="AG56">
            <v>13486996.960000001</v>
          </cell>
          <cell r="AH56">
            <v>12382154.48</v>
          </cell>
          <cell r="AJ56">
            <v>15308596.16</v>
          </cell>
        </row>
        <row r="57">
          <cell r="J57">
            <v>15161827.52</v>
          </cell>
          <cell r="K57">
            <v>14922702.85</v>
          </cell>
          <cell r="L57">
            <v>14434318.5</v>
          </cell>
          <cell r="M57">
            <v>14553985.210000001</v>
          </cell>
          <cell r="N57">
            <v>14585415.550000001</v>
          </cell>
          <cell r="O57">
            <v>14544691.43</v>
          </cell>
          <cell r="P57">
            <v>16228258.310000001</v>
          </cell>
          <cell r="Q57">
            <v>16109820.720000001</v>
          </cell>
          <cell r="R57">
            <v>16144608.42</v>
          </cell>
          <cell r="S57">
            <v>17514338.16</v>
          </cell>
          <cell r="T57">
            <v>16210790.74</v>
          </cell>
          <cell r="U57">
            <v>16516014.5</v>
          </cell>
          <cell r="V57">
            <v>15490355.6</v>
          </cell>
          <cell r="W57">
            <v>14860339.189999999</v>
          </cell>
          <cell r="X57">
            <v>14756612.470000001</v>
          </cell>
          <cell r="Y57">
            <v>14289022.6</v>
          </cell>
          <cell r="Z57">
            <v>14254704.07</v>
          </cell>
          <cell r="AA57">
            <v>14021779.699999999</v>
          </cell>
          <cell r="AB57">
            <v>13209185.85</v>
          </cell>
          <cell r="AC57">
            <v>13295197.77</v>
          </cell>
          <cell r="AD57">
            <v>13580499.279999999</v>
          </cell>
          <cell r="AE57">
            <v>14148245.59</v>
          </cell>
          <cell r="AF57">
            <v>13826937.779999999</v>
          </cell>
          <cell r="AG57">
            <v>13904196.369999999</v>
          </cell>
          <cell r="AH57">
            <v>14025518.91</v>
          </cell>
          <cell r="AJ57">
            <v>14922702.85</v>
          </cell>
        </row>
        <row r="58">
          <cell r="J58">
            <v>1693967.76</v>
          </cell>
          <cell r="K58">
            <v>1694971.61</v>
          </cell>
          <cell r="L58">
            <v>1786429.53</v>
          </cell>
          <cell r="M58">
            <v>1856084.55</v>
          </cell>
          <cell r="N58">
            <v>1865461.74</v>
          </cell>
          <cell r="O58">
            <v>1902369.67</v>
          </cell>
          <cell r="P58">
            <v>1855681.63</v>
          </cell>
          <cell r="Q58">
            <v>1820696.73</v>
          </cell>
          <cell r="R58">
            <v>1627570.74</v>
          </cell>
          <cell r="S58">
            <v>1782834.14</v>
          </cell>
          <cell r="T58">
            <v>1673394.55</v>
          </cell>
          <cell r="U58">
            <v>1561829.26</v>
          </cell>
          <cell r="V58">
            <v>1650612.2</v>
          </cell>
          <cell r="W58">
            <v>1567085.68</v>
          </cell>
          <cell r="X58">
            <v>1719595.97</v>
          </cell>
          <cell r="Y58">
            <v>1800306.29</v>
          </cell>
          <cell r="Z58">
            <v>1768195.58</v>
          </cell>
          <cell r="AA58">
            <v>1861713.47</v>
          </cell>
          <cell r="AB58">
            <v>1533159.98</v>
          </cell>
          <cell r="AC58">
            <v>1507831.41</v>
          </cell>
          <cell r="AD58">
            <v>1372766.57</v>
          </cell>
          <cell r="AE58">
            <v>1433965.68</v>
          </cell>
          <cell r="AF58">
            <v>1411530.95</v>
          </cell>
          <cell r="AG58">
            <v>1266717.24</v>
          </cell>
          <cell r="AH58">
            <v>1431675.53</v>
          </cell>
          <cell r="AJ58">
            <v>1694971.61</v>
          </cell>
        </row>
        <row r="59">
          <cell r="J59">
            <v>751629.42</v>
          </cell>
          <cell r="K59">
            <v>668689.89</v>
          </cell>
          <cell r="L59">
            <v>706333.88</v>
          </cell>
          <cell r="M59">
            <v>663018.16</v>
          </cell>
          <cell r="N59">
            <v>747210.15</v>
          </cell>
          <cell r="O59">
            <v>653749.61</v>
          </cell>
          <cell r="P59">
            <v>691547.69</v>
          </cell>
          <cell r="Q59">
            <v>673616.93</v>
          </cell>
          <cell r="R59">
            <v>660472.22</v>
          </cell>
          <cell r="S59">
            <v>672743.96</v>
          </cell>
          <cell r="T59">
            <v>635168.93999999994</v>
          </cell>
          <cell r="U59">
            <v>667839.61</v>
          </cell>
          <cell r="V59">
            <v>620474.04</v>
          </cell>
          <cell r="W59">
            <v>583373.68999999994</v>
          </cell>
          <cell r="X59">
            <v>607165.69999999995</v>
          </cell>
          <cell r="Y59">
            <v>616013.56999999995</v>
          </cell>
          <cell r="Z59">
            <v>626361.01</v>
          </cell>
          <cell r="AA59">
            <v>580256.96</v>
          </cell>
          <cell r="AB59">
            <v>627346.43000000005</v>
          </cell>
          <cell r="AC59">
            <v>596677.65</v>
          </cell>
          <cell r="AD59">
            <v>580907.37</v>
          </cell>
          <cell r="AE59">
            <v>573110.53</v>
          </cell>
          <cell r="AF59">
            <v>566088.62</v>
          </cell>
          <cell r="AG59">
            <v>583640.26</v>
          </cell>
          <cell r="AH59">
            <v>600714.97</v>
          </cell>
          <cell r="AJ59">
            <v>668689.89</v>
          </cell>
        </row>
        <row r="60">
          <cell r="J60">
            <v>4685455.45</v>
          </cell>
          <cell r="K60">
            <v>4466926.6100000003</v>
          </cell>
          <cell r="L60">
            <v>4325219.03</v>
          </cell>
          <cell r="M60">
            <v>4366182.5999999996</v>
          </cell>
          <cell r="N60">
            <v>4650938.8099999996</v>
          </cell>
          <cell r="O60">
            <v>4786841.51</v>
          </cell>
          <cell r="P60">
            <v>4597787.37</v>
          </cell>
          <cell r="Q60">
            <v>4282967.76</v>
          </cell>
          <cell r="R60">
            <v>4778669.6500000004</v>
          </cell>
          <cell r="S60">
            <v>5719904.1600000001</v>
          </cell>
          <cell r="T60">
            <v>5225322.4000000004</v>
          </cell>
          <cell r="U60">
            <v>5235649.3099999996</v>
          </cell>
          <cell r="V60">
            <v>4613826.22</v>
          </cell>
          <cell r="W60">
            <v>4102861.17</v>
          </cell>
          <cell r="X60">
            <v>4118479.74</v>
          </cell>
          <cell r="Y60">
            <v>4172804.5</v>
          </cell>
          <cell r="Z60">
            <v>4276183.84</v>
          </cell>
          <cell r="AA60">
            <v>4292654.4400000004</v>
          </cell>
          <cell r="AB60">
            <v>4022551.11</v>
          </cell>
          <cell r="AC60">
            <v>3700028.35</v>
          </cell>
          <cell r="AD60">
            <v>4051528.83</v>
          </cell>
          <cell r="AE60">
            <v>4777248.38</v>
          </cell>
          <cell r="AF60">
            <v>4570608.97</v>
          </cell>
          <cell r="AG60">
            <v>4429735.13</v>
          </cell>
          <cell r="AH60">
            <v>4127322.49</v>
          </cell>
          <cell r="AJ60">
            <v>4466926.6100000003</v>
          </cell>
        </row>
        <row r="61">
          <cell r="J61">
            <v>280843.3</v>
          </cell>
          <cell r="K61">
            <v>260537.57</v>
          </cell>
          <cell r="L61">
            <v>268048.82</v>
          </cell>
          <cell r="M61">
            <v>271382.88</v>
          </cell>
          <cell r="N61">
            <v>281237.34000000003</v>
          </cell>
          <cell r="O61">
            <v>295130.93</v>
          </cell>
          <cell r="P61">
            <v>299406.58</v>
          </cell>
          <cell r="Q61">
            <v>274408.63</v>
          </cell>
          <cell r="R61">
            <v>283715.43</v>
          </cell>
          <cell r="S61">
            <v>307668.02</v>
          </cell>
          <cell r="T61">
            <v>290728.40999999997</v>
          </cell>
          <cell r="U61">
            <v>314170.81</v>
          </cell>
          <cell r="V61">
            <v>273920.21999999997</v>
          </cell>
          <cell r="W61">
            <v>253748.14</v>
          </cell>
          <cell r="X61">
            <v>267532.03000000003</v>
          </cell>
          <cell r="Y61">
            <v>271881.59999999998</v>
          </cell>
          <cell r="Z61">
            <v>288356.02</v>
          </cell>
          <cell r="AA61">
            <v>303803</v>
          </cell>
          <cell r="AB61">
            <v>267527.69</v>
          </cell>
          <cell r="AC61">
            <v>245378.04</v>
          </cell>
          <cell r="AD61">
            <v>248836.89</v>
          </cell>
          <cell r="AE61">
            <v>263279.74</v>
          </cell>
          <cell r="AF61">
            <v>256900.92</v>
          </cell>
          <cell r="AG61">
            <v>282578.56</v>
          </cell>
          <cell r="AH61">
            <v>254485.68</v>
          </cell>
          <cell r="AJ61">
            <v>260537.57</v>
          </cell>
        </row>
        <row r="62">
          <cell r="J62">
            <v>7009536.4699999997</v>
          </cell>
          <cell r="K62">
            <v>6130903.1500000004</v>
          </cell>
          <cell r="L62">
            <v>5260523.2699999996</v>
          </cell>
          <cell r="M62">
            <v>5591777.0199999996</v>
          </cell>
          <cell r="N62">
            <v>5771234.29</v>
          </cell>
          <cell r="O62">
            <v>6273601.9800000004</v>
          </cell>
          <cell r="P62">
            <v>6141583.8099999996</v>
          </cell>
          <cell r="Q62">
            <v>5401431.7699999996</v>
          </cell>
          <cell r="R62">
            <v>6170107.5</v>
          </cell>
          <cell r="S62">
            <v>6554580.3300000001</v>
          </cell>
          <cell r="T62">
            <v>7878621.0300000003</v>
          </cell>
          <cell r="U62">
            <v>7964315.5999999996</v>
          </cell>
          <cell r="V62">
            <v>7156484.46</v>
          </cell>
          <cell r="W62">
            <v>6317860.3700000001</v>
          </cell>
          <cell r="X62">
            <v>5385005.6399999997</v>
          </cell>
          <cell r="Y62">
            <v>5794570.3300000001</v>
          </cell>
          <cell r="Z62">
            <v>5564802.5</v>
          </cell>
          <cell r="AA62">
            <v>6281490.3799999999</v>
          </cell>
          <cell r="AB62">
            <v>5963543.9100000001</v>
          </cell>
          <cell r="AC62">
            <v>5302029.71</v>
          </cell>
          <cell r="AD62">
            <v>5915411.8200000003</v>
          </cell>
          <cell r="AE62">
            <v>6184591.4500000002</v>
          </cell>
          <cell r="AF62">
            <v>7528415.1699999999</v>
          </cell>
          <cell r="AG62">
            <v>7618307.0599999996</v>
          </cell>
          <cell r="AH62">
            <v>6848105.7300000004</v>
          </cell>
          <cell r="AJ62">
            <v>6130903.1500000004</v>
          </cell>
        </row>
        <row r="63">
          <cell r="J63">
            <v>1661976.46</v>
          </cell>
          <cell r="K63">
            <v>1082037.52</v>
          </cell>
          <cell r="L63">
            <v>867376.37</v>
          </cell>
          <cell r="M63">
            <v>3886078.71</v>
          </cell>
          <cell r="N63">
            <v>1137548.54</v>
          </cell>
          <cell r="O63">
            <v>3190285.6</v>
          </cell>
          <cell r="P63">
            <v>1207531.8700000001</v>
          </cell>
          <cell r="Q63">
            <v>854895.19</v>
          </cell>
          <cell r="R63">
            <v>2845605.73</v>
          </cell>
          <cell r="S63">
            <v>3172485.57</v>
          </cell>
          <cell r="T63">
            <v>2859405.5</v>
          </cell>
          <cell r="U63">
            <v>2459611.37</v>
          </cell>
          <cell r="V63">
            <v>2900618.45</v>
          </cell>
          <cell r="W63">
            <v>2426461.02</v>
          </cell>
          <cell r="X63">
            <v>195473.68</v>
          </cell>
          <cell r="Y63">
            <v>404761.65</v>
          </cell>
          <cell r="Z63">
            <v>332229.84999999998</v>
          </cell>
          <cell r="AA63">
            <v>1414278.93</v>
          </cell>
          <cell r="AB63">
            <v>6571678.71</v>
          </cell>
          <cell r="AC63">
            <v>5666536.9000000004</v>
          </cell>
          <cell r="AD63">
            <v>4186291</v>
          </cell>
          <cell r="AE63">
            <v>4915142.8499999996</v>
          </cell>
          <cell r="AF63">
            <v>4740956.63</v>
          </cell>
          <cell r="AG63">
            <v>5335694.2300000004</v>
          </cell>
          <cell r="AH63">
            <v>7478989.1500000004</v>
          </cell>
          <cell r="AJ63">
            <v>1082037.52</v>
          </cell>
        </row>
        <row r="64">
          <cell r="J64">
            <v>3277772.5</v>
          </cell>
          <cell r="K64">
            <v>3347838.7</v>
          </cell>
          <cell r="L64">
            <v>4597812.2</v>
          </cell>
          <cell r="M64">
            <v>6689749.7999999998</v>
          </cell>
          <cell r="N64">
            <v>6429160.2000000002</v>
          </cell>
          <cell r="O64">
            <v>7353810.5999999996</v>
          </cell>
          <cell r="P64">
            <v>4787488.5999999996</v>
          </cell>
          <cell r="Q64">
            <v>3523788.3</v>
          </cell>
          <cell r="R64">
            <v>3657755.8</v>
          </cell>
          <cell r="S64">
            <v>2485773.9</v>
          </cell>
          <cell r="T64">
            <v>1531847.5</v>
          </cell>
          <cell r="U64">
            <v>1760673.4</v>
          </cell>
          <cell r="V64">
            <v>1957478.7</v>
          </cell>
          <cell r="W64">
            <v>3320781.5</v>
          </cell>
          <cell r="X64">
            <v>987715.1</v>
          </cell>
          <cell r="Y64">
            <v>1851247</v>
          </cell>
          <cell r="Z64">
            <v>3216087.5</v>
          </cell>
          <cell r="AA64">
            <v>4784593</v>
          </cell>
          <cell r="AB64">
            <v>4288304.3</v>
          </cell>
          <cell r="AC64">
            <v>3092725.7</v>
          </cell>
          <cell r="AD64">
            <v>1908267.8</v>
          </cell>
          <cell r="AE64">
            <v>3157592.5</v>
          </cell>
          <cell r="AF64">
            <v>2629318.9</v>
          </cell>
          <cell r="AG64">
            <v>2995602.7</v>
          </cell>
          <cell r="AH64">
            <v>3570020.5</v>
          </cell>
          <cell r="AJ64">
            <v>3347838.7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J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J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J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J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J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J71">
            <v>0</v>
          </cell>
        </row>
        <row r="72">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J72">
            <v>0</v>
          </cell>
        </row>
        <row r="73">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J73">
            <v>0</v>
          </cell>
        </row>
        <row r="74">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J74">
            <v>0</v>
          </cell>
        </row>
        <row r="75">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J75">
            <v>0</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J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J77">
            <v>0</v>
          </cell>
        </row>
        <row r="79">
          <cell r="J79">
            <v>2038016.22</v>
          </cell>
          <cell r="K79">
            <v>1457718.13</v>
          </cell>
          <cell r="L79">
            <v>1532977.32</v>
          </cell>
          <cell r="M79">
            <v>1395034.45</v>
          </cell>
          <cell r="N79">
            <v>1963765.7</v>
          </cell>
          <cell r="O79">
            <v>1750524.52</v>
          </cell>
          <cell r="P79">
            <v>-55377.16</v>
          </cell>
          <cell r="Q79">
            <v>150705.15</v>
          </cell>
          <cell r="R79">
            <v>621426.39</v>
          </cell>
          <cell r="S79">
            <v>906991.31</v>
          </cell>
          <cell r="T79">
            <v>485722.9</v>
          </cell>
          <cell r="U79">
            <v>308628.58</v>
          </cell>
          <cell r="V79">
            <v>110973.43</v>
          </cell>
          <cell r="W79">
            <v>451078.13</v>
          </cell>
          <cell r="X79">
            <v>334413.96999999997</v>
          </cell>
          <cell r="Y79">
            <v>407432.37</v>
          </cell>
          <cell r="Z79">
            <v>158018</v>
          </cell>
          <cell r="AA79">
            <v>113228.15</v>
          </cell>
          <cell r="AB79">
            <v>878195.15</v>
          </cell>
          <cell r="AC79">
            <v>645976.43000000005</v>
          </cell>
          <cell r="AD79">
            <v>775434.05</v>
          </cell>
          <cell r="AE79">
            <v>1132802.31</v>
          </cell>
          <cell r="AF79">
            <v>1138550.1200000001</v>
          </cell>
          <cell r="AG79">
            <v>1021805.42</v>
          </cell>
          <cell r="AH79">
            <v>854694.3</v>
          </cell>
          <cell r="AJ79">
            <v>1457718.13</v>
          </cell>
        </row>
        <row r="80">
          <cell r="J80">
            <v>0</v>
          </cell>
          <cell r="K80">
            <v>0</v>
          </cell>
          <cell r="L80">
            <v>0</v>
          </cell>
          <cell r="M80">
            <v>0</v>
          </cell>
          <cell r="N80">
            <v>0</v>
          </cell>
          <cell r="O80">
            <v>0</v>
          </cell>
          <cell r="P80">
            <v>-30565.14</v>
          </cell>
          <cell r="Q80">
            <v>79612.47</v>
          </cell>
          <cell r="R80">
            <v>280157.82</v>
          </cell>
          <cell r="S80">
            <v>378948.01</v>
          </cell>
          <cell r="T80">
            <v>202838.5</v>
          </cell>
          <cell r="U80">
            <v>130464.48</v>
          </cell>
          <cell r="V80">
            <v>49125.58</v>
          </cell>
          <cell r="W80">
            <v>209963.77</v>
          </cell>
          <cell r="X80">
            <v>178986.04</v>
          </cell>
          <cell r="Y80">
            <v>231120.91</v>
          </cell>
          <cell r="Z80">
            <v>90566</v>
          </cell>
          <cell r="AA80">
            <v>65709.33</v>
          </cell>
          <cell r="AB80">
            <v>476369.32</v>
          </cell>
          <cell r="AC80">
            <v>341700.06</v>
          </cell>
          <cell r="AD80">
            <v>361063.3</v>
          </cell>
          <cell r="AE80">
            <v>479045.4</v>
          </cell>
          <cell r="AF80">
            <v>476802.45</v>
          </cell>
          <cell r="AG80">
            <v>433067.47</v>
          </cell>
          <cell r="AH80">
            <v>377179.07</v>
          </cell>
          <cell r="AJ80">
            <v>0</v>
          </cell>
        </row>
        <row r="81">
          <cell r="J81">
            <v>0</v>
          </cell>
          <cell r="K81">
            <v>0</v>
          </cell>
          <cell r="L81">
            <v>0</v>
          </cell>
          <cell r="M81">
            <v>0</v>
          </cell>
          <cell r="N81">
            <v>0</v>
          </cell>
          <cell r="O81">
            <v>0</v>
          </cell>
          <cell r="P81">
            <v>-7721.66</v>
          </cell>
          <cell r="Q81">
            <v>24482.68</v>
          </cell>
          <cell r="R81">
            <v>110385.98</v>
          </cell>
          <cell r="S81">
            <v>128487.47</v>
          </cell>
          <cell r="T81">
            <v>62149.34</v>
          </cell>
          <cell r="U81">
            <v>38518.69</v>
          </cell>
          <cell r="V81">
            <v>16478.25</v>
          </cell>
          <cell r="W81">
            <v>74411.41</v>
          </cell>
          <cell r="X81">
            <v>50604.94</v>
          </cell>
          <cell r="Y81">
            <v>56160.49</v>
          </cell>
          <cell r="Z81">
            <v>20596</v>
          </cell>
          <cell r="AA81">
            <v>13965.41</v>
          </cell>
          <cell r="AB81">
            <v>122342.41</v>
          </cell>
          <cell r="AC81">
            <v>110461.11</v>
          </cell>
          <cell r="AD81">
            <v>131784.53</v>
          </cell>
          <cell r="AE81">
            <v>165663.6</v>
          </cell>
          <cell r="AF81">
            <v>144095.85999999999</v>
          </cell>
          <cell r="AG81">
            <v>131382.98000000001</v>
          </cell>
          <cell r="AH81">
            <v>126576.08</v>
          </cell>
          <cell r="AJ81">
            <v>0</v>
          </cell>
        </row>
        <row r="82">
          <cell r="J82">
            <v>1810406.28</v>
          </cell>
          <cell r="K82">
            <v>1355580.03</v>
          </cell>
          <cell r="L82">
            <v>1090370.77</v>
          </cell>
          <cell r="M82">
            <v>914448.83</v>
          </cell>
          <cell r="N82">
            <v>1197489.48</v>
          </cell>
          <cell r="O82">
            <v>957606.79</v>
          </cell>
          <cell r="P82">
            <v>-48018.57</v>
          </cell>
          <cell r="Q82">
            <v>161493.21</v>
          </cell>
          <cell r="R82">
            <v>772008.13</v>
          </cell>
          <cell r="S82">
            <v>908141.05</v>
          </cell>
          <cell r="T82">
            <v>439362.98</v>
          </cell>
          <cell r="U82">
            <v>282531.94</v>
          </cell>
          <cell r="V82">
            <v>118306.61</v>
          </cell>
          <cell r="W82">
            <v>536917.25</v>
          </cell>
          <cell r="X82">
            <v>326776.87</v>
          </cell>
          <cell r="Y82">
            <v>341899.88</v>
          </cell>
          <cell r="Z82">
            <v>121983.65</v>
          </cell>
          <cell r="AA82">
            <v>80342.100000000006</v>
          </cell>
          <cell r="AB82">
            <v>798942.55</v>
          </cell>
          <cell r="AC82">
            <v>746524.15</v>
          </cell>
          <cell r="AD82">
            <v>927480.54</v>
          </cell>
          <cell r="AE82">
            <v>1173141.23</v>
          </cell>
          <cell r="AF82">
            <v>1032974.9</v>
          </cell>
          <cell r="AG82">
            <v>968724.55</v>
          </cell>
          <cell r="AH82">
            <v>941747.11</v>
          </cell>
          <cell r="AJ82">
            <v>1355580.03</v>
          </cell>
        </row>
        <row r="83">
          <cell r="J83">
            <v>2225246.9500000002</v>
          </cell>
          <cell r="K83">
            <v>1857422</v>
          </cell>
          <cell r="L83">
            <v>1453504.71</v>
          </cell>
          <cell r="M83">
            <v>1190622.04</v>
          </cell>
          <cell r="N83">
            <v>1479288.37</v>
          </cell>
          <cell r="O83">
            <v>1070602.4099999999</v>
          </cell>
          <cell r="P83">
            <v>-75003.350000000006</v>
          </cell>
          <cell r="Q83">
            <v>276096.56</v>
          </cell>
          <cell r="R83">
            <v>1209611.7</v>
          </cell>
          <cell r="S83">
            <v>1299046.3</v>
          </cell>
          <cell r="T83">
            <v>591756.25</v>
          </cell>
          <cell r="U83">
            <v>369336.11</v>
          </cell>
          <cell r="V83">
            <v>175274.27</v>
          </cell>
          <cell r="W83">
            <v>881874.8</v>
          </cell>
          <cell r="X83">
            <v>536060.46</v>
          </cell>
          <cell r="Y83">
            <v>535405.09</v>
          </cell>
          <cell r="Z83">
            <v>183165.53</v>
          </cell>
          <cell r="AA83">
            <v>109189.41</v>
          </cell>
          <cell r="AB83">
            <v>1177739.0900000001</v>
          </cell>
          <cell r="AC83">
            <v>1217399.53</v>
          </cell>
          <cell r="AD83">
            <v>1465594.14</v>
          </cell>
          <cell r="AE83">
            <v>1641179.79</v>
          </cell>
          <cell r="AF83">
            <v>1368364.45</v>
          </cell>
          <cell r="AG83">
            <v>1262853.1299999999</v>
          </cell>
          <cell r="AH83">
            <v>1375046.26</v>
          </cell>
          <cell r="AJ83">
            <v>1857422</v>
          </cell>
        </row>
        <row r="84">
          <cell r="J84">
            <v>201413.47</v>
          </cell>
          <cell r="K84">
            <v>170387.3</v>
          </cell>
          <cell r="L84">
            <v>151165.63</v>
          </cell>
          <cell r="M84">
            <v>132352.66</v>
          </cell>
          <cell r="N84">
            <v>160164.68</v>
          </cell>
          <cell r="O84">
            <v>122353.78</v>
          </cell>
          <cell r="P84">
            <v>-7636.66</v>
          </cell>
          <cell r="Q84">
            <v>27857.63</v>
          </cell>
          <cell r="R84">
            <v>110475.03</v>
          </cell>
          <cell r="S84">
            <v>113270.96</v>
          </cell>
          <cell r="T84">
            <v>53234.21</v>
          </cell>
          <cell r="U84">
            <v>30033.54</v>
          </cell>
          <cell r="V84">
            <v>16227.32</v>
          </cell>
          <cell r="W84">
            <v>79561.55</v>
          </cell>
          <cell r="X84">
            <v>55890.26</v>
          </cell>
          <cell r="Y84">
            <v>61691.03</v>
          </cell>
          <cell r="Z84">
            <v>20735.689999999999</v>
          </cell>
          <cell r="AA84">
            <v>13250.75</v>
          </cell>
          <cell r="AB84">
            <v>121070.06</v>
          </cell>
          <cell r="AC84">
            <v>122035.32</v>
          </cell>
          <cell r="AD84">
            <v>132532.42000000001</v>
          </cell>
          <cell r="AE84">
            <v>143709.93</v>
          </cell>
          <cell r="AF84">
            <v>120979.27</v>
          </cell>
          <cell r="AG84">
            <v>99598.25</v>
          </cell>
          <cell r="AH84">
            <v>125465.55</v>
          </cell>
          <cell r="AJ84">
            <v>170387.3</v>
          </cell>
        </row>
        <row r="85">
          <cell r="J85">
            <v>20723.46</v>
          </cell>
          <cell r="K85">
            <v>17509.88</v>
          </cell>
          <cell r="L85">
            <v>15738.62</v>
          </cell>
          <cell r="M85">
            <v>14245.83</v>
          </cell>
          <cell r="N85">
            <v>17612.22</v>
          </cell>
          <cell r="O85">
            <v>14780.7</v>
          </cell>
          <cell r="P85">
            <v>-996.99</v>
          </cell>
          <cell r="Q85">
            <v>3386.87</v>
          </cell>
          <cell r="R85">
            <v>13921.54</v>
          </cell>
          <cell r="S85">
            <v>12637.86</v>
          </cell>
          <cell r="T85">
            <v>5553.87</v>
          </cell>
          <cell r="U85">
            <v>3408.08</v>
          </cell>
          <cell r="V85">
            <v>1530.55</v>
          </cell>
          <cell r="W85">
            <v>7960.24</v>
          </cell>
          <cell r="X85">
            <v>5475.13</v>
          </cell>
          <cell r="Y85">
            <v>6390.98</v>
          </cell>
          <cell r="Z85">
            <v>2174.67</v>
          </cell>
          <cell r="AA85">
            <v>1451.97</v>
          </cell>
          <cell r="AB85">
            <v>17489.990000000002</v>
          </cell>
          <cell r="AC85">
            <v>15987.61</v>
          </cell>
          <cell r="AD85">
            <v>17543.86</v>
          </cell>
          <cell r="AE85">
            <v>16751.52</v>
          </cell>
          <cell r="AF85">
            <v>13298.58</v>
          </cell>
          <cell r="AG85">
            <v>12082</v>
          </cell>
          <cell r="AH85">
            <v>12629.03</v>
          </cell>
          <cell r="AJ85">
            <v>17509.88</v>
          </cell>
        </row>
        <row r="86">
          <cell r="J86">
            <v>610099.36</v>
          </cell>
          <cell r="K86">
            <v>473812.88</v>
          </cell>
          <cell r="L86">
            <v>371717.22</v>
          </cell>
          <cell r="M86">
            <v>305265.21000000002</v>
          </cell>
          <cell r="N86">
            <v>402432.56</v>
          </cell>
          <cell r="O86">
            <v>304425.09000000003</v>
          </cell>
          <cell r="P86">
            <v>-18417.72</v>
          </cell>
          <cell r="Q86">
            <v>62280.480000000003</v>
          </cell>
          <cell r="R86">
            <v>305538.26</v>
          </cell>
          <cell r="S86">
            <v>374931.36</v>
          </cell>
          <cell r="T86">
            <v>166312.68</v>
          </cell>
          <cell r="U86">
            <v>106184.02</v>
          </cell>
          <cell r="V86">
            <v>45498.77</v>
          </cell>
          <cell r="W86">
            <v>210191.85</v>
          </cell>
          <cell r="X86">
            <v>128050.88</v>
          </cell>
          <cell r="Y86">
            <v>135865.39000000001</v>
          </cell>
          <cell r="Z86">
            <v>47813.42</v>
          </cell>
          <cell r="AA86">
            <v>29805.59</v>
          </cell>
          <cell r="AB86">
            <v>309707.77</v>
          </cell>
          <cell r="AC86">
            <v>285079.82</v>
          </cell>
          <cell r="AD86">
            <v>370832.96</v>
          </cell>
          <cell r="AE86">
            <v>486023.04</v>
          </cell>
          <cell r="AF86">
            <v>386718.5</v>
          </cell>
          <cell r="AG86">
            <v>363565.32</v>
          </cell>
          <cell r="AH86">
            <v>353376.85</v>
          </cell>
          <cell r="AJ86">
            <v>473812.88</v>
          </cell>
        </row>
        <row r="87">
          <cell r="J87">
            <v>35630.75</v>
          </cell>
          <cell r="K87">
            <v>27043.06</v>
          </cell>
          <cell r="L87">
            <v>23357.87</v>
          </cell>
          <cell r="M87">
            <v>19159.7</v>
          </cell>
          <cell r="N87">
            <v>25072.85</v>
          </cell>
          <cell r="O87">
            <v>19872.73</v>
          </cell>
          <cell r="P87">
            <v>-1156.99</v>
          </cell>
          <cell r="Q87">
            <v>3873.29</v>
          </cell>
          <cell r="R87">
            <v>17618.21</v>
          </cell>
          <cell r="S87">
            <v>19223.830000000002</v>
          </cell>
          <cell r="T87">
            <v>8948.2900000000009</v>
          </cell>
          <cell r="U87">
            <v>6036.81</v>
          </cell>
          <cell r="V87">
            <v>2620.63</v>
          </cell>
          <cell r="W87">
            <v>12517.23</v>
          </cell>
          <cell r="X87">
            <v>8150.34</v>
          </cell>
          <cell r="Y87">
            <v>8507.93</v>
          </cell>
          <cell r="Z87">
            <v>3070.59</v>
          </cell>
          <cell r="AA87">
            <v>2018.93</v>
          </cell>
          <cell r="AB87">
            <v>19904.57</v>
          </cell>
          <cell r="AC87">
            <v>18499.32</v>
          </cell>
          <cell r="AD87">
            <v>22191.599999999999</v>
          </cell>
          <cell r="AE87">
            <v>25694.16</v>
          </cell>
          <cell r="AF87">
            <v>21215.53</v>
          </cell>
          <cell r="AG87">
            <v>22063.07</v>
          </cell>
          <cell r="AH87">
            <v>21119</v>
          </cell>
          <cell r="AJ87">
            <v>27043.06</v>
          </cell>
        </row>
        <row r="88">
          <cell r="J88">
            <v>-104113.72</v>
          </cell>
          <cell r="K88">
            <v>-180354.49</v>
          </cell>
          <cell r="L88">
            <v>-214538.4</v>
          </cell>
          <cell r="M88">
            <v>-369259.33</v>
          </cell>
          <cell r="N88">
            <v>-213206.53</v>
          </cell>
          <cell r="O88">
            <v>-427441.14</v>
          </cell>
          <cell r="P88">
            <v>-853737.94</v>
          </cell>
          <cell r="Q88">
            <v>-665107.73</v>
          </cell>
          <cell r="R88">
            <v>-509636.08</v>
          </cell>
          <cell r="S88">
            <v>-537604.39</v>
          </cell>
          <cell r="T88">
            <v>-702508.15</v>
          </cell>
          <cell r="U88">
            <v>-777601.75</v>
          </cell>
          <cell r="V88">
            <v>-828039.1</v>
          </cell>
          <cell r="W88">
            <v>-553983.63</v>
          </cell>
          <cell r="X88">
            <v>-600880.79</v>
          </cell>
          <cell r="Y88">
            <v>-571657.80000000005</v>
          </cell>
          <cell r="Z88">
            <v>-663600.54</v>
          </cell>
          <cell r="AA88">
            <v>-653475.96</v>
          </cell>
          <cell r="AB88">
            <v>-801636.34</v>
          </cell>
          <cell r="AC88">
            <v>-696669.16</v>
          </cell>
          <cell r="AD88">
            <v>-694172.78</v>
          </cell>
          <cell r="AE88">
            <v>-755261.83</v>
          </cell>
          <cell r="AF88">
            <v>-831388.59</v>
          </cell>
          <cell r="AG88">
            <v>-792367.44</v>
          </cell>
          <cell r="AH88">
            <v>-805634.7</v>
          </cell>
          <cell r="AJ88">
            <v>-180354.49</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J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J90">
            <v>0</v>
          </cell>
        </row>
        <row r="92">
          <cell r="J92">
            <v>336166.47</v>
          </cell>
          <cell r="K92">
            <v>336166.47</v>
          </cell>
          <cell r="L92">
            <v>336166.47</v>
          </cell>
          <cell r="M92">
            <v>336166.47</v>
          </cell>
          <cell r="N92">
            <v>336166.47</v>
          </cell>
          <cell r="O92">
            <v>336166.47</v>
          </cell>
          <cell r="P92">
            <v>197321.5</v>
          </cell>
          <cell r="Q92">
            <v>200378.73</v>
          </cell>
          <cell r="R92">
            <v>211073.69</v>
          </cell>
          <cell r="S92">
            <v>215989.85</v>
          </cell>
          <cell r="T92">
            <v>216021.32</v>
          </cell>
          <cell r="U92">
            <v>215243.61</v>
          </cell>
          <cell r="V92">
            <v>212266.3</v>
          </cell>
          <cell r="W92">
            <v>208964.97</v>
          </cell>
          <cell r="X92">
            <v>199470.76</v>
          </cell>
          <cell r="Y92">
            <v>195393.04</v>
          </cell>
          <cell r="Z92">
            <v>194663.3</v>
          </cell>
          <cell r="AA92">
            <v>193777.71</v>
          </cell>
          <cell r="AB92">
            <v>177742.52</v>
          </cell>
          <cell r="AC92">
            <v>179308.94</v>
          </cell>
          <cell r="AD92">
            <v>187058.06</v>
          </cell>
          <cell r="AE92">
            <v>192677.1</v>
          </cell>
          <cell r="AF92">
            <v>193234.56</v>
          </cell>
          <cell r="AG92">
            <v>192549.82</v>
          </cell>
          <cell r="AH92">
            <v>190214.98</v>
          </cell>
          <cell r="AJ92">
            <v>336166.47</v>
          </cell>
        </row>
        <row r="93">
          <cell r="J93">
            <v>0</v>
          </cell>
          <cell r="K93">
            <v>0</v>
          </cell>
          <cell r="L93">
            <v>0</v>
          </cell>
          <cell r="M93">
            <v>0</v>
          </cell>
          <cell r="N93">
            <v>0</v>
          </cell>
          <cell r="O93">
            <v>0</v>
          </cell>
          <cell r="P93">
            <v>108910.59</v>
          </cell>
          <cell r="Q93">
            <v>105853.36</v>
          </cell>
          <cell r="R93">
            <v>95158.41</v>
          </cell>
          <cell r="S93">
            <v>90242.240000000005</v>
          </cell>
          <cell r="T93">
            <v>90210.77</v>
          </cell>
          <cell r="U93">
            <v>90988.479999999996</v>
          </cell>
          <cell r="V93">
            <v>93965.79</v>
          </cell>
          <cell r="W93">
            <v>97267.12</v>
          </cell>
          <cell r="X93">
            <v>106761.33</v>
          </cell>
          <cell r="Y93">
            <v>110839.05</v>
          </cell>
          <cell r="Z93">
            <v>111568.79</v>
          </cell>
          <cell r="AA93">
            <v>112454.39</v>
          </cell>
          <cell r="AB93">
            <v>96414.88</v>
          </cell>
          <cell r="AC93">
            <v>94848.47</v>
          </cell>
          <cell r="AD93">
            <v>87099.35</v>
          </cell>
          <cell r="AE93">
            <v>81480.3</v>
          </cell>
          <cell r="AF93">
            <v>80922.84</v>
          </cell>
          <cell r="AG93">
            <v>81607.58</v>
          </cell>
          <cell r="AH93">
            <v>83942.42</v>
          </cell>
          <cell r="AJ93">
            <v>0</v>
          </cell>
        </row>
        <row r="94">
          <cell r="J94">
            <v>0</v>
          </cell>
          <cell r="K94">
            <v>0</v>
          </cell>
          <cell r="L94">
            <v>0</v>
          </cell>
          <cell r="M94">
            <v>0</v>
          </cell>
          <cell r="N94">
            <v>0</v>
          </cell>
          <cell r="O94">
            <v>0</v>
          </cell>
          <cell r="P94">
            <v>5140.8</v>
          </cell>
          <cell r="Q94">
            <v>4885.3</v>
          </cell>
          <cell r="R94">
            <v>4642.38</v>
          </cell>
          <cell r="S94">
            <v>4599.67</v>
          </cell>
          <cell r="T94">
            <v>4598.79</v>
          </cell>
          <cell r="U94">
            <v>4452.33</v>
          </cell>
          <cell r="V94">
            <v>4536.8999999999996</v>
          </cell>
          <cell r="W94">
            <v>4517.04</v>
          </cell>
          <cell r="X94">
            <v>4976.24</v>
          </cell>
          <cell r="Y94">
            <v>5235.6499999999996</v>
          </cell>
          <cell r="Z94">
            <v>5360.61</v>
          </cell>
          <cell r="AA94">
            <v>5495.36</v>
          </cell>
          <cell r="AB94">
            <v>4453.03</v>
          </cell>
          <cell r="AC94">
            <v>4322.2299999999996</v>
          </cell>
          <cell r="AD94">
            <v>4171.88</v>
          </cell>
          <cell r="AE94">
            <v>4149.37</v>
          </cell>
          <cell r="AF94">
            <v>4105.08</v>
          </cell>
          <cell r="AG94">
            <v>4004.76</v>
          </cell>
          <cell r="AH94">
            <v>3973.02</v>
          </cell>
          <cell r="AJ94">
            <v>0</v>
          </cell>
        </row>
        <row r="95">
          <cell r="J95">
            <v>40221.46</v>
          </cell>
          <cell r="K95">
            <v>40221.46</v>
          </cell>
          <cell r="L95">
            <v>40221.46</v>
          </cell>
          <cell r="M95">
            <v>40221.46</v>
          </cell>
          <cell r="N95">
            <v>40221.46</v>
          </cell>
          <cell r="O95">
            <v>40221.46</v>
          </cell>
          <cell r="P95">
            <v>31969.03</v>
          </cell>
          <cell r="Q95">
            <v>32224.53</v>
          </cell>
          <cell r="R95">
            <v>32467.45</v>
          </cell>
          <cell r="S95">
            <v>32510.16</v>
          </cell>
          <cell r="T95">
            <v>32511.040000000001</v>
          </cell>
          <cell r="U95">
            <v>32657.5</v>
          </cell>
          <cell r="V95">
            <v>32572.93</v>
          </cell>
          <cell r="W95">
            <v>32592.79</v>
          </cell>
          <cell r="X95">
            <v>32133.59</v>
          </cell>
          <cell r="Y95">
            <v>31874.18</v>
          </cell>
          <cell r="Z95">
            <v>31749.22</v>
          </cell>
          <cell r="AA95">
            <v>31614.46</v>
          </cell>
          <cell r="AB95">
            <v>29079.96</v>
          </cell>
          <cell r="AC95">
            <v>29210.75</v>
          </cell>
          <cell r="AD95">
            <v>29361.1</v>
          </cell>
          <cell r="AE95">
            <v>29383.62</v>
          </cell>
          <cell r="AF95">
            <v>29427.91</v>
          </cell>
          <cell r="AG95">
            <v>29528.23</v>
          </cell>
          <cell r="AH95">
            <v>29559.96</v>
          </cell>
          <cell r="AJ95">
            <v>40221.46</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J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J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J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J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J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J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J102">
            <v>0</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J103">
            <v>0</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J106">
            <v>0</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J107">
            <v>0</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J108">
            <v>0</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J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J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J111">
            <v>0</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J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J113">
            <v>0</v>
          </cell>
        </row>
        <row r="114">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J114">
            <v>0</v>
          </cell>
        </row>
        <row r="115">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J115">
            <v>0</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J116">
            <v>0</v>
          </cell>
        </row>
        <row r="118">
          <cell r="J118">
            <v>914201.74</v>
          </cell>
          <cell r="K118">
            <v>824658.61</v>
          </cell>
          <cell r="L118">
            <v>889694.85</v>
          </cell>
          <cell r="M118">
            <v>860985.63</v>
          </cell>
          <cell r="N118">
            <v>925975.92</v>
          </cell>
          <cell r="O118">
            <v>963129.57</v>
          </cell>
          <cell r="P118">
            <v>681305.08</v>
          </cell>
          <cell r="Q118">
            <v>560036.43000000005</v>
          </cell>
          <cell r="R118">
            <v>535417.67000000004</v>
          </cell>
          <cell r="S118">
            <v>625861.87</v>
          </cell>
          <cell r="T118">
            <v>662357</v>
          </cell>
          <cell r="U118">
            <v>658163.24</v>
          </cell>
          <cell r="V118">
            <v>581709.94999999995</v>
          </cell>
          <cell r="W118">
            <v>491011.44</v>
          </cell>
          <cell r="X118">
            <v>490191.48</v>
          </cell>
          <cell r="Y118">
            <v>496871.7</v>
          </cell>
          <cell r="Z118">
            <v>468317.99</v>
          </cell>
          <cell r="AA118">
            <v>484914.21</v>
          </cell>
          <cell r="AB118">
            <v>735583.13</v>
          </cell>
          <cell r="AC118">
            <v>631625.04</v>
          </cell>
          <cell r="AD118">
            <v>609599.32999999996</v>
          </cell>
          <cell r="AE118">
            <v>652817.88</v>
          </cell>
          <cell r="AF118">
            <v>684024.11</v>
          </cell>
          <cell r="AG118">
            <v>623247.56000000006</v>
          </cell>
          <cell r="AH118">
            <v>503351.31</v>
          </cell>
          <cell r="AJ118">
            <v>824658.61</v>
          </cell>
        </row>
        <row r="119">
          <cell r="J119">
            <v>0</v>
          </cell>
          <cell r="K119">
            <v>0</v>
          </cell>
          <cell r="L119">
            <v>0</v>
          </cell>
          <cell r="M119">
            <v>0</v>
          </cell>
          <cell r="N119">
            <v>0</v>
          </cell>
          <cell r="O119">
            <v>0</v>
          </cell>
          <cell r="P119">
            <v>353833.14</v>
          </cell>
          <cell r="Q119">
            <v>279607.55</v>
          </cell>
          <cell r="R119">
            <v>235848.78</v>
          </cell>
          <cell r="S119">
            <v>259595.8</v>
          </cell>
          <cell r="T119">
            <v>275254.96999999997</v>
          </cell>
          <cell r="U119">
            <v>276409.17</v>
          </cell>
          <cell r="V119">
            <v>254396.26</v>
          </cell>
          <cell r="W119">
            <v>222814.58</v>
          </cell>
          <cell r="X119">
            <v>247968.19</v>
          </cell>
          <cell r="Y119">
            <v>264011.25</v>
          </cell>
          <cell r="Z119">
            <v>251636.63</v>
          </cell>
          <cell r="AA119">
            <v>264908.71000000002</v>
          </cell>
          <cell r="AB119">
            <v>376510.84</v>
          </cell>
          <cell r="AC119">
            <v>316701.89</v>
          </cell>
          <cell r="AD119">
            <v>274755.15999999997</v>
          </cell>
          <cell r="AE119">
            <v>271376.77</v>
          </cell>
          <cell r="AF119">
            <v>281769.46999999997</v>
          </cell>
          <cell r="AG119">
            <v>259889.97</v>
          </cell>
          <cell r="AH119">
            <v>217598.48</v>
          </cell>
          <cell r="AJ119">
            <v>0</v>
          </cell>
        </row>
        <row r="120">
          <cell r="J120">
            <v>0</v>
          </cell>
          <cell r="K120">
            <v>0</v>
          </cell>
          <cell r="L120">
            <v>0</v>
          </cell>
          <cell r="M120">
            <v>0</v>
          </cell>
          <cell r="N120">
            <v>0</v>
          </cell>
          <cell r="O120">
            <v>0</v>
          </cell>
          <cell r="P120">
            <v>107992.53</v>
          </cell>
          <cell r="Q120">
            <v>99637.92</v>
          </cell>
          <cell r="R120">
            <v>102108.22</v>
          </cell>
          <cell r="S120">
            <v>96952.43</v>
          </cell>
          <cell r="T120">
            <v>93513.16</v>
          </cell>
          <cell r="U120">
            <v>91194.95</v>
          </cell>
          <cell r="V120">
            <v>92160.639999999999</v>
          </cell>
          <cell r="W120">
            <v>87158.49</v>
          </cell>
          <cell r="X120">
            <v>82451.08</v>
          </cell>
          <cell r="Y120">
            <v>78497.279999999999</v>
          </cell>
          <cell r="Z120">
            <v>70376.039999999994</v>
          </cell>
          <cell r="AA120">
            <v>68639.23</v>
          </cell>
          <cell r="AB120">
            <v>115321.72</v>
          </cell>
          <cell r="AC120">
            <v>117754.64</v>
          </cell>
          <cell r="AD120">
            <v>111273.61</v>
          </cell>
          <cell r="AE120">
            <v>103906.21</v>
          </cell>
          <cell r="AF120">
            <v>95231.59</v>
          </cell>
          <cell r="AG120">
            <v>88808.22</v>
          </cell>
          <cell r="AH120">
            <v>80846.259999999995</v>
          </cell>
          <cell r="AJ120">
            <v>0</v>
          </cell>
        </row>
        <row r="121">
          <cell r="J121">
            <v>720879.35</v>
          </cell>
          <cell r="K121">
            <v>709859.49</v>
          </cell>
          <cell r="L121">
            <v>622357.85</v>
          </cell>
          <cell r="M121">
            <v>559760.93999999994</v>
          </cell>
          <cell r="N121">
            <v>561608.56000000006</v>
          </cell>
          <cell r="O121">
            <v>508006.27</v>
          </cell>
          <cell r="P121">
            <v>562488.85</v>
          </cell>
          <cell r="Q121">
            <v>538522.47</v>
          </cell>
          <cell r="R121">
            <v>583518.41</v>
          </cell>
          <cell r="S121">
            <v>560393.91</v>
          </cell>
          <cell r="T121">
            <v>542429.84</v>
          </cell>
          <cell r="U121">
            <v>538950.37</v>
          </cell>
          <cell r="V121">
            <v>538283.25</v>
          </cell>
          <cell r="W121">
            <v>506980.54</v>
          </cell>
          <cell r="X121">
            <v>439563.84</v>
          </cell>
          <cell r="Y121">
            <v>399347.93</v>
          </cell>
          <cell r="Z121">
            <v>350699.74</v>
          </cell>
          <cell r="AA121">
            <v>326994.18</v>
          </cell>
          <cell r="AB121">
            <v>626866.25</v>
          </cell>
          <cell r="AC121">
            <v>649678.4</v>
          </cell>
          <cell r="AD121">
            <v>636781.52</v>
          </cell>
          <cell r="AE121">
            <v>600942.06000000006</v>
          </cell>
          <cell r="AF121">
            <v>560855.03</v>
          </cell>
          <cell r="AG121">
            <v>528241.85</v>
          </cell>
          <cell r="AH121">
            <v>492515.44</v>
          </cell>
          <cell r="AJ121">
            <v>709859.49</v>
          </cell>
        </row>
        <row r="122">
          <cell r="J122">
            <v>535455.31000000006</v>
          </cell>
          <cell r="K122">
            <v>561728.48</v>
          </cell>
          <cell r="L122">
            <v>482691.11</v>
          </cell>
          <cell r="M122">
            <v>423892.02</v>
          </cell>
          <cell r="N122">
            <v>408214.38</v>
          </cell>
          <cell r="O122">
            <v>353348.38</v>
          </cell>
          <cell r="P122">
            <v>571445.14</v>
          </cell>
          <cell r="Q122">
            <v>594075.49</v>
          </cell>
          <cell r="R122">
            <v>598573.92000000004</v>
          </cell>
          <cell r="S122">
            <v>536540.82999999996</v>
          </cell>
          <cell r="T122">
            <v>488451.75</v>
          </cell>
          <cell r="U122">
            <v>486534.35</v>
          </cell>
          <cell r="V122">
            <v>528155.29</v>
          </cell>
          <cell r="W122">
            <v>539963.07999999996</v>
          </cell>
          <cell r="X122">
            <v>461650.65</v>
          </cell>
          <cell r="Y122">
            <v>405076.47999999998</v>
          </cell>
          <cell r="Z122">
            <v>337360.07</v>
          </cell>
          <cell r="AA122">
            <v>301419.3</v>
          </cell>
          <cell r="AB122">
            <v>600225.03</v>
          </cell>
          <cell r="AC122">
            <v>680622.26</v>
          </cell>
          <cell r="AD122">
            <v>650607.13</v>
          </cell>
          <cell r="AE122">
            <v>559861.57999999996</v>
          </cell>
          <cell r="AF122">
            <v>485610.71</v>
          </cell>
          <cell r="AG122">
            <v>475093.58</v>
          </cell>
          <cell r="AH122">
            <v>482029.83</v>
          </cell>
          <cell r="AJ122">
            <v>561728.48</v>
          </cell>
        </row>
        <row r="123">
          <cell r="J123">
            <v>69561.8</v>
          </cell>
          <cell r="K123">
            <v>73973.929999999993</v>
          </cell>
          <cell r="L123">
            <v>66710.11</v>
          </cell>
          <cell r="M123">
            <v>59496.05</v>
          </cell>
          <cell r="N123">
            <v>57978.33</v>
          </cell>
          <cell r="O123">
            <v>50515.7</v>
          </cell>
          <cell r="P123">
            <v>70582.75</v>
          </cell>
          <cell r="Q123">
            <v>72360.929999999993</v>
          </cell>
          <cell r="R123">
            <v>64487.59</v>
          </cell>
          <cell r="S123">
            <v>60427.51</v>
          </cell>
          <cell r="T123">
            <v>55208.82</v>
          </cell>
          <cell r="U123">
            <v>50650.66</v>
          </cell>
          <cell r="V123">
            <v>62275.45</v>
          </cell>
          <cell r="W123">
            <v>63784.19</v>
          </cell>
          <cell r="X123">
            <v>58353.88</v>
          </cell>
          <cell r="Y123">
            <v>54519.18</v>
          </cell>
          <cell r="Z123">
            <v>44839.53</v>
          </cell>
          <cell r="AA123">
            <v>42809.49</v>
          </cell>
          <cell r="AB123">
            <v>75331.37</v>
          </cell>
          <cell r="AC123">
            <v>83546.929999999993</v>
          </cell>
          <cell r="AD123">
            <v>70717.84</v>
          </cell>
          <cell r="AE123">
            <v>62329.65</v>
          </cell>
          <cell r="AF123">
            <v>54443.21</v>
          </cell>
          <cell r="AG123">
            <v>47347.18</v>
          </cell>
          <cell r="AH123">
            <v>52868.31</v>
          </cell>
          <cell r="AJ123">
            <v>73973.929999999993</v>
          </cell>
        </row>
        <row r="124">
          <cell r="J124">
            <v>44283.26</v>
          </cell>
          <cell r="K124">
            <v>41118.22</v>
          </cell>
          <cell r="L124">
            <v>37893.96</v>
          </cell>
          <cell r="M124">
            <v>30451.09</v>
          </cell>
          <cell r="N124">
            <v>33454.61</v>
          </cell>
          <cell r="O124">
            <v>24442.28</v>
          </cell>
          <cell r="P124">
            <v>36609.199999999997</v>
          </cell>
          <cell r="Q124">
            <v>37566.32</v>
          </cell>
          <cell r="R124">
            <v>37338.49</v>
          </cell>
          <cell r="S124">
            <v>32028.15</v>
          </cell>
          <cell r="T124">
            <v>29889.89</v>
          </cell>
          <cell r="U124">
            <v>30608.94</v>
          </cell>
          <cell r="V124">
            <v>34596.15</v>
          </cell>
          <cell r="W124">
            <v>34774.92</v>
          </cell>
          <cell r="X124">
            <v>30484.36</v>
          </cell>
          <cell r="Y124">
            <v>27544.77</v>
          </cell>
          <cell r="Z124">
            <v>23679.8</v>
          </cell>
          <cell r="AA124">
            <v>19334.39</v>
          </cell>
          <cell r="AB124">
            <v>42441.99</v>
          </cell>
          <cell r="AC124">
            <v>45869</v>
          </cell>
          <cell r="AD124">
            <v>42147.42</v>
          </cell>
          <cell r="AE124">
            <v>34954.639999999999</v>
          </cell>
          <cell r="AF124">
            <v>30999.8</v>
          </cell>
          <cell r="AG124">
            <v>30708.48</v>
          </cell>
          <cell r="AH124">
            <v>32027.67</v>
          </cell>
          <cell r="AJ124">
            <v>41118.22</v>
          </cell>
        </row>
        <row r="125">
          <cell r="J125">
            <v>180923.34</v>
          </cell>
          <cell r="K125">
            <v>188158.44</v>
          </cell>
          <cell r="L125">
            <v>160992.12</v>
          </cell>
          <cell r="M125">
            <v>141631.43</v>
          </cell>
          <cell r="N125">
            <v>144993.67000000001</v>
          </cell>
          <cell r="O125">
            <v>128540.24</v>
          </cell>
          <cell r="P125">
            <v>177687.87</v>
          </cell>
          <cell r="Q125">
            <v>175291.92</v>
          </cell>
          <cell r="R125">
            <v>196142.79</v>
          </cell>
          <cell r="S125">
            <v>190339.76</v>
          </cell>
          <cell r="T125">
            <v>172343.11</v>
          </cell>
          <cell r="U125">
            <v>164572.09</v>
          </cell>
          <cell r="V125">
            <v>173731.36</v>
          </cell>
          <cell r="W125">
            <v>166034.85999999999</v>
          </cell>
          <cell r="X125">
            <v>143783.56</v>
          </cell>
          <cell r="Y125">
            <v>130669.18</v>
          </cell>
          <cell r="Z125">
            <v>111957.72</v>
          </cell>
          <cell r="AA125">
            <v>100380.34</v>
          </cell>
          <cell r="AB125">
            <v>200526.3</v>
          </cell>
          <cell r="AC125">
            <v>210714.79</v>
          </cell>
          <cell r="AD125">
            <v>215157.34</v>
          </cell>
          <cell r="AE125">
            <v>205860.07</v>
          </cell>
          <cell r="AF125">
            <v>177595.91</v>
          </cell>
          <cell r="AG125">
            <v>161557.67000000001</v>
          </cell>
          <cell r="AH125">
            <v>154459.68</v>
          </cell>
          <cell r="AJ125">
            <v>188158.44</v>
          </cell>
        </row>
        <row r="126">
          <cell r="J126">
            <v>11030.02</v>
          </cell>
          <cell r="K126">
            <v>11118.17</v>
          </cell>
          <cell r="L126">
            <v>9894.34</v>
          </cell>
          <cell r="M126">
            <v>8751.4500000000007</v>
          </cell>
          <cell r="N126">
            <v>8608.18</v>
          </cell>
          <cell r="O126">
            <v>7641.46</v>
          </cell>
          <cell r="P126">
            <v>11807.11</v>
          </cell>
          <cell r="Q126">
            <v>11413.42</v>
          </cell>
          <cell r="R126">
            <v>11833.85</v>
          </cell>
          <cell r="S126">
            <v>10527.3</v>
          </cell>
          <cell r="T126">
            <v>9774.91</v>
          </cell>
          <cell r="U126">
            <v>10193.030000000001</v>
          </cell>
          <cell r="V126">
            <v>10511.66</v>
          </cell>
          <cell r="W126">
            <v>10514.39</v>
          </cell>
          <cell r="X126">
            <v>9456.23</v>
          </cell>
          <cell r="Y126">
            <v>8721.89</v>
          </cell>
          <cell r="Z126">
            <v>7781.26</v>
          </cell>
          <cell r="AA126">
            <v>7306.67</v>
          </cell>
          <cell r="AB126">
            <v>13587.65</v>
          </cell>
          <cell r="AC126">
            <v>14135.35</v>
          </cell>
          <cell r="AD126">
            <v>13399.81</v>
          </cell>
          <cell r="AE126">
            <v>11614.55</v>
          </cell>
          <cell r="AF126">
            <v>10117.700000000001</v>
          </cell>
          <cell r="AG126">
            <v>10603.02</v>
          </cell>
          <cell r="AH126">
            <v>9688.58</v>
          </cell>
          <cell r="AJ126">
            <v>11118.17</v>
          </cell>
        </row>
        <row r="127">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row>
        <row r="128">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J129">
            <v>0</v>
          </cell>
        </row>
        <row r="131">
          <cell r="J131">
            <v>-528463.68999999994</v>
          </cell>
          <cell r="K131">
            <v>-452328.2</v>
          </cell>
          <cell r="L131">
            <v>-558820.05000000005</v>
          </cell>
          <cell r="M131">
            <v>-679004.48</v>
          </cell>
          <cell r="N131">
            <v>-714068.61</v>
          </cell>
          <cell r="O131">
            <v>-887608.31999999995</v>
          </cell>
          <cell r="P131">
            <v>-435494.58</v>
          </cell>
          <cell r="Q131">
            <v>-333315</v>
          </cell>
          <cell r="R131">
            <v>-336380.4</v>
          </cell>
          <cell r="S131">
            <v>-442963.57</v>
          </cell>
          <cell r="T131">
            <v>-470137.79</v>
          </cell>
          <cell r="U131">
            <v>-480164.76</v>
          </cell>
          <cell r="V131">
            <v>-441613.87</v>
          </cell>
          <cell r="W131">
            <v>-364821.78</v>
          </cell>
          <cell r="X131">
            <v>-373323.54</v>
          </cell>
          <cell r="Y131">
            <v>-431898.38</v>
          </cell>
          <cell r="Z131">
            <v>-491134.63</v>
          </cell>
          <cell r="AA131">
            <v>-593400.4</v>
          </cell>
          <cell r="AB131">
            <v>-390455.53</v>
          </cell>
          <cell r="AC131">
            <v>-297957.23</v>
          </cell>
          <cell r="AD131">
            <v>-306352.34999999998</v>
          </cell>
          <cell r="AE131">
            <v>-395053.07</v>
          </cell>
          <cell r="AF131">
            <v>-463791.16</v>
          </cell>
          <cell r="AG131">
            <v>-443064.16</v>
          </cell>
          <cell r="AH131">
            <v>-355216.09</v>
          </cell>
          <cell r="AJ131">
            <v>-452328.2</v>
          </cell>
        </row>
        <row r="132">
          <cell r="J132">
            <v>0</v>
          </cell>
          <cell r="K132">
            <v>0</v>
          </cell>
          <cell r="L132">
            <v>0</v>
          </cell>
          <cell r="M132">
            <v>0</v>
          </cell>
          <cell r="N132">
            <v>0</v>
          </cell>
          <cell r="O132">
            <v>0</v>
          </cell>
          <cell r="P132">
            <v>-226172.42</v>
          </cell>
          <cell r="Q132">
            <v>-166413.07999999999</v>
          </cell>
          <cell r="R132">
            <v>-148173.87</v>
          </cell>
          <cell r="S132">
            <v>-183733.01</v>
          </cell>
          <cell r="T132">
            <v>-195374.65</v>
          </cell>
          <cell r="U132">
            <v>-201655.05</v>
          </cell>
          <cell r="V132">
            <v>-193128.75</v>
          </cell>
          <cell r="W132">
            <v>-165551.35999999999</v>
          </cell>
          <cell r="X132">
            <v>-188849.39</v>
          </cell>
          <cell r="Y132">
            <v>-229487.87</v>
          </cell>
          <cell r="Z132">
            <v>-263896.46999999997</v>
          </cell>
          <cell r="AA132">
            <v>-324174.74</v>
          </cell>
          <cell r="AB132">
            <v>-199856.05</v>
          </cell>
          <cell r="AC132">
            <v>-149398.16</v>
          </cell>
          <cell r="AD132">
            <v>-138077.4</v>
          </cell>
          <cell r="AE132">
            <v>-164223.79</v>
          </cell>
          <cell r="AF132">
            <v>-191049.1</v>
          </cell>
          <cell r="AG132">
            <v>-184754.72</v>
          </cell>
          <cell r="AH132">
            <v>-153559.71</v>
          </cell>
          <cell r="AJ132">
            <v>0</v>
          </cell>
        </row>
        <row r="133">
          <cell r="J133">
            <v>0</v>
          </cell>
          <cell r="K133">
            <v>0</v>
          </cell>
          <cell r="L133">
            <v>0</v>
          </cell>
          <cell r="M133">
            <v>0</v>
          </cell>
          <cell r="N133">
            <v>0</v>
          </cell>
          <cell r="O133">
            <v>0</v>
          </cell>
          <cell r="P133">
            <v>-69029.52</v>
          </cell>
          <cell r="Q133">
            <v>-59301.17</v>
          </cell>
          <cell r="R133">
            <v>-64150.3</v>
          </cell>
          <cell r="S133">
            <v>-68619.600000000006</v>
          </cell>
          <cell r="T133">
            <v>-66375.19</v>
          </cell>
          <cell r="U133">
            <v>-66531.520000000004</v>
          </cell>
          <cell r="V133">
            <v>-69965.14</v>
          </cell>
          <cell r="W133">
            <v>-64758.81</v>
          </cell>
          <cell r="X133">
            <v>-62793.69</v>
          </cell>
          <cell r="Y133">
            <v>-68232.600000000006</v>
          </cell>
          <cell r="Z133">
            <v>-73804.789999999994</v>
          </cell>
          <cell r="AA133">
            <v>-83995.36</v>
          </cell>
          <cell r="AB133">
            <v>-61214.02</v>
          </cell>
          <cell r="AC133">
            <v>-55548.54</v>
          </cell>
          <cell r="AD133">
            <v>-55920.22</v>
          </cell>
          <cell r="AE133">
            <v>-62878.9</v>
          </cell>
          <cell r="AF133">
            <v>-64570.19</v>
          </cell>
          <cell r="AG133">
            <v>-63133.41</v>
          </cell>
          <cell r="AH133">
            <v>-57053.38</v>
          </cell>
          <cell r="AJ133">
            <v>0</v>
          </cell>
        </row>
        <row r="134">
          <cell r="J134">
            <v>-416711.7</v>
          </cell>
          <cell r="K134">
            <v>-389360.47</v>
          </cell>
          <cell r="L134">
            <v>-390904.86</v>
          </cell>
          <cell r="M134">
            <v>-441447.77</v>
          </cell>
          <cell r="N134">
            <v>-433085.82</v>
          </cell>
          <cell r="O134">
            <v>-468172.3</v>
          </cell>
          <cell r="P134">
            <v>-359546.48</v>
          </cell>
          <cell r="Q134">
            <v>-320510.61</v>
          </cell>
          <cell r="R134">
            <v>-366600.07</v>
          </cell>
          <cell r="S134">
            <v>-396627.6</v>
          </cell>
          <cell r="T134">
            <v>-385014.08</v>
          </cell>
          <cell r="U134">
            <v>-393192.69</v>
          </cell>
          <cell r="V134">
            <v>-408645.83</v>
          </cell>
          <cell r="W134">
            <v>-376686.83</v>
          </cell>
          <cell r="X134">
            <v>-334766.18</v>
          </cell>
          <cell r="Y134">
            <v>-347127.28</v>
          </cell>
          <cell r="Z134">
            <v>-367785.97</v>
          </cell>
          <cell r="AA134">
            <v>-400150.12</v>
          </cell>
          <cell r="AB134">
            <v>-332747.42</v>
          </cell>
          <cell r="AC134">
            <v>-306473.57</v>
          </cell>
          <cell r="AD134">
            <v>-320012.68</v>
          </cell>
          <cell r="AE134">
            <v>-363660.39</v>
          </cell>
          <cell r="AF134">
            <v>-380278.42</v>
          </cell>
          <cell r="AG134">
            <v>-375524.99</v>
          </cell>
          <cell r="AH134">
            <v>-347569.19</v>
          </cell>
          <cell r="AJ134">
            <v>-389360.47</v>
          </cell>
        </row>
        <row r="135">
          <cell r="J135">
            <v>-333142.57</v>
          </cell>
          <cell r="K135">
            <v>-332026.90999999997</v>
          </cell>
          <cell r="L135">
            <v>-328140.56</v>
          </cell>
          <cell r="M135">
            <v>-352668.57</v>
          </cell>
          <cell r="N135">
            <v>-337296.75</v>
          </cell>
          <cell r="O135">
            <v>-345846.14</v>
          </cell>
          <cell r="P135">
            <v>-352517.15</v>
          </cell>
          <cell r="Q135">
            <v>-344083.3</v>
          </cell>
          <cell r="R135">
            <v>-360294.84</v>
          </cell>
          <cell r="S135">
            <v>-362952.72</v>
          </cell>
          <cell r="T135">
            <v>-339127.73</v>
          </cell>
          <cell r="U135">
            <v>-345077.22</v>
          </cell>
          <cell r="V135">
            <v>-378246.38</v>
          </cell>
          <cell r="W135">
            <v>-378416.42</v>
          </cell>
          <cell r="X135">
            <v>-342650.89</v>
          </cell>
          <cell r="Y135">
            <v>-343025.47</v>
          </cell>
          <cell r="Z135">
            <v>-344243.71</v>
          </cell>
          <cell r="AA135">
            <v>-355099.88</v>
          </cell>
          <cell r="AB135">
            <v>-318605.98</v>
          </cell>
          <cell r="AC135">
            <v>-321070.75</v>
          </cell>
          <cell r="AD135">
            <v>-326960.7</v>
          </cell>
          <cell r="AE135">
            <v>-338800.52</v>
          </cell>
          <cell r="AF135">
            <v>-329260.26</v>
          </cell>
          <cell r="AG135">
            <v>-337742.1</v>
          </cell>
          <cell r="AH135">
            <v>-340169.48</v>
          </cell>
          <cell r="AJ135">
            <v>-332026.90999999997</v>
          </cell>
        </row>
        <row r="136">
          <cell r="J136">
            <v>-40210.910000000003</v>
          </cell>
          <cell r="K136">
            <v>-40574.97</v>
          </cell>
          <cell r="L136">
            <v>-41900.83</v>
          </cell>
          <cell r="M136">
            <v>-46920.74</v>
          </cell>
          <cell r="N136">
            <v>-44710.13</v>
          </cell>
          <cell r="O136">
            <v>-46554.65</v>
          </cell>
          <cell r="P136">
            <v>-45116.95</v>
          </cell>
          <cell r="Q136">
            <v>-43066.81</v>
          </cell>
          <cell r="R136">
            <v>-40514.839999999997</v>
          </cell>
          <cell r="S136">
            <v>-42768.52</v>
          </cell>
          <cell r="T136">
            <v>-39186.949999999997</v>
          </cell>
          <cell r="U136">
            <v>-36952.32</v>
          </cell>
          <cell r="V136">
            <v>-47277.34</v>
          </cell>
          <cell r="W136">
            <v>-47391.69</v>
          </cell>
          <cell r="X136">
            <v>-44441.57</v>
          </cell>
          <cell r="Y136">
            <v>-47389.99</v>
          </cell>
          <cell r="Z136">
            <v>-47024.13</v>
          </cell>
          <cell r="AA136">
            <v>-52386.93</v>
          </cell>
          <cell r="AB136">
            <v>-39986.71</v>
          </cell>
          <cell r="AC136">
            <v>-39411.69</v>
          </cell>
          <cell r="AD136">
            <v>-35539.040000000001</v>
          </cell>
          <cell r="AE136">
            <v>-37718.82</v>
          </cell>
          <cell r="AF136">
            <v>-36914.31</v>
          </cell>
          <cell r="AG136">
            <v>-33658.92</v>
          </cell>
          <cell r="AH136">
            <v>-37309.279999999999</v>
          </cell>
          <cell r="AJ136">
            <v>-40574.97</v>
          </cell>
        </row>
        <row r="137">
          <cell r="J137">
            <v>-25598.39</v>
          </cell>
          <cell r="K137">
            <v>-22553.49</v>
          </cell>
          <cell r="L137">
            <v>-23801.31</v>
          </cell>
          <cell r="M137">
            <v>-24014.83</v>
          </cell>
          <cell r="N137">
            <v>-25798.6</v>
          </cell>
          <cell r="O137">
            <v>-22525.71</v>
          </cell>
          <cell r="P137">
            <v>-23400.84</v>
          </cell>
          <cell r="Q137">
            <v>-22358.22</v>
          </cell>
          <cell r="R137">
            <v>-23458.2</v>
          </cell>
          <cell r="S137">
            <v>-22668.42</v>
          </cell>
          <cell r="T137">
            <v>-21215.7</v>
          </cell>
          <cell r="U137">
            <v>-22330.84</v>
          </cell>
          <cell r="V137">
            <v>-26264.19</v>
          </cell>
          <cell r="W137">
            <v>-25837.78</v>
          </cell>
          <cell r="X137">
            <v>-23216.5</v>
          </cell>
          <cell r="Y137">
            <v>-23942.89</v>
          </cell>
          <cell r="Z137">
            <v>-24833.49</v>
          </cell>
          <cell r="AA137">
            <v>-23659.919999999998</v>
          </cell>
          <cell r="AB137">
            <v>-22528.67</v>
          </cell>
          <cell r="AC137">
            <v>-21637.84</v>
          </cell>
          <cell r="AD137">
            <v>-21181.06</v>
          </cell>
          <cell r="AE137">
            <v>-21152.82</v>
          </cell>
          <cell r="AF137">
            <v>-21018.9</v>
          </cell>
          <cell r="AG137">
            <v>-21830.53</v>
          </cell>
          <cell r="AH137">
            <v>-22602</v>
          </cell>
          <cell r="AJ137">
            <v>-22553.49</v>
          </cell>
        </row>
        <row r="138">
          <cell r="J138">
            <v>-104584.59</v>
          </cell>
          <cell r="K138">
            <v>-103205.58</v>
          </cell>
          <cell r="L138">
            <v>-101119.64</v>
          </cell>
          <cell r="M138">
            <v>-111695.67999999999</v>
          </cell>
          <cell r="N138">
            <v>-111812.23</v>
          </cell>
          <cell r="O138">
            <v>-118461.1</v>
          </cell>
          <cell r="P138">
            <v>-113579.23</v>
          </cell>
          <cell r="Q138">
            <v>-104327.9</v>
          </cell>
          <cell r="R138">
            <v>-123228.26</v>
          </cell>
          <cell r="S138">
            <v>-134715.95000000001</v>
          </cell>
          <cell r="T138">
            <v>-122328.3</v>
          </cell>
          <cell r="U138">
            <v>-120064.01</v>
          </cell>
          <cell r="V138">
            <v>-131890.78</v>
          </cell>
          <cell r="W138">
            <v>-123363.99</v>
          </cell>
          <cell r="X138">
            <v>-109503.72</v>
          </cell>
          <cell r="Y138">
            <v>-113582.25</v>
          </cell>
          <cell r="Z138">
            <v>-117412.34</v>
          </cell>
          <cell r="AA138">
            <v>-122837.68</v>
          </cell>
          <cell r="AB138">
            <v>-106441.54</v>
          </cell>
          <cell r="AC138">
            <v>-99400.74</v>
          </cell>
          <cell r="AD138">
            <v>-108126.69</v>
          </cell>
          <cell r="AE138">
            <v>-124576.33</v>
          </cell>
          <cell r="AF138">
            <v>-120415.95</v>
          </cell>
          <cell r="AG138">
            <v>-114850.69</v>
          </cell>
          <cell r="AH138">
            <v>-109002.52</v>
          </cell>
          <cell r="AJ138">
            <v>-103205.58</v>
          </cell>
        </row>
        <row r="139">
          <cell r="J139">
            <v>-6376.02</v>
          </cell>
          <cell r="K139">
            <v>-6098.35</v>
          </cell>
          <cell r="L139">
            <v>-6214.66</v>
          </cell>
          <cell r="M139">
            <v>-6901.71</v>
          </cell>
          <cell r="N139">
            <v>-6638.22</v>
          </cell>
          <cell r="O139">
            <v>-7042.27</v>
          </cell>
          <cell r="P139">
            <v>-7547.18</v>
          </cell>
          <cell r="Q139">
            <v>-6792.89</v>
          </cell>
          <cell r="R139">
            <v>-7434.71</v>
          </cell>
          <cell r="S139">
            <v>-7450.86</v>
          </cell>
          <cell r="T139">
            <v>-6938.19</v>
          </cell>
          <cell r="U139">
            <v>-7436.36</v>
          </cell>
          <cell r="V139">
            <v>-7980.08</v>
          </cell>
          <cell r="W139">
            <v>-7812.2</v>
          </cell>
          <cell r="X139">
            <v>-7201.75</v>
          </cell>
          <cell r="Y139">
            <v>-7581.37</v>
          </cell>
          <cell r="Z139">
            <v>-8160.36</v>
          </cell>
          <cell r="AA139">
            <v>-8941.33</v>
          </cell>
          <cell r="AB139">
            <v>-7212.47</v>
          </cell>
          <cell r="AC139">
            <v>-6668.09</v>
          </cell>
          <cell r="AD139">
            <v>-6734.04</v>
          </cell>
          <cell r="AE139">
            <v>-7028.55</v>
          </cell>
          <cell r="AF139">
            <v>-6860.14</v>
          </cell>
          <cell r="AG139">
            <v>-7537.65</v>
          </cell>
          <cell r="AH139">
            <v>-6837.25</v>
          </cell>
          <cell r="AJ139">
            <v>-6098.35</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J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J141">
            <v>0</v>
          </cell>
        </row>
        <row r="142">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J142">
            <v>0</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J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J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J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J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J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J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J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J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J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J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J154">
            <v>0</v>
          </cell>
        </row>
        <row r="155">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J155">
            <v>0</v>
          </cell>
        </row>
        <row r="157">
          <cell r="J157">
            <v>-103140.85</v>
          </cell>
          <cell r="K157">
            <v>-90019.6</v>
          </cell>
          <cell r="L157">
            <v>-98569.62</v>
          </cell>
          <cell r="M157">
            <v>-116234.25</v>
          </cell>
          <cell r="N157">
            <v>-120866.56</v>
          </cell>
          <cell r="O157">
            <v>-147140.07999999999</v>
          </cell>
          <cell r="P157">
            <v>-71039.08</v>
          </cell>
          <cell r="Q157">
            <v>-54012.480000000003</v>
          </cell>
          <cell r="R157">
            <v>-45446.53</v>
          </cell>
          <cell r="S157">
            <v>-58047.040000000001</v>
          </cell>
          <cell r="T157">
            <v>-75437.77</v>
          </cell>
          <cell r="U157">
            <v>-81181.460000000006</v>
          </cell>
          <cell r="V157">
            <v>-64387.11</v>
          </cell>
          <cell r="W157">
            <v>-48742.69</v>
          </cell>
          <cell r="X157">
            <v>-49838.43</v>
          </cell>
          <cell r="Y157">
            <v>-60069.84</v>
          </cell>
          <cell r="Z157">
            <v>-65618.58</v>
          </cell>
          <cell r="AA157">
            <v>-85593.02</v>
          </cell>
          <cell r="AB157">
            <v>-52023.49</v>
          </cell>
          <cell r="AC157">
            <v>-36248.43</v>
          </cell>
          <cell r="AD157">
            <v>-35952.379999999997</v>
          </cell>
          <cell r="AE157">
            <v>-41852.879999999997</v>
          </cell>
          <cell r="AF157">
            <v>-57441.31</v>
          </cell>
          <cell r="AG157">
            <v>-60255.519999999997</v>
          </cell>
          <cell r="AH157">
            <v>-46714.8</v>
          </cell>
          <cell r="AJ157">
            <v>-90019.6</v>
          </cell>
        </row>
        <row r="158">
          <cell r="J158">
            <v>0</v>
          </cell>
          <cell r="K158">
            <v>0</v>
          </cell>
          <cell r="L158">
            <v>0</v>
          </cell>
          <cell r="M158">
            <v>0</v>
          </cell>
          <cell r="N158">
            <v>0</v>
          </cell>
          <cell r="O158">
            <v>0</v>
          </cell>
          <cell r="P158">
            <v>-37506.32</v>
          </cell>
          <cell r="Q158">
            <v>-28677.279999999999</v>
          </cell>
          <cell r="R158">
            <v>-20543.59</v>
          </cell>
          <cell r="S158">
            <v>-23907.06</v>
          </cell>
          <cell r="T158">
            <v>-31136.21</v>
          </cell>
          <cell r="U158">
            <v>-33549.22</v>
          </cell>
          <cell r="V158">
            <v>-27666.04</v>
          </cell>
          <cell r="W158">
            <v>-20649.73</v>
          </cell>
          <cell r="X158">
            <v>-24682.93</v>
          </cell>
          <cell r="Y158">
            <v>-31881.37</v>
          </cell>
          <cell r="Z158">
            <v>-34991.31</v>
          </cell>
          <cell r="AA158">
            <v>-47533.52</v>
          </cell>
          <cell r="AB158">
            <v>-27001.68</v>
          </cell>
          <cell r="AC158">
            <v>-19573.28</v>
          </cell>
          <cell r="AD158">
            <v>-17041.95</v>
          </cell>
          <cell r="AE158">
            <v>-17364.61</v>
          </cell>
          <cell r="AF158">
            <v>-23497.08</v>
          </cell>
          <cell r="AG158">
            <v>-24686.03</v>
          </cell>
          <cell r="AH158">
            <v>-19813.2</v>
          </cell>
          <cell r="AJ158">
            <v>0</v>
          </cell>
        </row>
        <row r="159">
          <cell r="J159">
            <v>0</v>
          </cell>
          <cell r="K159">
            <v>0</v>
          </cell>
          <cell r="L159">
            <v>0</v>
          </cell>
          <cell r="M159">
            <v>0</v>
          </cell>
          <cell r="N159">
            <v>0</v>
          </cell>
          <cell r="O159">
            <v>0</v>
          </cell>
          <cell r="P159">
            <v>-10598.5</v>
          </cell>
          <cell r="Q159">
            <v>-9392.2900000000009</v>
          </cell>
          <cell r="R159">
            <v>-9804.14</v>
          </cell>
          <cell r="S159">
            <v>-9469.9599999999991</v>
          </cell>
          <cell r="T159">
            <v>-10723.09</v>
          </cell>
          <cell r="U159">
            <v>-10465.61</v>
          </cell>
          <cell r="V159">
            <v>-9944.6</v>
          </cell>
          <cell r="W159">
            <v>-8965.7999999999993</v>
          </cell>
          <cell r="X159">
            <v>-8704.41</v>
          </cell>
          <cell r="Y159">
            <v>-9627.81</v>
          </cell>
          <cell r="Z159">
            <v>-10133.23</v>
          </cell>
          <cell r="AA159">
            <v>-11611.28</v>
          </cell>
          <cell r="AB159">
            <v>-7414.81</v>
          </cell>
          <cell r="AC159">
            <v>-6925.97</v>
          </cell>
          <cell r="AD159">
            <v>-7266.07</v>
          </cell>
          <cell r="AE159">
            <v>-7300.52</v>
          </cell>
          <cell r="AF159">
            <v>-7866.17</v>
          </cell>
          <cell r="AG159">
            <v>-8007.41</v>
          </cell>
          <cell r="AH159">
            <v>-7365.23</v>
          </cell>
          <cell r="AJ159">
            <v>0</v>
          </cell>
        </row>
        <row r="160">
          <cell r="J160">
            <v>-79905.16</v>
          </cell>
          <cell r="K160">
            <v>-75248.95</v>
          </cell>
          <cell r="L160">
            <v>-68684.87</v>
          </cell>
          <cell r="M160">
            <v>-75554.899999999994</v>
          </cell>
          <cell r="N160">
            <v>-74796.33</v>
          </cell>
          <cell r="O160">
            <v>-69946.36</v>
          </cell>
          <cell r="P160">
            <v>-53293.17</v>
          </cell>
          <cell r="Q160">
            <v>-49827.74</v>
          </cell>
          <cell r="R160">
            <v>-55852.78</v>
          </cell>
          <cell r="S160">
            <v>-54711.35</v>
          </cell>
          <cell r="T160">
            <v>-61063.199999999997</v>
          </cell>
          <cell r="U160">
            <v>-62957.49</v>
          </cell>
          <cell r="V160">
            <v>-57696.74</v>
          </cell>
          <cell r="W160">
            <v>-54747.24</v>
          </cell>
          <cell r="X160">
            <v>-47319.01</v>
          </cell>
          <cell r="Y160">
            <v>-49381.79</v>
          </cell>
          <cell r="Z160">
            <v>-51086.65</v>
          </cell>
          <cell r="AA160">
            <v>-53738.6</v>
          </cell>
          <cell r="AB160">
            <v>-39034.94</v>
          </cell>
          <cell r="AC160">
            <v>-37688.449999999997</v>
          </cell>
          <cell r="AD160">
            <v>-41605.01</v>
          </cell>
          <cell r="AE160">
            <v>-41807.01</v>
          </cell>
          <cell r="AF160">
            <v>-45494.53</v>
          </cell>
          <cell r="AG160">
            <v>-47859.58</v>
          </cell>
          <cell r="AH160">
            <v>-44870.1</v>
          </cell>
          <cell r="AJ160">
            <v>-75248.95</v>
          </cell>
        </row>
        <row r="161">
          <cell r="J161">
            <v>-60378.38</v>
          </cell>
          <cell r="K161">
            <v>-59168.44</v>
          </cell>
          <cell r="L161">
            <v>-53391.86</v>
          </cell>
          <cell r="M161">
            <v>-56833.53</v>
          </cell>
          <cell r="N161">
            <v>-52688.74</v>
          </cell>
          <cell r="O161">
            <v>-52755.49</v>
          </cell>
          <cell r="P161">
            <v>-52663.73</v>
          </cell>
          <cell r="Q161">
            <v>-57620.46</v>
          </cell>
          <cell r="R161">
            <v>-58913.95</v>
          </cell>
          <cell r="S161">
            <v>-53632.29</v>
          </cell>
          <cell r="T161">
            <v>-55734.080000000002</v>
          </cell>
          <cell r="U161">
            <v>-52777.38</v>
          </cell>
          <cell r="V161">
            <v>-55038.44</v>
          </cell>
          <cell r="W161">
            <v>-58851.54</v>
          </cell>
          <cell r="X161">
            <v>-51093.38</v>
          </cell>
          <cell r="Y161">
            <v>-50857.55</v>
          </cell>
          <cell r="Z161">
            <v>-51752.15</v>
          </cell>
          <cell r="AA161">
            <v>-45402.8</v>
          </cell>
          <cell r="AB161">
            <v>-36881.49</v>
          </cell>
          <cell r="AC161">
            <v>-40033.49</v>
          </cell>
          <cell r="AD161">
            <v>-43824.72</v>
          </cell>
          <cell r="AE161">
            <v>-39828.639999999999</v>
          </cell>
          <cell r="AF161">
            <v>-40349.449999999997</v>
          </cell>
          <cell r="AG161">
            <v>-39661.93</v>
          </cell>
          <cell r="AH161">
            <v>-42311.27</v>
          </cell>
          <cell r="AJ161">
            <v>-59168.44</v>
          </cell>
        </row>
        <row r="162">
          <cell r="J162">
            <v>-7957.21</v>
          </cell>
          <cell r="K162">
            <v>-8144.29</v>
          </cell>
          <cell r="L162">
            <v>-7401.06</v>
          </cell>
          <cell r="M162">
            <v>-7912.13</v>
          </cell>
          <cell r="N162">
            <v>-7530.01</v>
          </cell>
          <cell r="O162">
            <v>-7405.78</v>
          </cell>
          <cell r="P162">
            <v>-6370.38</v>
          </cell>
          <cell r="Q162">
            <v>-7462.06</v>
          </cell>
          <cell r="R162">
            <v>-6678.84</v>
          </cell>
          <cell r="S162">
            <v>-5573.38</v>
          </cell>
          <cell r="T162">
            <v>-6739.54</v>
          </cell>
          <cell r="U162">
            <v>-4944.66</v>
          </cell>
          <cell r="V162">
            <v>-6546.06</v>
          </cell>
          <cell r="W162">
            <v>-6556.37</v>
          </cell>
          <cell r="X162">
            <v>-6372.72</v>
          </cell>
          <cell r="Y162">
            <v>-6994.02</v>
          </cell>
          <cell r="Z162">
            <v>-6636.89</v>
          </cell>
          <cell r="AA162">
            <v>-6794.72</v>
          </cell>
          <cell r="AB162">
            <v>-4399.5200000000004</v>
          </cell>
          <cell r="AC162">
            <v>-5289.45</v>
          </cell>
          <cell r="AD162">
            <v>-5025.33</v>
          </cell>
          <cell r="AE162">
            <v>-4258.1899999999996</v>
          </cell>
          <cell r="AF162">
            <v>-4791.66</v>
          </cell>
          <cell r="AG162">
            <v>-3508.03</v>
          </cell>
          <cell r="AH162">
            <v>-4891.57</v>
          </cell>
          <cell r="AJ162">
            <v>-8144.29</v>
          </cell>
        </row>
        <row r="163">
          <cell r="J163">
            <v>-5305.73</v>
          </cell>
          <cell r="K163">
            <v>-4476.16</v>
          </cell>
          <cell r="L163">
            <v>-4541.01</v>
          </cell>
          <cell r="M163">
            <v>-3832.61</v>
          </cell>
          <cell r="N163">
            <v>-4949.33</v>
          </cell>
          <cell r="O163">
            <v>-3829.81</v>
          </cell>
          <cell r="P163">
            <v>-3531.94</v>
          </cell>
          <cell r="Q163">
            <v>-3628.09</v>
          </cell>
          <cell r="R163">
            <v>-3813.42</v>
          </cell>
          <cell r="S163">
            <v>-3098.32</v>
          </cell>
          <cell r="T163">
            <v>-3342.2</v>
          </cell>
          <cell r="U163">
            <v>-3341.88</v>
          </cell>
          <cell r="V163">
            <v>-3373.91</v>
          </cell>
          <cell r="W163">
            <v>-3705.87</v>
          </cell>
          <cell r="X163">
            <v>-3261.38</v>
          </cell>
          <cell r="Y163">
            <v>-3677.08</v>
          </cell>
          <cell r="Z163">
            <v>-3383.49</v>
          </cell>
          <cell r="AA163">
            <v>-3184.4</v>
          </cell>
          <cell r="AB163">
            <v>-2778.29</v>
          </cell>
          <cell r="AC163">
            <v>-2761.2</v>
          </cell>
          <cell r="AD163">
            <v>-3034.85</v>
          </cell>
          <cell r="AE163">
            <v>-2388.3000000000002</v>
          </cell>
          <cell r="AF163">
            <v>-2488.25</v>
          </cell>
          <cell r="AG163">
            <v>-2549.56</v>
          </cell>
          <cell r="AH163">
            <v>-2692.52</v>
          </cell>
          <cell r="AJ163">
            <v>-4476.16</v>
          </cell>
        </row>
        <row r="164">
          <cell r="J164">
            <v>-20083.22</v>
          </cell>
          <cell r="K164">
            <v>-20008.009999999998</v>
          </cell>
          <cell r="L164">
            <v>-17758.419999999998</v>
          </cell>
          <cell r="M164">
            <v>-18989.62</v>
          </cell>
          <cell r="N164">
            <v>-18884.54</v>
          </cell>
          <cell r="O164">
            <v>-19965.96</v>
          </cell>
          <cell r="P164">
            <v>-16824.2</v>
          </cell>
          <cell r="Q164">
            <v>-15770.51</v>
          </cell>
          <cell r="R164">
            <v>-18374.09</v>
          </cell>
          <cell r="S164">
            <v>-19686.23</v>
          </cell>
          <cell r="T164">
            <v>-19279.150000000001</v>
          </cell>
          <cell r="U164">
            <v>-19319.72</v>
          </cell>
          <cell r="V164">
            <v>-18190.59</v>
          </cell>
          <cell r="W164">
            <v>-17950.849999999999</v>
          </cell>
          <cell r="X164">
            <v>-15386.09</v>
          </cell>
          <cell r="Y164">
            <v>-16369.31</v>
          </cell>
          <cell r="Z164">
            <v>-16832.63</v>
          </cell>
          <cell r="AA164">
            <v>-16089.84</v>
          </cell>
          <cell r="AB164">
            <v>-12626.49</v>
          </cell>
          <cell r="AC164">
            <v>-11598.28</v>
          </cell>
          <cell r="AD164">
            <v>-13829.69</v>
          </cell>
          <cell r="AE164">
            <v>-15346.03</v>
          </cell>
          <cell r="AF164">
            <v>-14203.65</v>
          </cell>
          <cell r="AG164">
            <v>-14953.29</v>
          </cell>
          <cell r="AH164">
            <v>-13439.73</v>
          </cell>
          <cell r="AJ164">
            <v>-20008.009999999998</v>
          </cell>
        </row>
        <row r="165">
          <cell r="J165">
            <v>-1222.1400000000001</v>
          </cell>
          <cell r="K165">
            <v>-1205.95</v>
          </cell>
          <cell r="L165">
            <v>-1088.42</v>
          </cell>
          <cell r="M165">
            <v>-1189.6600000000001</v>
          </cell>
          <cell r="N165">
            <v>-1147.28</v>
          </cell>
          <cell r="O165">
            <v>-1067.96</v>
          </cell>
          <cell r="P165">
            <v>-1133.21</v>
          </cell>
          <cell r="Q165">
            <v>-1075.49</v>
          </cell>
          <cell r="R165">
            <v>-1164.6400000000001</v>
          </cell>
          <cell r="S165">
            <v>-1049.57</v>
          </cell>
          <cell r="T165">
            <v>-1076.6199999999999</v>
          </cell>
          <cell r="U165">
            <v>-1171.48</v>
          </cell>
          <cell r="V165">
            <v>-1102.3900000000001</v>
          </cell>
          <cell r="W165">
            <v>-1101.3800000000001</v>
          </cell>
          <cell r="X165">
            <v>-1032.73</v>
          </cell>
          <cell r="Y165">
            <v>-1063.6300000000001</v>
          </cell>
          <cell r="Z165">
            <v>-1132.17</v>
          </cell>
          <cell r="AA165">
            <v>-1219.05</v>
          </cell>
          <cell r="AB165">
            <v>-862.83</v>
          </cell>
          <cell r="AC165">
            <v>-834.62</v>
          </cell>
          <cell r="AD165">
            <v>-916.78</v>
          </cell>
          <cell r="AE165">
            <v>-837.3</v>
          </cell>
          <cell r="AF165">
            <v>-770.09</v>
          </cell>
          <cell r="AG165">
            <v>-966.7</v>
          </cell>
          <cell r="AH165">
            <v>-855.88</v>
          </cell>
          <cell r="AJ165">
            <v>-1205.95</v>
          </cell>
        </row>
        <row r="166">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J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J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J168">
            <v>0</v>
          </cell>
        </row>
        <row r="170">
          <cell r="J170">
            <v>23121699.089999992</v>
          </cell>
          <cell r="K170">
            <v>19441920.659999996</v>
          </cell>
          <cell r="L170">
            <v>23739543.969999999</v>
          </cell>
          <cell r="M170">
            <v>25867345.999999996</v>
          </cell>
          <cell r="N170">
            <v>29467193.240000002</v>
          </cell>
          <cell r="O170">
            <v>34725724.880000003</v>
          </cell>
          <cell r="P170">
            <v>16552651.890000001</v>
          </cell>
          <cell r="Q170">
            <v>13023557.59</v>
          </cell>
          <cell r="R170">
            <v>12832951.08</v>
          </cell>
          <cell r="S170">
            <v>18184412.57</v>
          </cell>
          <cell r="T170">
            <v>19114647.600000001</v>
          </cell>
          <cell r="U170">
            <v>19387020.339999992</v>
          </cell>
          <cell r="V170">
            <v>14208586.760000002</v>
          </cell>
          <cell r="W170">
            <v>11566044.800000003</v>
          </cell>
          <cell r="X170">
            <v>13388114.300000003</v>
          </cell>
          <cell r="Y170">
            <v>15181125.819999997</v>
          </cell>
          <cell r="Z170">
            <v>16680712.439999998</v>
          </cell>
          <cell r="AA170">
            <v>19081695.280000001</v>
          </cell>
          <cell r="AB170">
            <v>14902619.4</v>
          </cell>
          <cell r="AC170">
            <v>11268616.27</v>
          </cell>
          <cell r="AD170">
            <v>11646112.510000002</v>
          </cell>
          <cell r="AE170">
            <v>15212528.77</v>
          </cell>
          <cell r="AF170">
            <v>17598417.469999999</v>
          </cell>
          <cell r="AG170">
            <v>16698081.120000001</v>
          </cell>
          <cell r="AH170">
            <v>13347568.710000001</v>
          </cell>
          <cell r="AJ170">
            <v>19441920.659999996</v>
          </cell>
        </row>
        <row r="171">
          <cell r="J171">
            <v>0</v>
          </cell>
          <cell r="K171">
            <v>0</v>
          </cell>
          <cell r="L171">
            <v>0</v>
          </cell>
          <cell r="M171">
            <v>0</v>
          </cell>
          <cell r="N171">
            <v>0</v>
          </cell>
          <cell r="O171">
            <v>0</v>
          </cell>
          <cell r="P171">
            <v>8765590.6999999993</v>
          </cell>
          <cell r="Q171">
            <v>6617874.0299999993</v>
          </cell>
          <cell r="R171">
            <v>5697108.2300000004</v>
          </cell>
          <cell r="S171">
            <v>7561886.7100000009</v>
          </cell>
          <cell r="T171">
            <v>7956582.2899999991</v>
          </cell>
          <cell r="U171">
            <v>8159870.0800000019</v>
          </cell>
          <cell r="V171">
            <v>6239529.0099999998</v>
          </cell>
          <cell r="W171">
            <v>5298028.68</v>
          </cell>
          <cell r="X171">
            <v>6909235.2700000014</v>
          </cell>
          <cell r="Y171">
            <v>8261500.7299999986</v>
          </cell>
          <cell r="Z171">
            <v>9174045.3299999982</v>
          </cell>
          <cell r="AA171">
            <v>10655488.980000002</v>
          </cell>
          <cell r="AB171">
            <v>7785103.7800000003</v>
          </cell>
          <cell r="AC171">
            <v>5752188.6499999985</v>
          </cell>
          <cell r="AD171">
            <v>5307237.6500000004</v>
          </cell>
          <cell r="AE171">
            <v>6362870.6099999994</v>
          </cell>
          <cell r="AF171">
            <v>7291937.21</v>
          </cell>
          <cell r="AG171">
            <v>7003354.0199999996</v>
          </cell>
          <cell r="AH171">
            <v>5812305.0500000007</v>
          </cell>
          <cell r="AJ171">
            <v>0</v>
          </cell>
        </row>
        <row r="172">
          <cell r="J172">
            <v>0</v>
          </cell>
          <cell r="K172">
            <v>0</v>
          </cell>
          <cell r="L172">
            <v>0</v>
          </cell>
          <cell r="M172">
            <v>0</v>
          </cell>
          <cell r="N172">
            <v>0</v>
          </cell>
          <cell r="O172">
            <v>0</v>
          </cell>
          <cell r="P172">
            <v>2502775.4500000002</v>
          </cell>
          <cell r="Q172">
            <v>2227054.39</v>
          </cell>
          <cell r="R172">
            <v>2356701.8199999998</v>
          </cell>
          <cell r="S172">
            <v>2706600.69</v>
          </cell>
          <cell r="T172">
            <v>2591459.9</v>
          </cell>
          <cell r="U172">
            <v>2577954.7200000002</v>
          </cell>
          <cell r="V172">
            <v>2177425.16</v>
          </cell>
          <cell r="W172">
            <v>1971220.31</v>
          </cell>
          <cell r="X172">
            <v>2148090.0699999998</v>
          </cell>
          <cell r="Y172">
            <v>2267147.87</v>
          </cell>
          <cell r="Z172">
            <v>2369016.62</v>
          </cell>
          <cell r="AA172">
            <v>2558973.16</v>
          </cell>
          <cell r="AB172">
            <v>2226866.04</v>
          </cell>
          <cell r="AC172">
            <v>2016405.27</v>
          </cell>
          <cell r="AD172">
            <v>2047709.34</v>
          </cell>
          <cell r="AE172">
            <v>2326530.4700000002</v>
          </cell>
          <cell r="AF172">
            <v>2351385.77</v>
          </cell>
          <cell r="AG172">
            <v>2277872.91</v>
          </cell>
          <cell r="AH172">
            <v>2061675.59</v>
          </cell>
          <cell r="AJ172">
            <v>0</v>
          </cell>
        </row>
        <row r="173">
          <cell r="J173">
            <v>18837242.680000003</v>
          </cell>
          <cell r="K173">
            <v>16949647.720000003</v>
          </cell>
          <cell r="L173">
            <v>16507728.340000002</v>
          </cell>
          <cell r="M173">
            <v>16686696.65</v>
          </cell>
          <cell r="N173">
            <v>17741014.390000001</v>
          </cell>
          <cell r="O173">
            <v>18424935</v>
          </cell>
          <cell r="P173">
            <v>13748218.759999998</v>
          </cell>
          <cell r="Q173">
            <v>12788009.390000001</v>
          </cell>
          <cell r="R173">
            <v>14410445.190000001</v>
          </cell>
          <cell r="S173">
            <v>16766103.459999999</v>
          </cell>
          <cell r="T173">
            <v>16035641.890000001</v>
          </cell>
          <cell r="U173">
            <v>16323202.34</v>
          </cell>
          <cell r="V173">
            <v>13620233.329999998</v>
          </cell>
          <cell r="W173">
            <v>12370348.969999999</v>
          </cell>
          <cell r="X173">
            <v>12213092.84</v>
          </cell>
          <cell r="Y173">
            <v>12260649.920000002</v>
          </cell>
          <cell r="Z173">
            <v>12506954.120000001</v>
          </cell>
          <cell r="AA173">
            <v>13005635.330000002</v>
          </cell>
          <cell r="AB173">
            <v>12869112.990000002</v>
          </cell>
          <cell r="AC173">
            <v>11889107.130000001</v>
          </cell>
          <cell r="AD173">
            <v>12566378.09</v>
          </cell>
          <cell r="AE173">
            <v>14454566.779999999</v>
          </cell>
          <cell r="AF173">
            <v>14826679.73</v>
          </cell>
          <cell r="AG173">
            <v>14590107.020000001</v>
          </cell>
          <cell r="AH173">
            <v>13453537.700000001</v>
          </cell>
          <cell r="AJ173">
            <v>16949647.720000003</v>
          </cell>
        </row>
        <row r="174">
          <cell r="J174">
            <v>17529008.829999998</v>
          </cell>
          <cell r="K174">
            <v>16950657.98</v>
          </cell>
          <cell r="L174">
            <v>15988981.9</v>
          </cell>
          <cell r="M174">
            <v>15758997.17</v>
          </cell>
          <cell r="N174">
            <v>16082932.810000002</v>
          </cell>
          <cell r="O174">
            <v>15570040.59</v>
          </cell>
          <cell r="P174">
            <v>16319519.220000001</v>
          </cell>
          <cell r="Q174">
            <v>16578289.009999998</v>
          </cell>
          <cell r="R174">
            <v>17533585.250000004</v>
          </cell>
          <cell r="S174">
            <v>18933340.280000001</v>
          </cell>
          <cell r="T174">
            <v>16896136.930000003</v>
          </cell>
          <cell r="U174">
            <v>16974030.360000003</v>
          </cell>
          <cell r="V174">
            <v>15760500.34</v>
          </cell>
          <cell r="W174">
            <v>15844909.110000001</v>
          </cell>
          <cell r="X174">
            <v>15360579.309999999</v>
          </cell>
          <cell r="Y174">
            <v>14835621.149999999</v>
          </cell>
          <cell r="Z174">
            <v>14379233.809999999</v>
          </cell>
          <cell r="AA174">
            <v>14031885.729999999</v>
          </cell>
          <cell r="AB174">
            <v>14631662.499999998</v>
          </cell>
          <cell r="AC174">
            <v>14832115.319999998</v>
          </cell>
          <cell r="AD174">
            <v>15325915.130000001</v>
          </cell>
          <cell r="AE174">
            <v>15970657.799999999</v>
          </cell>
          <cell r="AF174">
            <v>15311303.23</v>
          </cell>
          <cell r="AG174">
            <v>15264739.050000001</v>
          </cell>
          <cell r="AH174">
            <v>15500114.25</v>
          </cell>
          <cell r="AJ174">
            <v>16950657.98</v>
          </cell>
        </row>
        <row r="175">
          <cell r="J175">
            <v>1916774.9100000001</v>
          </cell>
          <cell r="K175">
            <v>1890613.58</v>
          </cell>
          <cell r="L175">
            <v>1955003.38</v>
          </cell>
          <cell r="M175">
            <v>1993100.39</v>
          </cell>
          <cell r="N175">
            <v>2031364.61</v>
          </cell>
          <cell r="O175">
            <v>2021278.72</v>
          </cell>
          <cell r="P175">
            <v>1867140.39</v>
          </cell>
          <cell r="Q175">
            <v>1870386.42</v>
          </cell>
          <cell r="R175">
            <v>1755339.68</v>
          </cell>
          <cell r="S175">
            <v>1908190.71</v>
          </cell>
          <cell r="T175">
            <v>1735911.09</v>
          </cell>
          <cell r="U175">
            <v>1600616.48</v>
          </cell>
          <cell r="V175">
            <v>1675291.57</v>
          </cell>
          <cell r="W175">
            <v>1656483.36</v>
          </cell>
          <cell r="X175">
            <v>1783025.82</v>
          </cell>
          <cell r="Y175">
            <v>1862132.49</v>
          </cell>
          <cell r="Z175">
            <v>1780109.78</v>
          </cell>
          <cell r="AA175">
            <v>1858592.06</v>
          </cell>
          <cell r="AB175">
            <v>1685175.18</v>
          </cell>
          <cell r="AC175">
            <v>1668712.52</v>
          </cell>
          <cell r="AD175">
            <v>1535452.46</v>
          </cell>
          <cell r="AE175">
            <v>1598028.25</v>
          </cell>
          <cell r="AF175">
            <v>1545247.46</v>
          </cell>
          <cell r="AG175">
            <v>1376495.72</v>
          </cell>
          <cell r="AH175">
            <v>1567808.54</v>
          </cell>
          <cell r="AJ175">
            <v>1890613.58</v>
          </cell>
        </row>
        <row r="176">
          <cell r="J176">
            <v>785732.02</v>
          </cell>
          <cell r="K176">
            <v>700288.34</v>
          </cell>
          <cell r="L176">
            <v>731624.14</v>
          </cell>
          <cell r="M176">
            <v>679867.64</v>
          </cell>
          <cell r="N176">
            <v>767529.05</v>
          </cell>
          <cell r="O176">
            <v>666617.06999999995</v>
          </cell>
          <cell r="P176">
            <v>700227.12</v>
          </cell>
          <cell r="Q176">
            <v>688583.81</v>
          </cell>
          <cell r="R176">
            <v>684460.63</v>
          </cell>
          <cell r="S176">
            <v>691643.23</v>
          </cell>
          <cell r="T176">
            <v>646054.80000000005</v>
          </cell>
          <cell r="U176">
            <v>676183.91</v>
          </cell>
          <cell r="V176">
            <v>626962.64</v>
          </cell>
          <cell r="W176">
            <v>596565.19999999995</v>
          </cell>
          <cell r="X176">
            <v>616647.31000000006</v>
          </cell>
          <cell r="Y176">
            <v>622329.35</v>
          </cell>
          <cell r="Z176">
            <v>623998.5</v>
          </cell>
          <cell r="AA176">
            <v>574199</v>
          </cell>
          <cell r="AB176">
            <v>661971.44999999995</v>
          </cell>
          <cell r="AC176">
            <v>634135.22</v>
          </cell>
          <cell r="AD176">
            <v>616382.74</v>
          </cell>
          <cell r="AE176">
            <v>601275.56999999995</v>
          </cell>
          <cell r="AF176">
            <v>586879.85</v>
          </cell>
          <cell r="AG176">
            <v>602050.65</v>
          </cell>
          <cell r="AH176">
            <v>620077.15</v>
          </cell>
          <cell r="AJ176">
            <v>700288.34</v>
          </cell>
        </row>
        <row r="177">
          <cell r="J177">
            <v>5351810.3400000008</v>
          </cell>
          <cell r="K177">
            <v>5005684.34</v>
          </cell>
          <cell r="L177">
            <v>4739050.3099999996</v>
          </cell>
          <cell r="M177">
            <v>4682393.9400000004</v>
          </cell>
          <cell r="N177">
            <v>5067668.2699999996</v>
          </cell>
          <cell r="O177">
            <v>5081379.78</v>
          </cell>
          <cell r="P177">
            <v>4626654.09</v>
          </cell>
          <cell r="Q177">
            <v>4400441.75</v>
          </cell>
          <cell r="R177">
            <v>5138748.3499999996</v>
          </cell>
          <cell r="S177">
            <v>6130773.0999999996</v>
          </cell>
          <cell r="T177">
            <v>5422370.7400000002</v>
          </cell>
          <cell r="U177">
            <v>5367021.6900000004</v>
          </cell>
          <cell r="V177">
            <v>4682974.9800000004</v>
          </cell>
          <cell r="W177">
            <v>4337773.04</v>
          </cell>
          <cell r="X177">
            <v>4265424.37</v>
          </cell>
          <cell r="Y177">
            <v>4309387.51</v>
          </cell>
          <cell r="Z177">
            <v>4301710.01</v>
          </cell>
          <cell r="AA177">
            <v>4283912.8499999996</v>
          </cell>
          <cell r="AB177">
            <v>4413717.1500000004</v>
          </cell>
          <cell r="AC177">
            <v>4084823.94</v>
          </cell>
          <cell r="AD177">
            <v>4515562.75</v>
          </cell>
          <cell r="AE177">
            <v>5329209.13</v>
          </cell>
          <cell r="AF177">
            <v>5000303.78</v>
          </cell>
          <cell r="AG177">
            <v>4825054.1399999997</v>
          </cell>
          <cell r="AH177">
            <v>4512716.7699999996</v>
          </cell>
          <cell r="AJ177">
            <v>5005684.34</v>
          </cell>
        </row>
        <row r="178">
          <cell r="J178">
            <v>319905.90999999997</v>
          </cell>
          <cell r="K178">
            <v>291394.5</v>
          </cell>
          <cell r="L178">
            <v>293997.95</v>
          </cell>
          <cell r="M178">
            <v>291202.65999999997</v>
          </cell>
          <cell r="N178">
            <v>307132.87</v>
          </cell>
          <cell r="O178">
            <v>314534.89</v>
          </cell>
          <cell r="P178">
            <v>301376.31</v>
          </cell>
          <cell r="Q178">
            <v>281826.96000000002</v>
          </cell>
          <cell r="R178">
            <v>304568.14</v>
          </cell>
          <cell r="S178">
            <v>328918.71999999997</v>
          </cell>
          <cell r="T178">
            <v>301436.79999999999</v>
          </cell>
          <cell r="U178">
            <v>321792.81</v>
          </cell>
          <cell r="V178">
            <v>277970.03999999998</v>
          </cell>
          <cell r="W178">
            <v>267866.18</v>
          </cell>
          <cell r="X178">
            <v>276904.12</v>
          </cell>
          <cell r="Y178">
            <v>280466.42</v>
          </cell>
          <cell r="Z178">
            <v>289915.34000000003</v>
          </cell>
          <cell r="AA178">
            <v>302968.21999999997</v>
          </cell>
          <cell r="AB178">
            <v>292944.61</v>
          </cell>
          <cell r="AC178">
            <v>270510</v>
          </cell>
          <cell r="AD178">
            <v>276777.48</v>
          </cell>
          <cell r="AE178">
            <v>292722.59999999998</v>
          </cell>
          <cell r="AF178">
            <v>280603.92</v>
          </cell>
          <cell r="AG178">
            <v>306740.3</v>
          </cell>
          <cell r="AH178">
            <v>277600.13</v>
          </cell>
          <cell r="AJ178">
            <v>291394.5</v>
          </cell>
        </row>
        <row r="179">
          <cell r="J179">
            <v>6905422.75</v>
          </cell>
          <cell r="K179">
            <v>5950548.6600000001</v>
          </cell>
          <cell r="L179">
            <v>5045984.87</v>
          </cell>
          <cell r="M179">
            <v>5222517.6900000004</v>
          </cell>
          <cell r="N179">
            <v>5558027.7599999998</v>
          </cell>
          <cell r="O179">
            <v>5846160.8400000008</v>
          </cell>
          <cell r="P179">
            <v>5287845.87</v>
          </cell>
          <cell r="Q179">
            <v>4736324.04</v>
          </cell>
          <cell r="R179">
            <v>5660471.4199999999</v>
          </cell>
          <cell r="S179">
            <v>6016975.9400000004</v>
          </cell>
          <cell r="T179">
            <v>7176112.8799999999</v>
          </cell>
          <cell r="U179">
            <v>7186713.8499999996</v>
          </cell>
          <cell r="V179">
            <v>6328445.3600000003</v>
          </cell>
          <cell r="W179">
            <v>5763876.7400000002</v>
          </cell>
          <cell r="X179">
            <v>4784124.8499999996</v>
          </cell>
          <cell r="Y179">
            <v>5222912.53</v>
          </cell>
          <cell r="Z179">
            <v>4901201.96</v>
          </cell>
          <cell r="AA179">
            <v>5628014.4199999999</v>
          </cell>
          <cell r="AB179">
            <v>5161907.57</v>
          </cell>
          <cell r="AC179">
            <v>4605360.55</v>
          </cell>
          <cell r="AD179">
            <v>5221239.04</v>
          </cell>
          <cell r="AE179">
            <v>5429329.6200000001</v>
          </cell>
          <cell r="AF179">
            <v>6697026.5800000001</v>
          </cell>
          <cell r="AG179">
            <v>6825939.6199999992</v>
          </cell>
          <cell r="AH179">
            <v>6042471.0300000003</v>
          </cell>
          <cell r="AJ179">
            <v>5950548.6600000001</v>
          </cell>
        </row>
        <row r="180">
          <cell r="J180">
            <v>1661976.46</v>
          </cell>
          <cell r="K180">
            <v>1082037.52</v>
          </cell>
          <cell r="L180">
            <v>867376.37</v>
          </cell>
          <cell r="M180">
            <v>3886078.71</v>
          </cell>
          <cell r="N180">
            <v>1137548.54</v>
          </cell>
          <cell r="O180">
            <v>3190285.6</v>
          </cell>
          <cell r="P180">
            <v>1207531.8700000001</v>
          </cell>
          <cell r="Q180">
            <v>854895.19</v>
          </cell>
          <cell r="R180">
            <v>2845605.73</v>
          </cell>
          <cell r="S180">
            <v>3172485.57</v>
          </cell>
          <cell r="T180">
            <v>2859405.5</v>
          </cell>
          <cell r="U180">
            <v>2459611.37</v>
          </cell>
          <cell r="V180">
            <v>2900618.45</v>
          </cell>
          <cell r="W180">
            <v>2426461.02</v>
          </cell>
          <cell r="X180">
            <v>195473.68</v>
          </cell>
          <cell r="Y180">
            <v>404761.65</v>
          </cell>
          <cell r="Z180">
            <v>332229.84999999998</v>
          </cell>
          <cell r="AA180">
            <v>1414278.93</v>
          </cell>
          <cell r="AB180">
            <v>6571678.71</v>
          </cell>
          <cell r="AC180">
            <v>5666536.9000000004</v>
          </cell>
          <cell r="AD180">
            <v>4186291</v>
          </cell>
          <cell r="AE180">
            <v>4915142.8499999996</v>
          </cell>
          <cell r="AF180">
            <v>4740956.63</v>
          </cell>
          <cell r="AG180">
            <v>5335694.2300000004</v>
          </cell>
          <cell r="AH180">
            <v>7478989.1500000004</v>
          </cell>
          <cell r="AJ180">
            <v>1082037.52</v>
          </cell>
        </row>
        <row r="181">
          <cell r="J181">
            <v>3277772.5</v>
          </cell>
          <cell r="K181">
            <v>3347838.7</v>
          </cell>
          <cell r="L181">
            <v>4597812.2</v>
          </cell>
          <cell r="M181">
            <v>6689749.7999999998</v>
          </cell>
          <cell r="N181">
            <v>6429160.2000000002</v>
          </cell>
          <cell r="O181">
            <v>7353810.5999999996</v>
          </cell>
          <cell r="P181">
            <v>4787488.5999999996</v>
          </cell>
          <cell r="Q181">
            <v>3523788.3</v>
          </cell>
          <cell r="R181">
            <v>3657755.8</v>
          </cell>
          <cell r="S181">
            <v>2485773.9</v>
          </cell>
          <cell r="T181">
            <v>1531847.5</v>
          </cell>
          <cell r="U181">
            <v>1760673.4</v>
          </cell>
          <cell r="V181">
            <v>1957478.7</v>
          </cell>
          <cell r="W181">
            <v>3320781.5</v>
          </cell>
          <cell r="X181">
            <v>987715.1</v>
          </cell>
          <cell r="Y181">
            <v>1851247</v>
          </cell>
          <cell r="Z181">
            <v>3216087.5</v>
          </cell>
          <cell r="AA181">
            <v>4784593</v>
          </cell>
          <cell r="AB181">
            <v>4288304.3</v>
          </cell>
          <cell r="AC181">
            <v>3092725.7</v>
          </cell>
          <cell r="AD181">
            <v>1908267.8</v>
          </cell>
          <cell r="AE181">
            <v>3157592.5</v>
          </cell>
          <cell r="AF181">
            <v>2629318.9</v>
          </cell>
          <cell r="AG181">
            <v>2995602.7</v>
          </cell>
          <cell r="AH181">
            <v>3570020.5</v>
          </cell>
          <cell r="AJ181">
            <v>3347838.7</v>
          </cell>
        </row>
        <row r="183">
          <cell r="J183">
            <v>748621.41</v>
          </cell>
          <cell r="K183">
            <v>872082.93</v>
          </cell>
          <cell r="L183">
            <v>715061.83</v>
          </cell>
          <cell r="M183">
            <v>824286.75</v>
          </cell>
          <cell r="N183">
            <v>736657.18</v>
          </cell>
          <cell r="O183">
            <v>799104.67</v>
          </cell>
          <cell r="P183">
            <v>13592.96</v>
          </cell>
          <cell r="Q183">
            <v>24186.560000000001</v>
          </cell>
          <cell r="R183">
            <v>24196.36</v>
          </cell>
          <cell r="S183">
            <v>29893.86</v>
          </cell>
          <cell r="T183">
            <v>-1255.3399999999999</v>
          </cell>
          <cell r="U183">
            <v>21224.18</v>
          </cell>
          <cell r="V183">
            <v>19703.32</v>
          </cell>
          <cell r="W183">
            <v>99989.42</v>
          </cell>
          <cell r="X183">
            <v>42389.06</v>
          </cell>
          <cell r="Y183">
            <v>24938.15</v>
          </cell>
          <cell r="Z183">
            <v>27220.78</v>
          </cell>
          <cell r="AA183">
            <v>35535.629999999997</v>
          </cell>
          <cell r="AB183">
            <v>1154586.79</v>
          </cell>
          <cell r="AC183">
            <v>954915.48</v>
          </cell>
          <cell r="AD183">
            <v>755405.71</v>
          </cell>
          <cell r="AE183">
            <v>1100029.57</v>
          </cell>
          <cell r="AF183">
            <v>1055087.44</v>
          </cell>
          <cell r="AG183">
            <v>1047373.96</v>
          </cell>
          <cell r="AH183">
            <v>1250298.4099999999</v>
          </cell>
          <cell r="AJ183">
            <v>872082.93</v>
          </cell>
        </row>
        <row r="184">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270000</v>
          </cell>
          <cell r="AC184">
            <v>270000</v>
          </cell>
          <cell r="AD184">
            <v>270000</v>
          </cell>
          <cell r="AE184">
            <v>270000</v>
          </cell>
          <cell r="AF184">
            <v>270000</v>
          </cell>
          <cell r="AG184">
            <v>270000</v>
          </cell>
          <cell r="AH184">
            <v>270000</v>
          </cell>
          <cell r="AJ184">
            <v>0</v>
          </cell>
        </row>
        <row r="186">
          <cell r="J186">
            <v>453639.21</v>
          </cell>
          <cell r="K186">
            <v>477137.5</v>
          </cell>
          <cell r="L186">
            <v>475663.03</v>
          </cell>
          <cell r="M186">
            <v>456540.07</v>
          </cell>
          <cell r="N186">
            <v>414321.11</v>
          </cell>
          <cell r="O186">
            <v>412852.3</v>
          </cell>
          <cell r="P186">
            <v>854671.23</v>
          </cell>
          <cell r="Q186">
            <v>1145881.78</v>
          </cell>
          <cell r="R186">
            <v>1044729.23</v>
          </cell>
          <cell r="S186">
            <v>1065261.1399999999</v>
          </cell>
          <cell r="T186">
            <v>628268.77</v>
          </cell>
          <cell r="U186">
            <v>867696.66</v>
          </cell>
          <cell r="V186">
            <v>1043053.26</v>
          </cell>
          <cell r="W186">
            <v>1260887.94</v>
          </cell>
          <cell r="X186">
            <v>870781.29</v>
          </cell>
          <cell r="Y186">
            <v>906320.94</v>
          </cell>
          <cell r="Z186">
            <v>912298.68</v>
          </cell>
          <cell r="AA186">
            <v>1089143.24</v>
          </cell>
          <cell r="AB186">
            <v>1125351.72</v>
          </cell>
          <cell r="AC186">
            <v>474933.24</v>
          </cell>
          <cell r="AD186">
            <v>478133.13</v>
          </cell>
          <cell r="AE186">
            <v>647241.44999999995</v>
          </cell>
          <cell r="AF186">
            <v>470144.78</v>
          </cell>
          <cell r="AG186">
            <v>475520.68</v>
          </cell>
          <cell r="AH186">
            <v>517686.11</v>
          </cell>
          <cell r="AJ186">
            <v>477137.5</v>
          </cell>
        </row>
        <row r="188">
          <cell r="J188">
            <v>24429864.309999999</v>
          </cell>
          <cell r="K188">
            <v>15769750.630000001</v>
          </cell>
          <cell r="L188">
            <v>-27183889.789999999</v>
          </cell>
          <cell r="M188">
            <v>681211.69</v>
          </cell>
          <cell r="N188">
            <v>-41548252.659999996</v>
          </cell>
          <cell r="O188">
            <v>-27839281.280000001</v>
          </cell>
          <cell r="P188">
            <v>39845051.590000004</v>
          </cell>
          <cell r="Q188">
            <v>25240248.879999999</v>
          </cell>
          <cell r="R188">
            <v>-13831776.050000001</v>
          </cell>
          <cell r="S188">
            <v>-58319134.539999999</v>
          </cell>
          <cell r="T188">
            <v>10308580.33</v>
          </cell>
          <cell r="U188">
            <v>31708881.780000001</v>
          </cell>
          <cell r="V188">
            <v>26350872.690000001</v>
          </cell>
          <cell r="W188">
            <v>5471390.2199999997</v>
          </cell>
          <cell r="X188">
            <v>-31387758.390000001</v>
          </cell>
          <cell r="Y188">
            <v>-21310240.52</v>
          </cell>
          <cell r="Z188">
            <v>-28586129.039999999</v>
          </cell>
          <cell r="AA188">
            <v>23148594.09</v>
          </cell>
          <cell r="AB188">
            <v>39649177.020000003</v>
          </cell>
          <cell r="AC188">
            <v>9036219.3599999994</v>
          </cell>
          <cell r="AD188">
            <v>-8854679.5500000007</v>
          </cell>
          <cell r="AE188">
            <v>-53693682.810000002</v>
          </cell>
          <cell r="AF188">
            <v>2415502.75</v>
          </cell>
          <cell r="AG188">
            <v>42060567.869999997</v>
          </cell>
          <cell r="AH188">
            <v>26864344.129999999</v>
          </cell>
          <cell r="AJ188">
            <v>15769750.630000001</v>
          </cell>
        </row>
        <row r="189">
          <cell r="J189">
            <v>0</v>
          </cell>
          <cell r="K189">
            <v>0</v>
          </cell>
          <cell r="L189">
            <v>0</v>
          </cell>
          <cell r="M189">
            <v>0</v>
          </cell>
          <cell r="N189">
            <v>0</v>
          </cell>
          <cell r="O189">
            <v>0</v>
          </cell>
          <cell r="P189">
            <v>25370112.129999999</v>
          </cell>
          <cell r="Q189">
            <v>22425720.02</v>
          </cell>
          <cell r="R189">
            <v>-1901697.62</v>
          </cell>
          <cell r="S189">
            <v>-24327042.559999999</v>
          </cell>
          <cell r="T189">
            <v>3386719.38</v>
          </cell>
          <cell r="U189">
            <v>10459687.09</v>
          </cell>
          <cell r="V189">
            <v>8902622.0700000003</v>
          </cell>
          <cell r="W189">
            <v>-5525334.3899999997</v>
          </cell>
          <cell r="X189">
            <v>-21512829.699999999</v>
          </cell>
          <cell r="Y189">
            <v>-13078017.43</v>
          </cell>
          <cell r="Z189">
            <v>-17800181.18</v>
          </cell>
          <cell r="AA189">
            <v>18373849.039999999</v>
          </cell>
          <cell r="AB189">
            <v>23708602.449999999</v>
          </cell>
          <cell r="AC189">
            <v>14554869.77</v>
          </cell>
          <cell r="AD189">
            <v>2851763.98</v>
          </cell>
          <cell r="AE189">
            <v>-21816016.879999999</v>
          </cell>
          <cell r="AF189">
            <v>-70472.44</v>
          </cell>
          <cell r="AG189">
            <v>14813302.380000001</v>
          </cell>
          <cell r="AH189">
            <v>8973207.1799999997</v>
          </cell>
          <cell r="AJ189">
            <v>0</v>
          </cell>
        </row>
        <row r="190">
          <cell r="J190">
            <v>0</v>
          </cell>
          <cell r="K190">
            <v>0</v>
          </cell>
          <cell r="L190">
            <v>0</v>
          </cell>
          <cell r="M190">
            <v>0</v>
          </cell>
          <cell r="N190">
            <v>0</v>
          </cell>
          <cell r="O190">
            <v>0</v>
          </cell>
          <cell r="P190">
            <v>2265084.11</v>
          </cell>
          <cell r="Q190">
            <v>2321938.04</v>
          </cell>
          <cell r="R190">
            <v>2260512.54</v>
          </cell>
          <cell r="S190">
            <v>-5659357.2800000003</v>
          </cell>
          <cell r="T190">
            <v>1878070.35</v>
          </cell>
          <cell r="U190">
            <v>466811.97</v>
          </cell>
          <cell r="V190">
            <v>1911469.49</v>
          </cell>
          <cell r="W190">
            <v>2487027.36</v>
          </cell>
          <cell r="X190">
            <v>-2765637.72</v>
          </cell>
          <cell r="Y190">
            <v>-1677887.12</v>
          </cell>
          <cell r="Z190">
            <v>-2344906.66</v>
          </cell>
          <cell r="AA190">
            <v>356926.63</v>
          </cell>
          <cell r="AB190">
            <v>359411.49</v>
          </cell>
          <cell r="AC190">
            <v>1663641.54</v>
          </cell>
          <cell r="AD190">
            <v>2264839.62</v>
          </cell>
          <cell r="AE190">
            <v>-3536895.96</v>
          </cell>
          <cell r="AF190">
            <v>-210739.93</v>
          </cell>
          <cell r="AG190">
            <v>2062365.07</v>
          </cell>
          <cell r="AH190">
            <v>2597851.81</v>
          </cell>
          <cell r="AJ190">
            <v>0</v>
          </cell>
        </row>
        <row r="191">
          <cell r="J191">
            <v>21691143.609999999</v>
          </cell>
          <cell r="K191">
            <v>14656861.91</v>
          </cell>
          <cell r="L191">
            <v>-19323074.039999999</v>
          </cell>
          <cell r="M191">
            <v>446286.01</v>
          </cell>
          <cell r="N191">
            <v>-25319764.579999998</v>
          </cell>
          <cell r="O191">
            <v>-15220044.75</v>
          </cell>
          <cell r="P191">
            <v>5376022.9800000004</v>
          </cell>
          <cell r="Q191">
            <v>6988512.0499999998</v>
          </cell>
          <cell r="R191">
            <v>14433358.51</v>
          </cell>
          <cell r="S191">
            <v>-40033182.090000004</v>
          </cell>
          <cell r="T191">
            <v>7351643.4800000004</v>
          </cell>
          <cell r="U191">
            <v>6810777.4500000002</v>
          </cell>
          <cell r="V191">
            <v>13040518.33</v>
          </cell>
          <cell r="W191">
            <v>31164198.629999999</v>
          </cell>
          <cell r="X191">
            <v>-10369257.93</v>
          </cell>
          <cell r="Y191">
            <v>-6550865.7999999998</v>
          </cell>
          <cell r="Z191">
            <v>-9769723.3200000003</v>
          </cell>
          <cell r="AA191">
            <v>-9254329.4100000001</v>
          </cell>
          <cell r="AB191">
            <v>-3879188.9</v>
          </cell>
          <cell r="AC191">
            <v>4027909.37</v>
          </cell>
          <cell r="AD191">
            <v>15352320.039999999</v>
          </cell>
          <cell r="AE191">
            <v>-27527205.829999998</v>
          </cell>
          <cell r="AF191">
            <v>-6640905.3600000003</v>
          </cell>
          <cell r="AG191">
            <v>13316602.99</v>
          </cell>
          <cell r="AH191">
            <v>22106059.440000001</v>
          </cell>
          <cell r="AJ191">
            <v>14656861.91</v>
          </cell>
        </row>
        <row r="192">
          <cell r="J192">
            <v>26308966.780000001</v>
          </cell>
          <cell r="K192">
            <v>19807534.170000002</v>
          </cell>
          <cell r="L192">
            <v>-25343209.850000001</v>
          </cell>
          <cell r="M192">
            <v>572179.29</v>
          </cell>
          <cell r="N192">
            <v>-30713604.629999999</v>
          </cell>
          <cell r="O192">
            <v>-16700633.07</v>
          </cell>
          <cell r="P192">
            <v>-14007908.51</v>
          </cell>
          <cell r="Q192">
            <v>32091873.859999999</v>
          </cell>
          <cell r="R192">
            <v>39683356.219999999</v>
          </cell>
          <cell r="S192">
            <v>-42236452.18</v>
          </cell>
          <cell r="T192">
            <v>16016819.08</v>
          </cell>
          <cell r="U192">
            <v>-18076838.359999999</v>
          </cell>
          <cell r="V192">
            <v>-3565749.24</v>
          </cell>
          <cell r="W192">
            <v>50892851.600000001</v>
          </cell>
          <cell r="X192">
            <v>-7721026.54</v>
          </cell>
          <cell r="Y192">
            <v>-1671722.45</v>
          </cell>
          <cell r="Z192">
            <v>5390085.0099999998</v>
          </cell>
          <cell r="AA192">
            <v>-36343412.07</v>
          </cell>
          <cell r="AB192">
            <v>-23587998.52</v>
          </cell>
          <cell r="AC192">
            <v>9141191.8499999996</v>
          </cell>
          <cell r="AD192">
            <v>41481693.119999997</v>
          </cell>
          <cell r="AE192">
            <v>-20602494.579999998</v>
          </cell>
          <cell r="AF192">
            <v>-1720755.46</v>
          </cell>
          <cell r="AG192">
            <v>-9071355.2300000004</v>
          </cell>
          <cell r="AH192">
            <v>6996556.2599999998</v>
          </cell>
          <cell r="AJ192">
            <v>19807534.170000002</v>
          </cell>
        </row>
        <row r="193">
          <cell r="J193">
            <v>2789990.36</v>
          </cell>
          <cell r="K193">
            <v>2137497.9300000002</v>
          </cell>
          <cell r="L193">
            <v>-3124246.61</v>
          </cell>
          <cell r="M193">
            <v>74096.19</v>
          </cell>
          <cell r="N193">
            <v>-3989139.4</v>
          </cell>
          <cell r="O193">
            <v>-2280661.52</v>
          </cell>
          <cell r="P193">
            <v>-1349069.83</v>
          </cell>
          <cell r="Q193">
            <v>6212280.9299999997</v>
          </cell>
          <cell r="R193">
            <v>5392621.4800000004</v>
          </cell>
          <cell r="S193">
            <v>-5147449.93</v>
          </cell>
          <cell r="T193">
            <v>3772113.66</v>
          </cell>
          <cell r="U193">
            <v>-4591851.71</v>
          </cell>
          <cell r="V193">
            <v>-137950.15</v>
          </cell>
          <cell r="W193">
            <v>2588681.23</v>
          </cell>
          <cell r="X193">
            <v>-3027353</v>
          </cell>
          <cell r="Y193">
            <v>-70657.63</v>
          </cell>
          <cell r="Z193">
            <v>-1106255.02</v>
          </cell>
          <cell r="AA193">
            <v>-1963895.73</v>
          </cell>
          <cell r="AB193">
            <v>-2886445.95</v>
          </cell>
          <cell r="AC193">
            <v>4451734.8499999996</v>
          </cell>
          <cell r="AD193">
            <v>5650611.6699999999</v>
          </cell>
          <cell r="AE193">
            <v>-2307907.73</v>
          </cell>
          <cell r="AF193">
            <v>2146453</v>
          </cell>
          <cell r="AG193">
            <v>-4403820.37</v>
          </cell>
          <cell r="AH193">
            <v>1620944.23</v>
          </cell>
          <cell r="AJ193">
            <v>2137497.9300000002</v>
          </cell>
        </row>
        <row r="194">
          <cell r="J194">
            <v>248412.55</v>
          </cell>
          <cell r="K194">
            <v>189422.67</v>
          </cell>
          <cell r="L194">
            <v>-279087.21000000002</v>
          </cell>
          <cell r="M194">
            <v>6956.37</v>
          </cell>
          <cell r="N194">
            <v>-372626.91</v>
          </cell>
          <cell r="O194">
            <v>-235061.79</v>
          </cell>
          <cell r="P194">
            <v>79712.179999999993</v>
          </cell>
          <cell r="Q194">
            <v>575559.37</v>
          </cell>
          <cell r="R194">
            <v>801618.95</v>
          </cell>
          <cell r="S194">
            <v>-338770.27</v>
          </cell>
          <cell r="T194">
            <v>188062.88</v>
          </cell>
          <cell r="U194">
            <v>-55517.38</v>
          </cell>
          <cell r="V194">
            <v>-103787.87</v>
          </cell>
          <cell r="W194">
            <v>244079.98</v>
          </cell>
          <cell r="X194">
            <v>-412920.57</v>
          </cell>
          <cell r="Y194">
            <v>-10257.07</v>
          </cell>
          <cell r="Z194">
            <v>-208453.74</v>
          </cell>
          <cell r="AA194">
            <v>-572618.80000000005</v>
          </cell>
          <cell r="AB194">
            <v>-10.119999999999999</v>
          </cell>
          <cell r="AC194">
            <v>551599.4</v>
          </cell>
          <cell r="AD194">
            <v>1078423.05</v>
          </cell>
          <cell r="AE194">
            <v>-120065.65</v>
          </cell>
          <cell r="AF194">
            <v>-2646.82</v>
          </cell>
          <cell r="AG194">
            <v>-11558.74</v>
          </cell>
          <cell r="AH194">
            <v>49513.3</v>
          </cell>
          <cell r="AJ194">
            <v>189422.67</v>
          </cell>
        </row>
        <row r="195">
          <cell r="J195">
            <v>7313270.0300000003</v>
          </cell>
          <cell r="K195">
            <v>5125733.18</v>
          </cell>
          <cell r="L195">
            <v>-6591502.2999999998</v>
          </cell>
          <cell r="M195">
            <v>149063.29</v>
          </cell>
          <cell r="N195">
            <v>-8514374.3599999994</v>
          </cell>
          <cell r="O195">
            <v>-4841305.04</v>
          </cell>
          <cell r="P195">
            <v>1743352.51</v>
          </cell>
          <cell r="Q195">
            <v>1223805.23</v>
          </cell>
          <cell r="R195">
            <v>3474837.84</v>
          </cell>
          <cell r="S195">
            <v>-10652855.119999999</v>
          </cell>
          <cell r="T195">
            <v>3234052.03</v>
          </cell>
          <cell r="U195">
            <v>1179256.03</v>
          </cell>
          <cell r="V195">
            <v>4019070.98</v>
          </cell>
          <cell r="W195">
            <v>12162543.34</v>
          </cell>
          <cell r="X195">
            <v>-4744615.83</v>
          </cell>
          <cell r="Y195">
            <v>-1904723.66</v>
          </cell>
          <cell r="Z195">
            <v>-897164.34</v>
          </cell>
          <cell r="AA195">
            <v>-5384893.1799999997</v>
          </cell>
          <cell r="AB195">
            <v>-497555.38</v>
          </cell>
          <cell r="AC195">
            <v>-1710542.96</v>
          </cell>
          <cell r="AD195">
            <v>3791041.45</v>
          </cell>
          <cell r="AE195">
            <v>-3648049.9</v>
          </cell>
          <cell r="AF195">
            <v>-2644271.87</v>
          </cell>
          <cell r="AG195">
            <v>5023925.5</v>
          </cell>
          <cell r="AH195">
            <v>4448307.07</v>
          </cell>
          <cell r="AJ195">
            <v>5125733.18</v>
          </cell>
        </row>
        <row r="196">
          <cell r="J196">
            <v>427108.7</v>
          </cell>
          <cell r="K196">
            <v>292554.76</v>
          </cell>
          <cell r="L196">
            <v>-414199.01</v>
          </cell>
          <cell r="M196">
            <v>9355.91</v>
          </cell>
          <cell r="N196">
            <v>-530477.38</v>
          </cell>
          <cell r="O196">
            <v>-316043.81</v>
          </cell>
          <cell r="P196">
            <v>146570.35</v>
          </cell>
          <cell r="Q196">
            <v>337541.55</v>
          </cell>
          <cell r="R196">
            <v>547061.82999999996</v>
          </cell>
          <cell r="S196">
            <v>-710504.84</v>
          </cell>
          <cell r="T196">
            <v>-13994.08</v>
          </cell>
          <cell r="U196">
            <v>21945.200000000001</v>
          </cell>
          <cell r="V196">
            <v>121170.72</v>
          </cell>
          <cell r="W196">
            <v>542701.79</v>
          </cell>
          <cell r="X196">
            <v>-251529.3</v>
          </cell>
          <cell r="Y196">
            <v>-200792</v>
          </cell>
          <cell r="Z196">
            <v>-240013.75</v>
          </cell>
          <cell r="AA196">
            <v>-83313.89</v>
          </cell>
          <cell r="AB196">
            <v>-77019.83</v>
          </cell>
          <cell r="AC196">
            <v>261781.29</v>
          </cell>
          <cell r="AD196">
            <v>715300.78</v>
          </cell>
          <cell r="AE196">
            <v>-339935.59</v>
          </cell>
          <cell r="AF196">
            <v>-589454.29</v>
          </cell>
          <cell r="AG196">
            <v>370781.64</v>
          </cell>
          <cell r="AH196">
            <v>251268.37</v>
          </cell>
          <cell r="AJ196">
            <v>292554.76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J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J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J199">
            <v>0</v>
          </cell>
        </row>
        <row r="201">
          <cell r="J201">
            <v>992468.09</v>
          </cell>
          <cell r="K201">
            <v>1022709.1</v>
          </cell>
          <cell r="L201">
            <v>-1212003.95</v>
          </cell>
          <cell r="M201">
            <v>137325.04999999999</v>
          </cell>
          <cell r="N201">
            <v>-1812528.29</v>
          </cell>
          <cell r="O201">
            <v>-1554994.63</v>
          </cell>
          <cell r="P201">
            <v>1723346.89</v>
          </cell>
          <cell r="Q201">
            <v>754015.53</v>
          </cell>
          <cell r="R201">
            <v>-928894.46</v>
          </cell>
          <cell r="S201">
            <v>-2543848.0099999998</v>
          </cell>
          <cell r="T201">
            <v>764937.53</v>
          </cell>
          <cell r="U201">
            <v>1514690.08</v>
          </cell>
          <cell r="V201">
            <v>1037148.22</v>
          </cell>
          <cell r="W201">
            <v>83155.94</v>
          </cell>
          <cell r="X201">
            <v>-1376122.94</v>
          </cell>
          <cell r="Y201">
            <v>-782641.22</v>
          </cell>
          <cell r="Z201">
            <v>-1003989.59</v>
          </cell>
          <cell r="AA201">
            <v>1198252.6200000001</v>
          </cell>
          <cell r="AB201">
            <v>1446010.68</v>
          </cell>
          <cell r="AC201">
            <v>87144.54</v>
          </cell>
          <cell r="AD201">
            <v>-515840.76</v>
          </cell>
          <cell r="AE201">
            <v>-2179717.8199999998</v>
          </cell>
          <cell r="AF201">
            <v>294116.05</v>
          </cell>
          <cell r="AG201">
            <v>1882516.34</v>
          </cell>
          <cell r="AH201">
            <v>1028492.19</v>
          </cell>
          <cell r="AJ201">
            <v>1022709.1</v>
          </cell>
        </row>
        <row r="202">
          <cell r="J202">
            <v>0</v>
          </cell>
          <cell r="K202">
            <v>0</v>
          </cell>
          <cell r="L202">
            <v>0</v>
          </cell>
          <cell r="M202">
            <v>0</v>
          </cell>
          <cell r="N202">
            <v>0</v>
          </cell>
          <cell r="O202">
            <v>0</v>
          </cell>
          <cell r="P202">
            <v>1063981.6100000001</v>
          </cell>
          <cell r="Q202">
            <v>791291.83</v>
          </cell>
          <cell r="R202">
            <v>-256565.53</v>
          </cell>
          <cell r="S202">
            <v>-1083856.8</v>
          </cell>
          <cell r="T202">
            <v>270746.28000000003</v>
          </cell>
          <cell r="U202">
            <v>506946.71</v>
          </cell>
          <cell r="V202">
            <v>337449.23</v>
          </cell>
          <cell r="W202">
            <v>-327587.38</v>
          </cell>
          <cell r="X202">
            <v>-866603.45</v>
          </cell>
          <cell r="Y202">
            <v>-450184.05</v>
          </cell>
          <cell r="Z202">
            <v>-613311.56000000006</v>
          </cell>
          <cell r="AA202">
            <v>862817.11</v>
          </cell>
          <cell r="AB202">
            <v>866136.65</v>
          </cell>
          <cell r="AC202">
            <v>474306.73</v>
          </cell>
          <cell r="AD202">
            <v>40777.18</v>
          </cell>
          <cell r="AE202">
            <v>-904925.64</v>
          </cell>
          <cell r="AF202">
            <v>72779.399999999994</v>
          </cell>
          <cell r="AG202">
            <v>656177.67000000004</v>
          </cell>
          <cell r="AH202">
            <v>327562.02</v>
          </cell>
          <cell r="AJ202">
            <v>0</v>
          </cell>
        </row>
        <row r="203">
          <cell r="J203">
            <v>0</v>
          </cell>
          <cell r="K203">
            <v>0</v>
          </cell>
          <cell r="L203">
            <v>0</v>
          </cell>
          <cell r="M203">
            <v>0</v>
          </cell>
          <cell r="N203">
            <v>0</v>
          </cell>
          <cell r="O203">
            <v>0</v>
          </cell>
          <cell r="P203">
            <v>107821.7</v>
          </cell>
          <cell r="Q203">
            <v>68441.23</v>
          </cell>
          <cell r="R203">
            <v>88503.53</v>
          </cell>
          <cell r="S203">
            <v>-260849.29</v>
          </cell>
          <cell r="T203">
            <v>122807</v>
          </cell>
          <cell r="U203">
            <v>25476.92</v>
          </cell>
          <cell r="V203">
            <v>89288.29</v>
          </cell>
          <cell r="W203">
            <v>91381.47</v>
          </cell>
          <cell r="X203">
            <v>-142430.92000000001</v>
          </cell>
          <cell r="Y203">
            <v>-74785.58</v>
          </cell>
          <cell r="Z203">
            <v>-81443.490000000005</v>
          </cell>
          <cell r="AA203">
            <v>46423.72</v>
          </cell>
          <cell r="AB203">
            <v>-9567.75</v>
          </cell>
          <cell r="AC203">
            <v>49473.279999999999</v>
          </cell>
          <cell r="AD203">
            <v>107938.78</v>
          </cell>
          <cell r="AE203">
            <v>-139305.01999999999</v>
          </cell>
          <cell r="AF203">
            <v>4734.38</v>
          </cell>
          <cell r="AG203">
            <v>92656.21</v>
          </cell>
          <cell r="AH203">
            <v>111692.96</v>
          </cell>
          <cell r="AJ203">
            <v>0</v>
          </cell>
        </row>
        <row r="204">
          <cell r="J204">
            <v>613980.61</v>
          </cell>
          <cell r="K204">
            <v>574554.71</v>
          </cell>
          <cell r="L204">
            <v>-890714.5</v>
          </cell>
          <cell r="M204">
            <v>87375.91</v>
          </cell>
          <cell r="N204">
            <v>-886840.99</v>
          </cell>
          <cell r="O204">
            <v>-1930028.92</v>
          </cell>
          <cell r="P204">
            <v>191547.94</v>
          </cell>
          <cell r="Q204">
            <v>117100.4</v>
          </cell>
          <cell r="R204">
            <v>450966.04</v>
          </cell>
          <cell r="S204">
            <v>-1638970.03</v>
          </cell>
          <cell r="T204">
            <v>519020.85</v>
          </cell>
          <cell r="U204">
            <v>401453.31</v>
          </cell>
          <cell r="V204">
            <v>502577.33</v>
          </cell>
          <cell r="W204">
            <v>1172199.51</v>
          </cell>
          <cell r="X204">
            <v>-532453.07999999996</v>
          </cell>
          <cell r="Y204">
            <v>-286979.61</v>
          </cell>
          <cell r="Z204">
            <v>-267727.21999999997</v>
          </cell>
          <cell r="AA204">
            <v>-185914.96</v>
          </cell>
          <cell r="AB204">
            <v>-393616.14</v>
          </cell>
          <cell r="AC204">
            <v>87260.160000000003</v>
          </cell>
          <cell r="AD204">
            <v>642873.1</v>
          </cell>
          <cell r="AE204">
            <v>-1008668.57</v>
          </cell>
          <cell r="AF204">
            <v>-201343.21</v>
          </cell>
          <cell r="AG204">
            <v>619633.42000000004</v>
          </cell>
          <cell r="AH204">
            <v>770862.21</v>
          </cell>
          <cell r="AJ204">
            <v>574554.71</v>
          </cell>
        </row>
        <row r="205">
          <cell r="J205">
            <v>755971.97</v>
          </cell>
          <cell r="K205">
            <v>522980.91</v>
          </cell>
          <cell r="L205">
            <v>-828162.43</v>
          </cell>
          <cell r="M205">
            <v>14716.44</v>
          </cell>
          <cell r="N205">
            <v>-1069814.01</v>
          </cell>
          <cell r="O205">
            <v>-843763.06</v>
          </cell>
          <cell r="P205">
            <v>-254584.35</v>
          </cell>
          <cell r="Q205">
            <v>851214.08</v>
          </cell>
          <cell r="R205">
            <v>997304.8</v>
          </cell>
          <cell r="S205">
            <v>-1440925.71</v>
          </cell>
          <cell r="T205">
            <v>832238.06</v>
          </cell>
          <cell r="U205">
            <v>-617176.86</v>
          </cell>
          <cell r="V205">
            <v>30349.32</v>
          </cell>
          <cell r="W205">
            <v>1506168.61</v>
          </cell>
          <cell r="X205">
            <v>-244638.87</v>
          </cell>
          <cell r="Y205">
            <v>-94362.28</v>
          </cell>
          <cell r="Z205">
            <v>429899.58</v>
          </cell>
          <cell r="AA205">
            <v>-1225430.3400000001</v>
          </cell>
          <cell r="AB205">
            <v>-779307.09</v>
          </cell>
          <cell r="AC205">
            <v>273801.53000000003</v>
          </cell>
          <cell r="AD205">
            <v>1313001.06</v>
          </cell>
          <cell r="AE205">
            <v>-688208.3</v>
          </cell>
          <cell r="AF205">
            <v>91413.42</v>
          </cell>
          <cell r="AG205">
            <v>-433782.33</v>
          </cell>
          <cell r="AH205">
            <v>204373.55</v>
          </cell>
          <cell r="AJ205">
            <v>522980.91</v>
          </cell>
        </row>
        <row r="206">
          <cell r="J206">
            <v>105129.15</v>
          </cell>
          <cell r="K206">
            <v>112505.42</v>
          </cell>
          <cell r="L206">
            <v>-105632.04</v>
          </cell>
          <cell r="M206">
            <v>-7348.84</v>
          </cell>
          <cell r="N206">
            <v>-139659.10999999999</v>
          </cell>
          <cell r="O206">
            <v>-138626.54</v>
          </cell>
          <cell r="P206">
            <v>-47201.919999999998</v>
          </cell>
          <cell r="Q206">
            <v>208757.26</v>
          </cell>
          <cell r="R206">
            <v>178004.49</v>
          </cell>
          <cell r="S206">
            <v>-241631.18</v>
          </cell>
          <cell r="T206">
            <v>192202.25</v>
          </cell>
          <cell r="U206">
            <v>-192895.15</v>
          </cell>
          <cell r="V206">
            <v>15812.65</v>
          </cell>
          <cell r="W206">
            <v>62417.85</v>
          </cell>
          <cell r="X206">
            <v>-77648.69</v>
          </cell>
          <cell r="Y206">
            <v>12919.44</v>
          </cell>
          <cell r="Z206">
            <v>-8133.49</v>
          </cell>
          <cell r="AA206">
            <v>-71669.070000000007</v>
          </cell>
          <cell r="AB206">
            <v>-142159.34</v>
          </cell>
          <cell r="AC206">
            <v>158858.92000000001</v>
          </cell>
          <cell r="AD206">
            <v>211217</v>
          </cell>
          <cell r="AE206">
            <v>-112005.11</v>
          </cell>
          <cell r="AF206">
            <v>100348.1</v>
          </cell>
          <cell r="AG206">
            <v>-184856.46</v>
          </cell>
          <cell r="AH206">
            <v>84815.99</v>
          </cell>
          <cell r="AJ206">
            <v>112505.42</v>
          </cell>
        </row>
        <row r="207">
          <cell r="J207">
            <v>78630.460000000006</v>
          </cell>
          <cell r="K207">
            <v>40307.46</v>
          </cell>
          <cell r="L207">
            <v>10783.58</v>
          </cell>
          <cell r="M207">
            <v>-35418.35</v>
          </cell>
          <cell r="N207">
            <v>35132.78</v>
          </cell>
          <cell r="O207">
            <v>-18660.150000000001</v>
          </cell>
          <cell r="P207">
            <v>12549.27</v>
          </cell>
          <cell r="Q207">
            <v>38896.559999999998</v>
          </cell>
          <cell r="R207">
            <v>77531.8</v>
          </cell>
          <cell r="S207">
            <v>-64201.53</v>
          </cell>
          <cell r="T207">
            <v>11983.72</v>
          </cell>
          <cell r="U207">
            <v>-23965.759999999998</v>
          </cell>
          <cell r="V207">
            <v>-37368.9</v>
          </cell>
          <cell r="W207">
            <v>52971.47</v>
          </cell>
          <cell r="X207">
            <v>-39489.68</v>
          </cell>
          <cell r="Y207">
            <v>29656.59</v>
          </cell>
          <cell r="Z207">
            <v>-26759.01</v>
          </cell>
          <cell r="AA207">
            <v>-11253.86</v>
          </cell>
          <cell r="AB207">
            <v>4386.79</v>
          </cell>
          <cell r="AC207">
            <v>30843.14</v>
          </cell>
          <cell r="AD207">
            <v>103358.76</v>
          </cell>
          <cell r="AE207">
            <v>-41886.22</v>
          </cell>
          <cell r="AF207">
            <v>-15078.6</v>
          </cell>
          <cell r="AG207">
            <v>-23664.54</v>
          </cell>
          <cell r="AH207">
            <v>-14056.8</v>
          </cell>
          <cell r="AJ207">
            <v>40307.46</v>
          </cell>
        </row>
        <row r="208">
          <cell r="J208">
            <v>186185</v>
          </cell>
          <cell r="K208">
            <v>179773.39</v>
          </cell>
          <cell r="L208">
            <v>-255510.21</v>
          </cell>
          <cell r="M208">
            <v>4333.92</v>
          </cell>
          <cell r="N208">
            <v>-319762.5</v>
          </cell>
          <cell r="O208">
            <v>-177120.08</v>
          </cell>
          <cell r="P208">
            <v>68308.27</v>
          </cell>
          <cell r="Q208">
            <v>-54934.07</v>
          </cell>
          <cell r="R208">
            <v>47481.02</v>
          </cell>
          <cell r="S208">
            <v>-333443.08</v>
          </cell>
          <cell r="T208">
            <v>174322.59</v>
          </cell>
          <cell r="U208">
            <v>128809.98</v>
          </cell>
          <cell r="V208">
            <v>96555.15</v>
          </cell>
          <cell r="W208">
            <v>405652.03</v>
          </cell>
          <cell r="X208">
            <v>-204920.85</v>
          </cell>
          <cell r="Y208">
            <v>-57650.31</v>
          </cell>
          <cell r="Z208">
            <v>37793.379999999997</v>
          </cell>
          <cell r="AA208">
            <v>-157325.85</v>
          </cell>
          <cell r="AB208">
            <v>-87179.79</v>
          </cell>
          <cell r="AC208">
            <v>-142849.16</v>
          </cell>
          <cell r="AD208">
            <v>144118.29999999999</v>
          </cell>
          <cell r="AE208">
            <v>-52464.959999999999</v>
          </cell>
          <cell r="AF208">
            <v>-105854.95</v>
          </cell>
          <cell r="AG208">
            <v>269136.28000000003</v>
          </cell>
          <cell r="AH208">
            <v>75199.48</v>
          </cell>
          <cell r="AJ208">
            <v>179773.39</v>
          </cell>
        </row>
        <row r="209">
          <cell r="J209">
            <v>10749.35</v>
          </cell>
          <cell r="K209">
            <v>13873.93</v>
          </cell>
          <cell r="L209">
            <v>-16268.66</v>
          </cell>
          <cell r="M209">
            <v>2611.92</v>
          </cell>
          <cell r="N209">
            <v>-15602.25</v>
          </cell>
          <cell r="O209">
            <v>-28057.34</v>
          </cell>
          <cell r="P209">
            <v>7178.74</v>
          </cell>
          <cell r="Q209">
            <v>8110.57</v>
          </cell>
          <cell r="R209">
            <v>17811.099999999999</v>
          </cell>
          <cell r="S209">
            <v>-26666.25</v>
          </cell>
          <cell r="T209">
            <v>3821.91</v>
          </cell>
          <cell r="U209">
            <v>3125.91</v>
          </cell>
          <cell r="V209">
            <v>4172.7700000000004</v>
          </cell>
          <cell r="W209">
            <v>16694.419999999998</v>
          </cell>
          <cell r="X209">
            <v>-9337.86</v>
          </cell>
          <cell r="Y209">
            <v>-9526.92</v>
          </cell>
          <cell r="Z209">
            <v>-6179.14</v>
          </cell>
          <cell r="AA209">
            <v>620.29</v>
          </cell>
          <cell r="AB209">
            <v>-5125.91</v>
          </cell>
          <cell r="AC209">
            <v>7421.94</v>
          </cell>
          <cell r="AD209">
            <v>27645.84</v>
          </cell>
          <cell r="AE209">
            <v>-10709.29</v>
          </cell>
          <cell r="AF209">
            <v>-20672.93</v>
          </cell>
          <cell r="AG209">
            <v>15323.38</v>
          </cell>
          <cell r="AH209">
            <v>6877.12</v>
          </cell>
          <cell r="AJ209">
            <v>13873.93</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J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J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J212">
            <v>0</v>
          </cell>
        </row>
        <row r="214">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J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J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J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J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J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J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J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J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J222">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12598000</v>
          </cell>
          <cell r="AC224">
            <v>0</v>
          </cell>
          <cell r="AD224">
            <v>0</v>
          </cell>
          <cell r="AE224">
            <v>0</v>
          </cell>
          <cell r="AF224">
            <v>0</v>
          </cell>
          <cell r="AG224">
            <v>0</v>
          </cell>
          <cell r="AH224">
            <v>0</v>
          </cell>
          <cell r="AJ224">
            <v>0</v>
          </cell>
        </row>
        <row r="226">
          <cell r="J226">
            <v>0</v>
          </cell>
          <cell r="K226">
            <v>0</v>
          </cell>
          <cell r="L226">
            <v>0</v>
          </cell>
          <cell r="M226">
            <v>0</v>
          </cell>
          <cell r="N226">
            <v>0</v>
          </cell>
          <cell r="O226">
            <v>0</v>
          </cell>
          <cell r="P226">
            <v>2267791537.5700002</v>
          </cell>
          <cell r="Q226">
            <v>1967499913.9000001</v>
          </cell>
          <cell r="R226">
            <v>1990300889.75</v>
          </cell>
          <cell r="S226">
            <v>1986463315.24</v>
          </cell>
          <cell r="T226">
            <v>2170761144.6300001</v>
          </cell>
          <cell r="U226">
            <v>2168125375.25</v>
          </cell>
          <cell r="V226">
            <v>2026105664.25</v>
          </cell>
          <cell r="W226">
            <v>1954265390.9200001</v>
          </cell>
          <cell r="X226">
            <v>1606236217.6900001</v>
          </cell>
          <cell r="Y226">
            <v>1821300431.6300001</v>
          </cell>
          <cell r="Z226">
            <v>1999786686.54</v>
          </cell>
          <cell r="AA226">
            <v>2357052016.1999998</v>
          </cell>
          <cell r="AB226">
            <v>2348637744.5500002</v>
          </cell>
          <cell r="AC226">
            <v>2008674747.0899999</v>
          </cell>
          <cell r="AD226">
            <v>1888883716.1900001</v>
          </cell>
          <cell r="AE226">
            <v>2024327675.46</v>
          </cell>
          <cell r="AF226">
            <v>2258213062.23</v>
          </cell>
          <cell r="AG226">
            <v>2315774283.4699998</v>
          </cell>
          <cell r="AH226">
            <v>2225264495.8499999</v>
          </cell>
          <cell r="AJ226">
            <v>0</v>
          </cell>
        </row>
        <row r="227">
          <cell r="J227">
            <v>0</v>
          </cell>
          <cell r="K227">
            <v>0</v>
          </cell>
          <cell r="L227">
            <v>0</v>
          </cell>
          <cell r="M227">
            <v>0</v>
          </cell>
          <cell r="N227">
            <v>0</v>
          </cell>
          <cell r="O227">
            <v>0</v>
          </cell>
          <cell r="P227">
            <v>87571678.200000003</v>
          </cell>
          <cell r="Q227">
            <v>78490138.819999993</v>
          </cell>
          <cell r="R227">
            <v>76398536.030000001</v>
          </cell>
          <cell r="S227">
            <v>80195187.760000005</v>
          </cell>
          <cell r="T227">
            <v>92824456.75</v>
          </cell>
          <cell r="U227">
            <v>93357371.640000001</v>
          </cell>
          <cell r="V227">
            <v>84416894.819999993</v>
          </cell>
          <cell r="W227">
            <v>77301710.5</v>
          </cell>
          <cell r="X227">
            <v>70955916.689999998</v>
          </cell>
          <cell r="Y227">
            <v>77450769.810000002</v>
          </cell>
          <cell r="Z227">
            <v>82013807.900000006</v>
          </cell>
          <cell r="AA227">
            <v>82013807.900000006</v>
          </cell>
          <cell r="AB227">
            <v>109041000</v>
          </cell>
          <cell r="AC227">
            <v>93315000</v>
          </cell>
          <cell r="AD227">
            <v>89916000</v>
          </cell>
          <cell r="AE227">
            <v>97275000</v>
          </cell>
          <cell r="AF227">
            <v>108740000</v>
          </cell>
          <cell r="AG227">
            <v>119995000</v>
          </cell>
          <cell r="AH227">
            <v>100003000</v>
          </cell>
          <cell r="AJ227">
            <v>0</v>
          </cell>
        </row>
        <row r="228">
          <cell r="J228">
            <v>0</v>
          </cell>
          <cell r="K228">
            <v>0</v>
          </cell>
          <cell r="L228">
            <v>0</v>
          </cell>
          <cell r="M228">
            <v>0</v>
          </cell>
          <cell r="N228">
            <v>0</v>
          </cell>
          <cell r="O228">
            <v>0</v>
          </cell>
          <cell r="P228">
            <v>109739867.69</v>
          </cell>
          <cell r="Q228">
            <v>88724989.409999996</v>
          </cell>
          <cell r="R228">
            <v>71961139.969999999</v>
          </cell>
          <cell r="S228">
            <v>63372074.719999999</v>
          </cell>
          <cell r="T228">
            <v>71151338.180000007</v>
          </cell>
          <cell r="U228">
            <v>70036204.420000002</v>
          </cell>
          <cell r="V228">
            <v>64338309.229999997</v>
          </cell>
          <cell r="W228">
            <v>66822999.060000002</v>
          </cell>
          <cell r="X228">
            <v>71792248.969999999</v>
          </cell>
          <cell r="Y228">
            <v>91085101.590000004</v>
          </cell>
          <cell r="Z228">
            <v>93516091.390000001</v>
          </cell>
          <cell r="AA228">
            <v>93516091.390000001</v>
          </cell>
          <cell r="AB228">
            <v>103544836.27</v>
          </cell>
          <cell r="AC228">
            <v>82446092.489999995</v>
          </cell>
          <cell r="AD228">
            <v>74061946.010000005</v>
          </cell>
          <cell r="AE228">
            <v>63075788.100000001</v>
          </cell>
          <cell r="AF228">
            <v>70111623.400000006</v>
          </cell>
          <cell r="AG228">
            <v>67125588.829999998</v>
          </cell>
          <cell r="AH228">
            <v>64921905.990000002</v>
          </cell>
          <cell r="AJ228">
            <v>0</v>
          </cell>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J230">
            <v>0</v>
          </cell>
        </row>
        <row r="231">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J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J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J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J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J235">
            <v>0</v>
          </cell>
        </row>
        <row r="236">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J236">
            <v>0</v>
          </cell>
        </row>
        <row r="237">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J237">
            <v>0</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J238">
            <v>0</v>
          </cell>
        </row>
        <row r="239">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J239">
            <v>0</v>
          </cell>
        </row>
        <row r="240">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J240">
            <v>0</v>
          </cell>
        </row>
        <row r="241">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J241">
            <v>0</v>
          </cell>
        </row>
        <row r="243">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J243">
            <v>0</v>
          </cell>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J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J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J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J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J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J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J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J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J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J253">
            <v>0</v>
          </cell>
        </row>
        <row r="254">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J254">
            <v>0</v>
          </cell>
        </row>
        <row r="256">
          <cell r="J256">
            <v>22682202.199999999</v>
          </cell>
          <cell r="K256">
            <v>23536609.100000001</v>
          </cell>
          <cell r="L256">
            <v>34557126</v>
          </cell>
          <cell r="M256">
            <v>38673608.399999999</v>
          </cell>
          <cell r="N256">
            <v>46001001.100000001</v>
          </cell>
          <cell r="O256">
            <v>56599201.100000001</v>
          </cell>
          <cell r="P256">
            <v>24268539.600000001</v>
          </cell>
          <cell r="Q256">
            <v>16106628.199999999</v>
          </cell>
          <cell r="R256">
            <v>11889854</v>
          </cell>
          <cell r="S256">
            <v>12421659.4</v>
          </cell>
          <cell r="T256">
            <v>13338279.4</v>
          </cell>
          <cell r="U256">
            <v>13677823.199999999</v>
          </cell>
          <cell r="V256">
            <v>10916709.9</v>
          </cell>
          <cell r="W256">
            <v>11844715.5</v>
          </cell>
          <cell r="X256">
            <v>17318571.399999999</v>
          </cell>
          <cell r="Y256">
            <v>22293856.100000001</v>
          </cell>
          <cell r="Z256">
            <v>24484778.5</v>
          </cell>
          <cell r="AA256">
            <v>30165005.100000001</v>
          </cell>
          <cell r="AB256">
            <v>22743858.699999999</v>
          </cell>
          <cell r="AC256">
            <v>14646482.800000001</v>
          </cell>
          <cell r="AD256">
            <v>12022023.699999999</v>
          </cell>
          <cell r="AE256">
            <v>11841886.300000001</v>
          </cell>
          <cell r="AF256">
            <v>13080196</v>
          </cell>
          <cell r="AG256">
            <v>12695306.6</v>
          </cell>
          <cell r="AH256">
            <v>11395703.800000001</v>
          </cell>
          <cell r="AJ256">
            <v>23536609.100000001</v>
          </cell>
        </row>
        <row r="257">
          <cell r="J257">
            <v>0</v>
          </cell>
          <cell r="K257">
            <v>0</v>
          </cell>
          <cell r="L257">
            <v>0</v>
          </cell>
          <cell r="M257">
            <v>0</v>
          </cell>
          <cell r="N257">
            <v>0</v>
          </cell>
          <cell r="O257">
            <v>0</v>
          </cell>
          <cell r="P257">
            <v>21756728.800000001</v>
          </cell>
          <cell r="Q257">
            <v>14851381.9</v>
          </cell>
          <cell r="R257">
            <v>10994785.1</v>
          </cell>
          <cell r="S257">
            <v>11413222.800000001</v>
          </cell>
          <cell r="T257">
            <v>12124208.1</v>
          </cell>
          <cell r="U257">
            <v>12558820.9</v>
          </cell>
          <cell r="V257">
            <v>10110751.800000001</v>
          </cell>
          <cell r="W257">
            <v>10955074</v>
          </cell>
          <cell r="X257">
            <v>16107482.1</v>
          </cell>
          <cell r="Y257">
            <v>20193869.699999999</v>
          </cell>
          <cell r="Z257">
            <v>22163305.800000001</v>
          </cell>
          <cell r="AA257">
            <v>27529797.600000001</v>
          </cell>
          <cell r="AB257">
            <v>19948317.100000001</v>
          </cell>
          <cell r="AC257">
            <v>13478321.9</v>
          </cell>
          <cell r="AD257">
            <v>11108859.199999999</v>
          </cell>
          <cell r="AE257">
            <v>10855516.199999999</v>
          </cell>
          <cell r="AF257">
            <v>11778383.1</v>
          </cell>
          <cell r="AG257">
            <v>11623157.4</v>
          </cell>
          <cell r="AH257">
            <v>10568770.1</v>
          </cell>
          <cell r="AJ257">
            <v>0</v>
          </cell>
        </row>
        <row r="258">
          <cell r="J258">
            <v>0</v>
          </cell>
          <cell r="K258">
            <v>0</v>
          </cell>
          <cell r="L258">
            <v>0</v>
          </cell>
          <cell r="M258">
            <v>0</v>
          </cell>
          <cell r="N258">
            <v>0</v>
          </cell>
          <cell r="O258">
            <v>0</v>
          </cell>
          <cell r="P258">
            <v>4672627.8</v>
          </cell>
          <cell r="Q258">
            <v>3390627.5</v>
          </cell>
          <cell r="R258">
            <v>3446426.4</v>
          </cell>
          <cell r="S258">
            <v>4029883.9</v>
          </cell>
          <cell r="T258">
            <v>3781578.5</v>
          </cell>
          <cell r="U258">
            <v>3950893.4</v>
          </cell>
          <cell r="V258">
            <v>3767581.5</v>
          </cell>
          <cell r="W258">
            <v>3331413.1</v>
          </cell>
          <cell r="X258">
            <v>3701127.2</v>
          </cell>
          <cell r="Y258">
            <v>3966842.1</v>
          </cell>
          <cell r="Z258">
            <v>4150010.5</v>
          </cell>
          <cell r="AA258">
            <v>4807305.0999999996</v>
          </cell>
          <cell r="AB258">
            <v>4448937.5</v>
          </cell>
          <cell r="AC258">
            <v>3009859.4</v>
          </cell>
          <cell r="AD258">
            <v>3241677.9</v>
          </cell>
          <cell r="AE258">
            <v>3689481.2</v>
          </cell>
          <cell r="AF258">
            <v>3667123.2</v>
          </cell>
          <cell r="AG258">
            <v>3719079</v>
          </cell>
          <cell r="AH258">
            <v>3447805.7</v>
          </cell>
          <cell r="AJ258">
            <v>0</v>
          </cell>
        </row>
        <row r="259">
          <cell r="J259">
            <v>14204034</v>
          </cell>
          <cell r="K259">
            <v>13282031.6</v>
          </cell>
          <cell r="L259">
            <v>14207166.300000001</v>
          </cell>
          <cell r="M259">
            <v>15058682.800000001</v>
          </cell>
          <cell r="N259">
            <v>16454689.800000001</v>
          </cell>
          <cell r="O259">
            <v>18839702.5</v>
          </cell>
          <cell r="P259">
            <v>11763086.699999999</v>
          </cell>
          <cell r="Q259">
            <v>9590917.3000000007</v>
          </cell>
          <cell r="R259">
            <v>9731487.8000000007</v>
          </cell>
          <cell r="S259">
            <v>11175103.300000001</v>
          </cell>
          <cell r="T259">
            <v>11111906.4</v>
          </cell>
          <cell r="U259">
            <v>11775028.4</v>
          </cell>
          <cell r="V259">
            <v>10513440.6</v>
          </cell>
          <cell r="W259">
            <v>9790090.1999999993</v>
          </cell>
          <cell r="X259">
            <v>10386306.699999999</v>
          </cell>
          <cell r="Y259">
            <v>11261042.4</v>
          </cell>
          <cell r="Z259">
            <v>11961338.300000001</v>
          </cell>
          <cell r="AA259">
            <v>14135332.5</v>
          </cell>
          <cell r="AB259">
            <v>10915329.1</v>
          </cell>
          <cell r="AC259">
            <v>9473663.1999999993</v>
          </cell>
          <cell r="AD259">
            <v>9245880.9000000004</v>
          </cell>
          <cell r="AE259">
            <v>10607283.6</v>
          </cell>
          <cell r="AF259">
            <v>11258562.199999999</v>
          </cell>
          <cell r="AG259">
            <v>11282430.4</v>
          </cell>
          <cell r="AH259">
            <v>9977769.9000000004</v>
          </cell>
          <cell r="AJ259">
            <v>13282031.6</v>
          </cell>
        </row>
        <row r="260">
          <cell r="J260">
            <v>3205567.5</v>
          </cell>
          <cell r="K260">
            <v>3253425.5</v>
          </cell>
          <cell r="L260">
            <v>3301599.4</v>
          </cell>
          <cell r="M260">
            <v>3340302.4</v>
          </cell>
          <cell r="N260">
            <v>3166920.1</v>
          </cell>
          <cell r="O260">
            <v>3444101.7</v>
          </cell>
          <cell r="P260">
            <v>3709904.1</v>
          </cell>
          <cell r="Q260">
            <v>3223695</v>
          </cell>
          <cell r="R260">
            <v>1481043.3</v>
          </cell>
          <cell r="S260">
            <v>2377171</v>
          </cell>
          <cell r="T260">
            <v>1816857.5</v>
          </cell>
          <cell r="U260">
            <v>3146092.4</v>
          </cell>
          <cell r="V260">
            <v>3007019.2</v>
          </cell>
          <cell r="W260">
            <v>2284728.7000000002</v>
          </cell>
          <cell r="X260">
            <v>2813922.3</v>
          </cell>
          <cell r="Y260">
            <v>2854355.2</v>
          </cell>
          <cell r="Z260">
            <v>3353082</v>
          </cell>
          <cell r="AA260">
            <v>3253421.3</v>
          </cell>
          <cell r="AB260">
            <v>4578309.2</v>
          </cell>
          <cell r="AC260">
            <v>3306456.2</v>
          </cell>
          <cell r="AD260">
            <v>1740036.6</v>
          </cell>
          <cell r="AE260">
            <v>2465111.2999999998</v>
          </cell>
          <cell r="AF260">
            <v>2883196.8</v>
          </cell>
          <cell r="AG260">
            <v>3568828.5</v>
          </cell>
          <cell r="AH260">
            <v>3896837.9</v>
          </cell>
          <cell r="AJ260">
            <v>3253425.5</v>
          </cell>
        </row>
        <row r="261">
          <cell r="J261">
            <v>16409117.800000001</v>
          </cell>
          <cell r="K261">
            <v>16120799.800000001</v>
          </cell>
          <cell r="L261">
            <v>17468045.800000001</v>
          </cell>
          <cell r="M261">
            <v>18398455.699999999</v>
          </cell>
          <cell r="N261">
            <v>19300740.399999999</v>
          </cell>
          <cell r="O261">
            <v>18591268.800000001</v>
          </cell>
          <cell r="P261">
            <v>19466412.399999999</v>
          </cell>
          <cell r="Q261">
            <v>18379769.5</v>
          </cell>
          <cell r="R261">
            <v>17880522.899999999</v>
          </cell>
          <cell r="S261">
            <v>18055827.199999999</v>
          </cell>
          <cell r="T261">
            <v>16818960.300000001</v>
          </cell>
          <cell r="U261">
            <v>15015802.300000001</v>
          </cell>
          <cell r="V261">
            <v>17103450.600000001</v>
          </cell>
          <cell r="W261">
            <v>17443617</v>
          </cell>
          <cell r="X261">
            <v>18439028.399999999</v>
          </cell>
          <cell r="Y261">
            <v>19568214.600000001</v>
          </cell>
          <cell r="Z261">
            <v>19660309.399999999</v>
          </cell>
          <cell r="AA261">
            <v>19526635.300000001</v>
          </cell>
          <cell r="AB261">
            <v>19303469.899999999</v>
          </cell>
          <cell r="AC261">
            <v>18097413.800000001</v>
          </cell>
          <cell r="AD261">
            <v>17749536.100000001</v>
          </cell>
          <cell r="AE261">
            <v>17337190.399999999</v>
          </cell>
          <cell r="AF261">
            <v>16844295.100000001</v>
          </cell>
          <cell r="AG261">
            <v>14637189.1</v>
          </cell>
          <cell r="AH261">
            <v>16736662.9</v>
          </cell>
          <cell r="AJ261">
            <v>16120799.800000001</v>
          </cell>
        </row>
        <row r="262">
          <cell r="J262">
            <v>209034.7</v>
          </cell>
          <cell r="K262">
            <v>222664.1</v>
          </cell>
          <cell r="L262">
            <v>242139.4</v>
          </cell>
          <cell r="M262">
            <v>278624.7</v>
          </cell>
          <cell r="N262">
            <v>264460.59999999998</v>
          </cell>
          <cell r="O262">
            <v>317613.5</v>
          </cell>
          <cell r="P262">
            <v>331975.3</v>
          </cell>
          <cell r="Q262">
            <v>307366.3</v>
          </cell>
          <cell r="R262">
            <v>290591.2</v>
          </cell>
          <cell r="S262">
            <v>261771</v>
          </cell>
          <cell r="T262">
            <v>235673.9</v>
          </cell>
          <cell r="U262">
            <v>221499.7</v>
          </cell>
          <cell r="V262">
            <v>206881.8</v>
          </cell>
          <cell r="W262">
            <v>221905.9</v>
          </cell>
          <cell r="X262">
            <v>239524.4</v>
          </cell>
          <cell r="Y262">
            <v>280005.59999999998</v>
          </cell>
          <cell r="Z262">
            <v>267066.5</v>
          </cell>
          <cell r="AA262">
            <v>316897.59999999998</v>
          </cell>
          <cell r="AB262">
            <v>330932.8</v>
          </cell>
          <cell r="AC262">
            <v>309623.5</v>
          </cell>
          <cell r="AD262">
            <v>288101.3</v>
          </cell>
          <cell r="AE262">
            <v>252559.9</v>
          </cell>
          <cell r="AF262">
            <v>240592.1</v>
          </cell>
          <cell r="AG262">
            <v>221284.4</v>
          </cell>
          <cell r="AH262">
            <v>201564.1</v>
          </cell>
          <cell r="AJ262">
            <v>222664.1</v>
          </cell>
        </row>
        <row r="263">
          <cell r="J263">
            <v>6145376.4000000004</v>
          </cell>
          <cell r="K263">
            <v>6288572.7000000002</v>
          </cell>
          <cell r="L263">
            <v>6688439.9000000004</v>
          </cell>
          <cell r="M263">
            <v>7838648.0999999996</v>
          </cell>
          <cell r="N263">
            <v>8771994.3000000007</v>
          </cell>
          <cell r="O263">
            <v>9445202.5999999996</v>
          </cell>
          <cell r="P263">
            <v>8171852.5999999996</v>
          </cell>
          <cell r="Q263">
            <v>6619561.5</v>
          </cell>
          <cell r="R263">
            <v>6032299.2000000002</v>
          </cell>
          <cell r="S263">
            <v>7109026.2999999998</v>
          </cell>
          <cell r="T263">
            <v>5696424.5</v>
          </cell>
          <cell r="U263">
            <v>5784811</v>
          </cell>
          <cell r="V263">
            <v>6286188</v>
          </cell>
          <cell r="W263">
            <v>6190122.0999999996</v>
          </cell>
          <cell r="X263">
            <v>6703383</v>
          </cell>
          <cell r="Y263">
            <v>7839876.2000000002</v>
          </cell>
          <cell r="Z263">
            <v>8331275.4000000004</v>
          </cell>
          <cell r="AA263">
            <v>9557583.6999999993</v>
          </cell>
          <cell r="AB263">
            <v>7009581.2999999998</v>
          </cell>
          <cell r="AC263">
            <v>6344099.7000000002</v>
          </cell>
          <cell r="AD263">
            <v>6025690.2999999998</v>
          </cell>
          <cell r="AE263">
            <v>6704971.5</v>
          </cell>
          <cell r="AF263">
            <v>5862144.2000000002</v>
          </cell>
          <cell r="AG263">
            <v>5467550.9000000004</v>
          </cell>
          <cell r="AH263">
            <v>5930915.7999999998</v>
          </cell>
          <cell r="AJ263">
            <v>6288572.7000000002</v>
          </cell>
        </row>
        <row r="264">
          <cell r="J264">
            <v>158910.1</v>
          </cell>
          <cell r="K264">
            <v>153884.9</v>
          </cell>
          <cell r="L264">
            <v>167467.6</v>
          </cell>
          <cell r="M264">
            <v>173250.3</v>
          </cell>
          <cell r="N264">
            <v>181524.6</v>
          </cell>
          <cell r="O264">
            <v>217568.2</v>
          </cell>
          <cell r="P264">
            <v>205641.5</v>
          </cell>
          <cell r="Q264">
            <v>167638.1</v>
          </cell>
          <cell r="R264">
            <v>172553.2</v>
          </cell>
          <cell r="S264">
            <v>171391.2</v>
          </cell>
          <cell r="T264">
            <v>159421.79999999999</v>
          </cell>
          <cell r="U264">
            <v>169329</v>
          </cell>
          <cell r="V264">
            <v>151335.4</v>
          </cell>
          <cell r="W264">
            <v>147095.1</v>
          </cell>
          <cell r="X264">
            <v>158984.29999999999</v>
          </cell>
          <cell r="Y264">
            <v>174089.7</v>
          </cell>
          <cell r="Z264">
            <v>175752.4</v>
          </cell>
          <cell r="AA264">
            <v>218015.1</v>
          </cell>
          <cell r="AB264">
            <v>188878.4</v>
          </cell>
          <cell r="AC264">
            <v>158317.4</v>
          </cell>
          <cell r="AD264">
            <v>168449.1</v>
          </cell>
          <cell r="AE264">
            <v>135951.6</v>
          </cell>
          <cell r="AF264">
            <v>138167.20000000001</v>
          </cell>
          <cell r="AG264">
            <v>143654.79999999999</v>
          </cell>
          <cell r="AH264">
            <v>140652.70000000001</v>
          </cell>
          <cell r="AJ264">
            <v>153884.9</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J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J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J267">
            <v>0</v>
          </cell>
        </row>
        <row r="269">
          <cell r="J269">
            <v>1336163.2</v>
          </cell>
          <cell r="K269">
            <v>1366949.2</v>
          </cell>
          <cell r="L269">
            <v>1942878.1</v>
          </cell>
          <cell r="M269">
            <v>2087057</v>
          </cell>
          <cell r="N269">
            <v>2489027.2000000002</v>
          </cell>
          <cell r="O269">
            <v>2986527.4</v>
          </cell>
          <cell r="P269">
            <v>1167675.2</v>
          </cell>
          <cell r="Q269">
            <v>794919.9</v>
          </cell>
          <cell r="R269">
            <v>606329.4</v>
          </cell>
          <cell r="S269">
            <v>628174.19999999995</v>
          </cell>
          <cell r="T269">
            <v>671108.5</v>
          </cell>
          <cell r="U269">
            <v>691117.6</v>
          </cell>
          <cell r="V269">
            <v>557772.19999999995</v>
          </cell>
          <cell r="W269">
            <v>602575.6</v>
          </cell>
          <cell r="X269">
            <v>858129.1</v>
          </cell>
          <cell r="Y269">
            <v>1072682.8999999999</v>
          </cell>
          <cell r="Z269">
            <v>1160379.1000000001</v>
          </cell>
          <cell r="AA269">
            <v>1421670.6</v>
          </cell>
          <cell r="AB269">
            <v>1109098.5</v>
          </cell>
          <cell r="AC269">
            <v>737297.8</v>
          </cell>
          <cell r="AD269">
            <v>622209.69999999995</v>
          </cell>
          <cell r="AE269">
            <v>607530.69999999995</v>
          </cell>
          <cell r="AF269">
            <v>665229</v>
          </cell>
          <cell r="AG269">
            <v>647188.19999999995</v>
          </cell>
          <cell r="AH269">
            <v>590123.9</v>
          </cell>
          <cell r="AJ269">
            <v>1366949.2</v>
          </cell>
        </row>
        <row r="270">
          <cell r="J270">
            <v>0</v>
          </cell>
          <cell r="K270">
            <v>0</v>
          </cell>
          <cell r="L270">
            <v>0</v>
          </cell>
          <cell r="M270">
            <v>0</v>
          </cell>
          <cell r="N270">
            <v>0</v>
          </cell>
          <cell r="O270">
            <v>0</v>
          </cell>
          <cell r="P270">
            <v>1053333.2</v>
          </cell>
          <cell r="Q270">
            <v>737169.1</v>
          </cell>
          <cell r="R270">
            <v>564550.69999999995</v>
          </cell>
          <cell r="S270">
            <v>581537.80000000005</v>
          </cell>
          <cell r="T270">
            <v>615514.1</v>
          </cell>
          <cell r="U270">
            <v>639734.69999999995</v>
          </cell>
          <cell r="V270">
            <v>520523.2</v>
          </cell>
          <cell r="W270">
            <v>562306.80000000005</v>
          </cell>
          <cell r="X270">
            <v>801816.2</v>
          </cell>
          <cell r="Y270">
            <v>977144</v>
          </cell>
          <cell r="Z270">
            <v>1055401.1000000001</v>
          </cell>
          <cell r="AA270">
            <v>1301260.1000000001</v>
          </cell>
          <cell r="AB270">
            <v>978415.8</v>
          </cell>
          <cell r="AC270">
            <v>681180.8</v>
          </cell>
          <cell r="AD270">
            <v>578082.80000000005</v>
          </cell>
          <cell r="AE270">
            <v>560476.4</v>
          </cell>
          <cell r="AF270">
            <v>603270.1</v>
          </cell>
          <cell r="AG270">
            <v>597775.4</v>
          </cell>
          <cell r="AH270">
            <v>552324</v>
          </cell>
          <cell r="AJ270">
            <v>0</v>
          </cell>
        </row>
        <row r="271">
          <cell r="J271">
            <v>0</v>
          </cell>
          <cell r="K271">
            <v>0</v>
          </cell>
          <cell r="L271">
            <v>0</v>
          </cell>
          <cell r="M271">
            <v>0</v>
          </cell>
          <cell r="N271">
            <v>0</v>
          </cell>
          <cell r="O271">
            <v>0</v>
          </cell>
          <cell r="P271">
            <v>243266.5</v>
          </cell>
          <cell r="Q271">
            <v>185486.8</v>
          </cell>
          <cell r="R271">
            <v>184184.5</v>
          </cell>
          <cell r="S271">
            <v>208183.6</v>
          </cell>
          <cell r="T271">
            <v>199193.1</v>
          </cell>
          <cell r="U271">
            <v>206993.7</v>
          </cell>
          <cell r="V271">
            <v>203009.9</v>
          </cell>
          <cell r="W271">
            <v>177664.9</v>
          </cell>
          <cell r="X271">
            <v>197379</v>
          </cell>
          <cell r="Y271">
            <v>214709.3</v>
          </cell>
          <cell r="Z271">
            <v>218305.9</v>
          </cell>
          <cell r="AA271">
            <v>252210.8</v>
          </cell>
          <cell r="AB271">
            <v>235625.60000000001</v>
          </cell>
          <cell r="AC271">
            <v>163020.70000000001</v>
          </cell>
          <cell r="AD271">
            <v>174208.1</v>
          </cell>
          <cell r="AE271">
            <v>195599.7</v>
          </cell>
          <cell r="AF271">
            <v>191814.7</v>
          </cell>
          <cell r="AG271">
            <v>196214.8</v>
          </cell>
          <cell r="AH271">
            <v>184800.9</v>
          </cell>
          <cell r="AJ271">
            <v>0</v>
          </cell>
        </row>
        <row r="272">
          <cell r="J272">
            <v>831084.10000000009</v>
          </cell>
          <cell r="K272">
            <v>762858.2</v>
          </cell>
          <cell r="L272">
            <v>821852.3</v>
          </cell>
          <cell r="M272">
            <v>864353.6</v>
          </cell>
          <cell r="N272">
            <v>941074</v>
          </cell>
          <cell r="O272">
            <v>1040111.2</v>
          </cell>
          <cell r="P272">
            <v>584348.80000000005</v>
          </cell>
          <cell r="Q272">
            <v>485810.4</v>
          </cell>
          <cell r="R272">
            <v>481418.1</v>
          </cell>
          <cell r="S272">
            <v>553164.80000000005</v>
          </cell>
          <cell r="T272">
            <v>545096.5</v>
          </cell>
          <cell r="U272">
            <v>571476.5</v>
          </cell>
          <cell r="V272">
            <v>523844.7</v>
          </cell>
          <cell r="W272">
            <v>483762.3</v>
          </cell>
          <cell r="X272">
            <v>524906.6</v>
          </cell>
          <cell r="Y272">
            <v>572001.4</v>
          </cell>
          <cell r="Z272">
            <v>596365.30000000005</v>
          </cell>
          <cell r="AA272">
            <v>687758.3</v>
          </cell>
          <cell r="AB272">
            <v>542603</v>
          </cell>
          <cell r="AC272">
            <v>484001.4</v>
          </cell>
          <cell r="AD272">
            <v>463066.5</v>
          </cell>
          <cell r="AE272">
            <v>523042.9</v>
          </cell>
          <cell r="AF272">
            <v>556400.19999999995</v>
          </cell>
          <cell r="AG272">
            <v>552492.30000000005</v>
          </cell>
          <cell r="AH272">
            <v>490690.1</v>
          </cell>
          <cell r="AJ272">
            <v>762858.2</v>
          </cell>
        </row>
        <row r="273">
          <cell r="J273">
            <v>168847.09999999998</v>
          </cell>
          <cell r="K273">
            <v>170095.8</v>
          </cell>
          <cell r="L273">
            <v>177018.3</v>
          </cell>
          <cell r="M273">
            <v>171721.5</v>
          </cell>
          <cell r="N273">
            <v>162442.4</v>
          </cell>
          <cell r="O273">
            <v>169461.3</v>
          </cell>
          <cell r="P273">
            <v>166640.79999999999</v>
          </cell>
          <cell r="Q273">
            <v>145526.1</v>
          </cell>
          <cell r="R273">
            <v>67816.800000000003</v>
          </cell>
          <cell r="S273">
            <v>108898.9</v>
          </cell>
          <cell r="T273">
            <v>83106.399999999994</v>
          </cell>
          <cell r="U273">
            <v>141407.9</v>
          </cell>
          <cell r="V273">
            <v>135454.39999999999</v>
          </cell>
          <cell r="W273">
            <v>103492.2</v>
          </cell>
          <cell r="X273">
            <v>132406.29999999999</v>
          </cell>
          <cell r="Y273">
            <v>130411.7</v>
          </cell>
          <cell r="Z273">
            <v>149833.79999999999</v>
          </cell>
          <cell r="AA273">
            <v>141955.20000000001</v>
          </cell>
          <cell r="AB273">
            <v>207822.2</v>
          </cell>
          <cell r="AC273">
            <v>154569.60000000001</v>
          </cell>
          <cell r="AD273">
            <v>80807.399999999994</v>
          </cell>
          <cell r="AE273">
            <v>113307.5</v>
          </cell>
          <cell r="AF273">
            <v>133528.5</v>
          </cell>
          <cell r="AG273">
            <v>162951.9</v>
          </cell>
          <cell r="AH273">
            <v>179457.2</v>
          </cell>
          <cell r="AJ273">
            <v>170095.8</v>
          </cell>
        </row>
        <row r="274">
          <cell r="J274">
            <v>823865.70000000007</v>
          </cell>
          <cell r="K274">
            <v>784765.1</v>
          </cell>
          <cell r="L274">
            <v>841239.3</v>
          </cell>
          <cell r="M274">
            <v>861030.2</v>
          </cell>
          <cell r="N274">
            <v>904206.1</v>
          </cell>
          <cell r="O274">
            <v>853264.7</v>
          </cell>
          <cell r="P274">
            <v>790744.3</v>
          </cell>
          <cell r="Q274">
            <v>752776.8</v>
          </cell>
          <cell r="R274">
            <v>756096.7</v>
          </cell>
          <cell r="S274">
            <v>764893.1</v>
          </cell>
          <cell r="T274">
            <v>709572.9</v>
          </cell>
          <cell r="U274">
            <v>652378.69999999995</v>
          </cell>
          <cell r="V274">
            <v>728278.5</v>
          </cell>
          <cell r="W274">
            <v>727321.8</v>
          </cell>
          <cell r="X274">
            <v>767004.7</v>
          </cell>
          <cell r="Y274">
            <v>803837.1</v>
          </cell>
          <cell r="Z274">
            <v>791134.1</v>
          </cell>
          <cell r="AA274">
            <v>787416.4</v>
          </cell>
          <cell r="AB274">
            <v>807246.9</v>
          </cell>
          <cell r="AC274">
            <v>759972</v>
          </cell>
          <cell r="AD274">
            <v>771369.6</v>
          </cell>
          <cell r="AE274">
            <v>751822.4</v>
          </cell>
          <cell r="AF274">
            <v>722825.8</v>
          </cell>
          <cell r="AG274">
            <v>656812.4</v>
          </cell>
          <cell r="AH274">
            <v>715211.8</v>
          </cell>
          <cell r="AJ274">
            <v>784765.1</v>
          </cell>
        </row>
        <row r="275">
          <cell r="J275">
            <v>40320.400000000001</v>
          </cell>
          <cell r="K275">
            <v>39628.800000000003</v>
          </cell>
          <cell r="L275">
            <v>40467.9</v>
          </cell>
          <cell r="M275">
            <v>41030.400000000001</v>
          </cell>
          <cell r="N275">
            <v>39428.199999999997</v>
          </cell>
          <cell r="O275">
            <v>40625.699999999997</v>
          </cell>
          <cell r="P275">
            <v>40050</v>
          </cell>
          <cell r="Q275">
            <v>39554.6</v>
          </cell>
          <cell r="R275">
            <v>35636.9</v>
          </cell>
          <cell r="S275">
            <v>14672.3</v>
          </cell>
          <cell r="T275">
            <v>38934.9</v>
          </cell>
          <cell r="U275">
            <v>39825.599999999999</v>
          </cell>
          <cell r="V275">
            <v>38327.4</v>
          </cell>
          <cell r="W275">
            <v>37943.9</v>
          </cell>
          <cell r="X275">
            <v>38459.1</v>
          </cell>
          <cell r="Y275">
            <v>39632.1</v>
          </cell>
          <cell r="Z275">
            <v>38051.9</v>
          </cell>
          <cell r="AA275">
            <v>38768.9</v>
          </cell>
          <cell r="AB275">
            <v>34467</v>
          </cell>
          <cell r="AC275">
            <v>34640.800000000003</v>
          </cell>
          <cell r="AD275">
            <v>33775.300000000003</v>
          </cell>
          <cell r="AE275">
            <v>33686.800000000003</v>
          </cell>
          <cell r="AF275">
            <v>31710.9</v>
          </cell>
          <cell r="AG275">
            <v>32108.2</v>
          </cell>
          <cell r="AH275">
            <v>30977.9</v>
          </cell>
          <cell r="AJ275">
            <v>39628.800000000003</v>
          </cell>
        </row>
        <row r="276">
          <cell r="J276">
            <v>355510.6</v>
          </cell>
          <cell r="K276">
            <v>361578.5</v>
          </cell>
          <cell r="L276">
            <v>389226</v>
          </cell>
          <cell r="M276">
            <v>439771.8</v>
          </cell>
          <cell r="N276">
            <v>487524.9</v>
          </cell>
          <cell r="O276">
            <v>509014</v>
          </cell>
          <cell r="P276">
            <v>411569.7</v>
          </cell>
          <cell r="Q276">
            <v>342653.4</v>
          </cell>
          <cell r="R276">
            <v>317195.40000000002</v>
          </cell>
          <cell r="S276">
            <v>365613.4</v>
          </cell>
          <cell r="T276">
            <v>295998.5</v>
          </cell>
          <cell r="U276">
            <v>299274.8</v>
          </cell>
          <cell r="V276">
            <v>315711.8</v>
          </cell>
          <cell r="W276">
            <v>312681.7</v>
          </cell>
          <cell r="X276">
            <v>346108.4</v>
          </cell>
          <cell r="Y276">
            <v>394994</v>
          </cell>
          <cell r="Z276">
            <v>407977</v>
          </cell>
          <cell r="AA276">
            <v>461827.6</v>
          </cell>
          <cell r="AB276">
            <v>353335.3</v>
          </cell>
          <cell r="AC276">
            <v>329828.90000000002</v>
          </cell>
          <cell r="AD276">
            <v>309269.2</v>
          </cell>
          <cell r="AE276">
            <v>341117.2</v>
          </cell>
          <cell r="AF276">
            <v>305632.40000000002</v>
          </cell>
          <cell r="AG276">
            <v>282410</v>
          </cell>
          <cell r="AH276">
            <v>313014.59999999998</v>
          </cell>
          <cell r="AJ276">
            <v>361578.5</v>
          </cell>
        </row>
        <row r="277">
          <cell r="J277">
            <v>9462.3000000000011</v>
          </cell>
          <cell r="K277">
            <v>8995.7999999999993</v>
          </cell>
          <cell r="L277">
            <v>9590.7000000000007</v>
          </cell>
          <cell r="M277">
            <v>9826.1</v>
          </cell>
          <cell r="N277">
            <v>10126.1</v>
          </cell>
          <cell r="O277">
            <v>11592.9</v>
          </cell>
          <cell r="P277">
            <v>10366.200000000001</v>
          </cell>
          <cell r="Q277">
            <v>8818.4</v>
          </cell>
          <cell r="R277">
            <v>8972.4</v>
          </cell>
          <cell r="S277">
            <v>8687.4</v>
          </cell>
          <cell r="T277">
            <v>8131.3</v>
          </cell>
          <cell r="U277">
            <v>8515.6</v>
          </cell>
          <cell r="V277">
            <v>7857</v>
          </cell>
          <cell r="W277">
            <v>7571.4</v>
          </cell>
          <cell r="X277">
            <v>8061.6</v>
          </cell>
          <cell r="Y277">
            <v>8877.9</v>
          </cell>
          <cell r="Z277">
            <v>8642.7000000000007</v>
          </cell>
          <cell r="AA277">
            <v>10402.200000000001</v>
          </cell>
          <cell r="AB277">
            <v>8627.6</v>
          </cell>
          <cell r="AC277">
            <v>7270.3</v>
          </cell>
          <cell r="AD277">
            <v>7750.6</v>
          </cell>
          <cell r="AE277">
            <v>6155.4</v>
          </cell>
          <cell r="AF277">
            <v>6364</v>
          </cell>
          <cell r="AG277">
            <v>6569.5</v>
          </cell>
          <cell r="AH277">
            <v>6486.5</v>
          </cell>
          <cell r="AJ277">
            <v>8995.7999999999993</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J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J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J280">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J282">
            <v>0</v>
          </cell>
        </row>
        <row r="283">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J283">
            <v>0</v>
          </cell>
        </row>
        <row r="284">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row>
        <row r="285">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J285">
            <v>0</v>
          </cell>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J286">
            <v>0</v>
          </cell>
        </row>
        <row r="287">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J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J288">
            <v>0</v>
          </cell>
        </row>
        <row r="289">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J289">
            <v>0</v>
          </cell>
        </row>
        <row r="290">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J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J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J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J293">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J295">
            <v>0</v>
          </cell>
        </row>
        <row r="296">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J296">
            <v>0</v>
          </cell>
        </row>
        <row r="297">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J297">
            <v>0</v>
          </cell>
        </row>
        <row r="298">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J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J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J300">
            <v>0</v>
          </cell>
        </row>
        <row r="301">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J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J302">
            <v>0</v>
          </cell>
        </row>
        <row r="303">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J303">
            <v>0</v>
          </cell>
        </row>
        <row r="304">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J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J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J306">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J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J309">
            <v>0</v>
          </cell>
        </row>
        <row r="310">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J310">
            <v>0</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J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J312">
            <v>0</v>
          </cell>
        </row>
        <row r="313">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J313">
            <v>0</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J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J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J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J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J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J319">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J321">
            <v>0</v>
          </cell>
        </row>
        <row r="322">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J322">
            <v>0</v>
          </cell>
        </row>
        <row r="323">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J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J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J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J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J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J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J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J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J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J332">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J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J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J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J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J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J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J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J341">
            <v>0</v>
          </cell>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J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J343">
            <v>0</v>
          </cell>
        </row>
        <row r="344">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J344">
            <v>0</v>
          </cell>
        </row>
        <row r="345">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J345">
            <v>0</v>
          </cell>
        </row>
        <row r="347">
          <cell r="J347">
            <v>-39883.800000000003</v>
          </cell>
          <cell r="K347">
            <v>-41188</v>
          </cell>
          <cell r="L347">
            <v>-58257.2</v>
          </cell>
          <cell r="M347">
            <v>-62747.8</v>
          </cell>
          <cell r="N347">
            <v>-73101.2</v>
          </cell>
          <cell r="O347">
            <v>-89171.5</v>
          </cell>
          <cell r="P347">
            <v>-43744.5</v>
          </cell>
          <cell r="Q347">
            <v>-30028.400000000001</v>
          </cell>
          <cell r="R347">
            <v>-23141.200000000001</v>
          </cell>
          <cell r="S347">
            <v>-23913</v>
          </cell>
          <cell r="T347">
            <v>-25506.9</v>
          </cell>
          <cell r="U347">
            <v>-26302.2</v>
          </cell>
          <cell r="V347">
            <v>-21300.5</v>
          </cell>
          <cell r="W347">
            <v>-22980.9</v>
          </cell>
          <cell r="X347">
            <v>-32457.3</v>
          </cell>
          <cell r="Y347">
            <v>-40186</v>
          </cell>
          <cell r="Z347">
            <v>-43250.8</v>
          </cell>
          <cell r="AA347">
            <v>-52890</v>
          </cell>
          <cell r="AB347">
            <v>-27247.599999999999</v>
          </cell>
          <cell r="AC347">
            <v>-17546.8</v>
          </cell>
          <cell r="AD347">
            <v>-14402.6</v>
          </cell>
          <cell r="AE347">
            <v>-14186.8</v>
          </cell>
          <cell r="AF347">
            <v>-15670.3</v>
          </cell>
          <cell r="AG347">
            <v>-15209.2</v>
          </cell>
          <cell r="AH347">
            <v>-12535.3</v>
          </cell>
          <cell r="AJ347">
            <v>-41188</v>
          </cell>
        </row>
        <row r="348">
          <cell r="J348">
            <v>0</v>
          </cell>
          <cell r="K348">
            <v>0</v>
          </cell>
          <cell r="L348">
            <v>0</v>
          </cell>
          <cell r="M348">
            <v>0</v>
          </cell>
          <cell r="N348">
            <v>0</v>
          </cell>
          <cell r="O348">
            <v>0</v>
          </cell>
          <cell r="P348">
            <v>-39542</v>
          </cell>
          <cell r="Q348">
            <v>-27897.8</v>
          </cell>
          <cell r="R348">
            <v>-21592.1</v>
          </cell>
          <cell r="S348">
            <v>-22189.3</v>
          </cell>
          <cell r="T348">
            <v>-23459.3</v>
          </cell>
          <cell r="U348">
            <v>-24407.8</v>
          </cell>
          <cell r="V348">
            <v>-19924.099999999999</v>
          </cell>
          <cell r="W348">
            <v>-21503.9</v>
          </cell>
          <cell r="X348">
            <v>-30372.1</v>
          </cell>
          <cell r="Y348">
            <v>-36675.4</v>
          </cell>
          <cell r="Z348">
            <v>-39401.699999999997</v>
          </cell>
          <cell r="AA348">
            <v>-48458.6</v>
          </cell>
          <cell r="AB348">
            <v>-23898.5</v>
          </cell>
          <cell r="AC348">
            <v>-16147.3</v>
          </cell>
          <cell r="AD348">
            <v>-13308.6</v>
          </cell>
          <cell r="AE348">
            <v>-13005.1</v>
          </cell>
          <cell r="AF348">
            <v>-14110.7</v>
          </cell>
          <cell r="AG348">
            <v>-13924.8</v>
          </cell>
          <cell r="AH348">
            <v>-11625.6</v>
          </cell>
          <cell r="AJ348">
            <v>0</v>
          </cell>
        </row>
        <row r="349">
          <cell r="J349">
            <v>0</v>
          </cell>
          <cell r="K349">
            <v>0</v>
          </cell>
          <cell r="L349">
            <v>0</v>
          </cell>
          <cell r="M349">
            <v>0</v>
          </cell>
          <cell r="N349">
            <v>0</v>
          </cell>
          <cell r="O349">
            <v>0</v>
          </cell>
          <cell r="P349">
            <v>-9343.1</v>
          </cell>
          <cell r="Q349">
            <v>-7227.1</v>
          </cell>
          <cell r="R349">
            <v>-7128.6</v>
          </cell>
          <cell r="S349">
            <v>-7977</v>
          </cell>
          <cell r="T349">
            <v>-7677</v>
          </cell>
          <cell r="U349">
            <v>-7964.9</v>
          </cell>
          <cell r="V349">
            <v>-7875.9</v>
          </cell>
          <cell r="W349">
            <v>-6872.1</v>
          </cell>
          <cell r="X349">
            <v>-7634.6</v>
          </cell>
          <cell r="Y349">
            <v>-8340.5</v>
          </cell>
          <cell r="Z349">
            <v>-8410.2999999999993</v>
          </cell>
          <cell r="AA349">
            <v>-9708.7999999999993</v>
          </cell>
          <cell r="AB349">
            <v>-5329.9</v>
          </cell>
          <cell r="AC349">
            <v>-3605.9</v>
          </cell>
          <cell r="AD349">
            <v>-3883.6</v>
          </cell>
          <cell r="AE349">
            <v>-4420.1000000000004</v>
          </cell>
          <cell r="AF349">
            <v>-4393.3</v>
          </cell>
          <cell r="AG349">
            <v>-4455.5</v>
          </cell>
          <cell r="AH349">
            <v>-3792.6</v>
          </cell>
          <cell r="AJ349">
            <v>0</v>
          </cell>
        </row>
        <row r="350">
          <cell r="J350">
            <v>-24723.200000000001</v>
          </cell>
          <cell r="K350">
            <v>-22861.1</v>
          </cell>
          <cell r="L350">
            <v>-24984.6</v>
          </cell>
          <cell r="M350">
            <v>-26746.9</v>
          </cell>
          <cell r="N350">
            <v>-28419.9</v>
          </cell>
          <cell r="O350">
            <v>-31741.4</v>
          </cell>
          <cell r="P350">
            <v>-22120.1</v>
          </cell>
          <cell r="Q350">
            <v>-18502.900000000001</v>
          </cell>
          <cell r="R350">
            <v>-18199.5</v>
          </cell>
          <cell r="S350">
            <v>-20915.8</v>
          </cell>
          <cell r="T350">
            <v>-20551</v>
          </cell>
          <cell r="U350">
            <v>-21470.400000000001</v>
          </cell>
          <cell r="V350">
            <v>-19848.7</v>
          </cell>
          <cell r="W350">
            <v>-18281.400000000001</v>
          </cell>
          <cell r="X350">
            <v>-19977.900000000001</v>
          </cell>
          <cell r="Y350">
            <v>-21804.5</v>
          </cell>
          <cell r="Z350">
            <v>-22601.1</v>
          </cell>
          <cell r="AA350">
            <v>-25860.5</v>
          </cell>
          <cell r="AB350">
            <v>-13076.8</v>
          </cell>
          <cell r="AC350">
            <v>-11349.6</v>
          </cell>
          <cell r="AD350">
            <v>-11076.7</v>
          </cell>
          <cell r="AE350">
            <v>-12707.7</v>
          </cell>
          <cell r="AF350">
            <v>-13488</v>
          </cell>
          <cell r="AG350">
            <v>-13516.6</v>
          </cell>
          <cell r="AH350">
            <v>-10975.5</v>
          </cell>
          <cell r="AJ350">
            <v>-22861.1</v>
          </cell>
        </row>
        <row r="351">
          <cell r="J351">
            <v>-4741.8999999999996</v>
          </cell>
          <cell r="K351">
            <v>-4849.3</v>
          </cell>
          <cell r="L351">
            <v>-5180.7</v>
          </cell>
          <cell r="M351">
            <v>-5037.3</v>
          </cell>
          <cell r="N351">
            <v>-4633.6000000000004</v>
          </cell>
          <cell r="O351">
            <v>-4876.8999999999996</v>
          </cell>
          <cell r="P351">
            <v>-6095.2</v>
          </cell>
          <cell r="Q351">
            <v>-5332.6</v>
          </cell>
          <cell r="R351">
            <v>-2497.8000000000002</v>
          </cell>
          <cell r="S351">
            <v>-4011.5</v>
          </cell>
          <cell r="T351">
            <v>-3059.7</v>
          </cell>
          <cell r="U351">
            <v>-5173.5</v>
          </cell>
          <cell r="V351">
            <v>-4959.6000000000004</v>
          </cell>
          <cell r="W351">
            <v>-3797</v>
          </cell>
          <cell r="X351">
            <v>-4923.2</v>
          </cell>
          <cell r="Y351">
            <v>-4799.3999999999996</v>
          </cell>
          <cell r="Z351">
            <v>-5470.1</v>
          </cell>
          <cell r="AA351">
            <v>-5136.5</v>
          </cell>
          <cell r="AB351">
            <v>-5484.9</v>
          </cell>
          <cell r="AC351">
            <v>-3961.2</v>
          </cell>
          <cell r="AD351">
            <v>-2084.6</v>
          </cell>
          <cell r="AE351">
            <v>-2953.3</v>
          </cell>
          <cell r="AF351">
            <v>-3454.1</v>
          </cell>
          <cell r="AG351">
            <v>-4275.5</v>
          </cell>
          <cell r="AH351">
            <v>-4286.5</v>
          </cell>
          <cell r="AJ351">
            <v>-4849.3</v>
          </cell>
        </row>
        <row r="352">
          <cell r="J352">
            <v>-22462.7</v>
          </cell>
          <cell r="K352">
            <v>-21429.3</v>
          </cell>
          <cell r="L352">
            <v>-23142.9</v>
          </cell>
          <cell r="M352">
            <v>-23948.9</v>
          </cell>
          <cell r="N352">
            <v>-24398.9</v>
          </cell>
          <cell r="O352">
            <v>-23572.799999999999</v>
          </cell>
          <cell r="P352">
            <v>-27807.7</v>
          </cell>
          <cell r="Q352">
            <v>-26563.5</v>
          </cell>
          <cell r="R352">
            <v>-27028.2</v>
          </cell>
          <cell r="S352">
            <v>-27362.3</v>
          </cell>
          <cell r="T352">
            <v>-25342</v>
          </cell>
          <cell r="U352">
            <v>-23567.4</v>
          </cell>
          <cell r="V352">
            <v>-26105.200000000001</v>
          </cell>
          <cell r="W352">
            <v>-25853.7</v>
          </cell>
          <cell r="X352">
            <v>-27238.2</v>
          </cell>
          <cell r="Y352">
            <v>-28400.2</v>
          </cell>
          <cell r="Z352">
            <v>-27711</v>
          </cell>
          <cell r="AA352">
            <v>-27605.5</v>
          </cell>
          <cell r="AB352">
            <v>-23125.9</v>
          </cell>
          <cell r="AC352">
            <v>-21681.1</v>
          </cell>
          <cell r="AD352">
            <v>-21264.3</v>
          </cell>
          <cell r="AE352">
            <v>-20770.3</v>
          </cell>
          <cell r="AF352">
            <v>-20179.8</v>
          </cell>
          <cell r="AG352">
            <v>-17535.599999999999</v>
          </cell>
          <cell r="AH352">
            <v>-18410.3</v>
          </cell>
          <cell r="AJ352">
            <v>-21429.3</v>
          </cell>
        </row>
        <row r="353">
          <cell r="J353">
            <v>-1621.3</v>
          </cell>
          <cell r="K353">
            <v>-1584.7</v>
          </cell>
          <cell r="L353">
            <v>-1610.3</v>
          </cell>
          <cell r="M353">
            <v>-1615.7</v>
          </cell>
          <cell r="N353">
            <v>-1544.7</v>
          </cell>
          <cell r="O353">
            <v>-1568.8</v>
          </cell>
          <cell r="P353">
            <v>-1800.1</v>
          </cell>
          <cell r="Q353">
            <v>-1790.1</v>
          </cell>
          <cell r="R353">
            <v>-1604.6</v>
          </cell>
          <cell r="S353">
            <v>-575.5</v>
          </cell>
          <cell r="T353">
            <v>-1802.1</v>
          </cell>
          <cell r="U353">
            <v>-1855.1</v>
          </cell>
          <cell r="V353">
            <v>-1789</v>
          </cell>
          <cell r="W353">
            <v>-1760.9</v>
          </cell>
          <cell r="X353">
            <v>-1776.1</v>
          </cell>
          <cell r="Y353">
            <v>-1810.4</v>
          </cell>
          <cell r="Z353">
            <v>-1739.2</v>
          </cell>
          <cell r="AA353">
            <v>-1745.2</v>
          </cell>
          <cell r="AB353">
            <v>-396.5</v>
          </cell>
          <cell r="AC353">
            <v>-370.9</v>
          </cell>
          <cell r="AD353">
            <v>-345.2</v>
          </cell>
          <cell r="AE353">
            <v>-302.60000000000002</v>
          </cell>
          <cell r="AF353">
            <v>-288.2</v>
          </cell>
          <cell r="AG353">
            <v>-265.10000000000002</v>
          </cell>
          <cell r="AH353">
            <v>-221.7</v>
          </cell>
          <cell r="AJ353">
            <v>-1584.7</v>
          </cell>
        </row>
        <row r="354">
          <cell r="J354">
            <v>-10514.8</v>
          </cell>
          <cell r="K354">
            <v>-10841.5</v>
          </cell>
          <cell r="L354">
            <v>-11865.8</v>
          </cell>
          <cell r="M354">
            <v>-13468.1</v>
          </cell>
          <cell r="N354">
            <v>-14516.7</v>
          </cell>
          <cell r="O354">
            <v>-15356.5</v>
          </cell>
          <cell r="P354">
            <v>-15647.4</v>
          </cell>
          <cell r="Q354">
            <v>-13137.5</v>
          </cell>
          <cell r="R354">
            <v>-12218.6</v>
          </cell>
          <cell r="S354">
            <v>-13990.3</v>
          </cell>
          <cell r="T354">
            <v>-11361.8</v>
          </cell>
          <cell r="U354">
            <v>-11472.4</v>
          </cell>
          <cell r="V354">
            <v>-11992.5</v>
          </cell>
          <cell r="W354">
            <v>-11898.7</v>
          </cell>
          <cell r="X354">
            <v>-13259.7</v>
          </cell>
          <cell r="Y354">
            <v>-15018.9</v>
          </cell>
          <cell r="Z354">
            <v>-15372.6</v>
          </cell>
          <cell r="AA354">
            <v>-17325.900000000001</v>
          </cell>
          <cell r="AB354">
            <v>-8397.6</v>
          </cell>
          <cell r="AC354">
            <v>-7600.4</v>
          </cell>
          <cell r="AD354">
            <v>-7218.9</v>
          </cell>
          <cell r="AE354">
            <v>-8032.7</v>
          </cell>
          <cell r="AF354">
            <v>-7023</v>
          </cell>
          <cell r="AG354">
            <v>-6550.2</v>
          </cell>
          <cell r="AH354">
            <v>-6524</v>
          </cell>
          <cell r="AJ354">
            <v>-10841.5</v>
          </cell>
        </row>
        <row r="355">
          <cell r="J355">
            <v>-284</v>
          </cell>
          <cell r="K355">
            <v>-271.89999999999998</v>
          </cell>
          <cell r="L355">
            <v>-290.2</v>
          </cell>
          <cell r="M355">
            <v>-302.39999999999998</v>
          </cell>
          <cell r="N355">
            <v>-302.10000000000002</v>
          </cell>
          <cell r="O355">
            <v>-347.8</v>
          </cell>
          <cell r="P355">
            <v>-394.2</v>
          </cell>
          <cell r="Q355">
            <v>-339.7</v>
          </cell>
          <cell r="R355">
            <v>-344.5</v>
          </cell>
          <cell r="S355">
            <v>-330.9</v>
          </cell>
          <cell r="T355">
            <v>-310.39999999999998</v>
          </cell>
          <cell r="U355">
            <v>-323.60000000000002</v>
          </cell>
          <cell r="V355">
            <v>-301.5</v>
          </cell>
          <cell r="W355">
            <v>-289.8</v>
          </cell>
          <cell r="X355">
            <v>-307.10000000000002</v>
          </cell>
          <cell r="Y355">
            <v>-338.8</v>
          </cell>
          <cell r="Z355">
            <v>-326.10000000000002</v>
          </cell>
          <cell r="AA355">
            <v>-388.6</v>
          </cell>
          <cell r="AB355">
            <v>-226.3</v>
          </cell>
          <cell r="AC355">
            <v>-189.7</v>
          </cell>
          <cell r="AD355">
            <v>-201.8</v>
          </cell>
          <cell r="AE355">
            <v>-162.9</v>
          </cell>
          <cell r="AF355">
            <v>-165.5</v>
          </cell>
          <cell r="AG355">
            <v>-172.1</v>
          </cell>
          <cell r="AH355">
            <v>-154.69999999999999</v>
          </cell>
          <cell r="AJ355">
            <v>-271.89999999999998</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J356">
            <v>0</v>
          </cell>
        </row>
        <row r="357">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J357">
            <v>0</v>
          </cell>
        </row>
        <row r="358">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J358">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J360">
            <v>0</v>
          </cell>
        </row>
        <row r="361">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J361">
            <v>0</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J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J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J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J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J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J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J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J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J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J371">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J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J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J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J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J377">
            <v>0</v>
          </cell>
        </row>
        <row r="378">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J378">
            <v>0</v>
          </cell>
        </row>
        <row r="379">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J379">
            <v>0</v>
          </cell>
        </row>
        <row r="380">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J380">
            <v>0</v>
          </cell>
        </row>
        <row r="381">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J381">
            <v>0</v>
          </cell>
        </row>
        <row r="382">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J382">
            <v>0</v>
          </cell>
        </row>
        <row r="383">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J383">
            <v>0</v>
          </cell>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J384">
            <v>0</v>
          </cell>
        </row>
        <row r="386">
          <cell r="J386">
            <v>1296279.3999999999</v>
          </cell>
          <cell r="K386">
            <v>1325761.2</v>
          </cell>
          <cell r="L386">
            <v>1884620.9</v>
          </cell>
          <cell r="M386">
            <v>2024309.2</v>
          </cell>
          <cell r="N386">
            <v>2415926</v>
          </cell>
          <cell r="O386">
            <v>2897355.9</v>
          </cell>
          <cell r="P386">
            <v>1123930.7</v>
          </cell>
          <cell r="Q386">
            <v>764891.5</v>
          </cell>
          <cell r="R386">
            <v>583188.19999999995</v>
          </cell>
          <cell r="S386">
            <v>604261.19999999995</v>
          </cell>
          <cell r="T386">
            <v>645601.6</v>
          </cell>
          <cell r="U386">
            <v>664815.4</v>
          </cell>
          <cell r="V386">
            <v>536471.69999999995</v>
          </cell>
          <cell r="W386">
            <v>579594.69999999995</v>
          </cell>
          <cell r="X386">
            <v>825671.8</v>
          </cell>
          <cell r="Y386">
            <v>1032496.9</v>
          </cell>
          <cell r="Z386">
            <v>1117128.3</v>
          </cell>
          <cell r="AA386">
            <v>1368780.6</v>
          </cell>
          <cell r="AB386">
            <v>1081850.8999999999</v>
          </cell>
          <cell r="AC386">
            <v>719751</v>
          </cell>
          <cell r="AD386">
            <v>607807.1</v>
          </cell>
          <cell r="AE386">
            <v>593343.9</v>
          </cell>
          <cell r="AF386">
            <v>649558.69999999995</v>
          </cell>
          <cell r="AG386">
            <v>631979</v>
          </cell>
          <cell r="AH386">
            <v>577588.6</v>
          </cell>
          <cell r="AJ386">
            <v>1325761.2</v>
          </cell>
        </row>
        <row r="387">
          <cell r="J387">
            <v>0</v>
          </cell>
          <cell r="K387">
            <v>0</v>
          </cell>
          <cell r="L387">
            <v>0</v>
          </cell>
          <cell r="M387">
            <v>0</v>
          </cell>
          <cell r="N387">
            <v>0</v>
          </cell>
          <cell r="O387">
            <v>0</v>
          </cell>
          <cell r="P387">
            <v>1013791.2</v>
          </cell>
          <cell r="Q387">
            <v>709271.3</v>
          </cell>
          <cell r="R387">
            <v>542958.6</v>
          </cell>
          <cell r="S387">
            <v>559348.5</v>
          </cell>
          <cell r="T387">
            <v>592054.80000000005</v>
          </cell>
          <cell r="U387">
            <v>615326.9</v>
          </cell>
          <cell r="V387">
            <v>500599.1</v>
          </cell>
          <cell r="W387">
            <v>540802.9</v>
          </cell>
          <cell r="X387">
            <v>771444.1</v>
          </cell>
          <cell r="Y387">
            <v>940468.6</v>
          </cell>
          <cell r="Z387">
            <v>1015999.4</v>
          </cell>
          <cell r="AA387">
            <v>1252801.5</v>
          </cell>
          <cell r="AB387">
            <v>954517.3</v>
          </cell>
          <cell r="AC387">
            <v>665033.5</v>
          </cell>
          <cell r="AD387">
            <v>564774.19999999995</v>
          </cell>
          <cell r="AE387">
            <v>547471.30000000005</v>
          </cell>
          <cell r="AF387">
            <v>589159.4</v>
          </cell>
          <cell r="AG387">
            <v>583850.6</v>
          </cell>
          <cell r="AH387">
            <v>540698.4</v>
          </cell>
          <cell r="AJ387">
            <v>0</v>
          </cell>
        </row>
        <row r="388">
          <cell r="J388">
            <v>0</v>
          </cell>
          <cell r="K388">
            <v>0</v>
          </cell>
          <cell r="L388">
            <v>0</v>
          </cell>
          <cell r="M388">
            <v>0</v>
          </cell>
          <cell r="N388">
            <v>0</v>
          </cell>
          <cell r="O388">
            <v>0</v>
          </cell>
          <cell r="P388">
            <v>233923.4</v>
          </cell>
          <cell r="Q388">
            <v>178259.7</v>
          </cell>
          <cell r="R388">
            <v>177055.9</v>
          </cell>
          <cell r="S388">
            <v>200206.6</v>
          </cell>
          <cell r="T388">
            <v>191516.1</v>
          </cell>
          <cell r="U388">
            <v>199028.8</v>
          </cell>
          <cell r="V388">
            <v>195134</v>
          </cell>
          <cell r="W388">
            <v>170792.8</v>
          </cell>
          <cell r="X388">
            <v>189744.4</v>
          </cell>
          <cell r="Y388">
            <v>206368.8</v>
          </cell>
          <cell r="Z388">
            <v>209895.6</v>
          </cell>
          <cell r="AA388">
            <v>242502</v>
          </cell>
          <cell r="AB388">
            <v>230295.7</v>
          </cell>
          <cell r="AC388">
            <v>159414.79999999999</v>
          </cell>
          <cell r="AD388">
            <v>170324.5</v>
          </cell>
          <cell r="AE388">
            <v>191179.6</v>
          </cell>
          <cell r="AF388">
            <v>187421.4</v>
          </cell>
          <cell r="AG388">
            <v>191759.3</v>
          </cell>
          <cell r="AH388">
            <v>181008.3</v>
          </cell>
          <cell r="AJ388">
            <v>0</v>
          </cell>
        </row>
        <row r="389">
          <cell r="J389">
            <v>806360.90000000014</v>
          </cell>
          <cell r="K389">
            <v>739997.1</v>
          </cell>
          <cell r="L389">
            <v>796867.7</v>
          </cell>
          <cell r="M389">
            <v>837606.7</v>
          </cell>
          <cell r="N389">
            <v>912654.1</v>
          </cell>
          <cell r="O389">
            <v>1008369.8</v>
          </cell>
          <cell r="P389">
            <v>562228.69999999995</v>
          </cell>
          <cell r="Q389">
            <v>467307.5</v>
          </cell>
          <cell r="R389">
            <v>463218.6</v>
          </cell>
          <cell r="S389">
            <v>532249</v>
          </cell>
          <cell r="T389">
            <v>524545.5</v>
          </cell>
          <cell r="U389">
            <v>550006.1</v>
          </cell>
          <cell r="V389">
            <v>503996</v>
          </cell>
          <cell r="W389">
            <v>465480.9</v>
          </cell>
          <cell r="X389">
            <v>504928.7</v>
          </cell>
          <cell r="Y389">
            <v>550196.9</v>
          </cell>
          <cell r="Z389">
            <v>573764.19999999995</v>
          </cell>
          <cell r="AA389">
            <v>661897.80000000005</v>
          </cell>
          <cell r="AB389">
            <v>529526.19999999995</v>
          </cell>
          <cell r="AC389">
            <v>472651.8</v>
          </cell>
          <cell r="AD389">
            <v>451989.8</v>
          </cell>
          <cell r="AE389">
            <v>510335.2</v>
          </cell>
          <cell r="AF389">
            <v>542912.19999999995</v>
          </cell>
          <cell r="AG389">
            <v>538975.69999999995</v>
          </cell>
          <cell r="AH389">
            <v>479714.6</v>
          </cell>
          <cell r="AJ389">
            <v>739997.1</v>
          </cell>
        </row>
        <row r="390">
          <cell r="J390">
            <v>164105.19999999998</v>
          </cell>
          <cell r="K390">
            <v>165246.5</v>
          </cell>
          <cell r="L390">
            <v>171837.6</v>
          </cell>
          <cell r="M390">
            <v>166684.20000000001</v>
          </cell>
          <cell r="N390">
            <v>157808.79999999999</v>
          </cell>
          <cell r="O390">
            <v>164584.4</v>
          </cell>
          <cell r="P390">
            <v>160545.60000000001</v>
          </cell>
          <cell r="Q390">
            <v>140193.5</v>
          </cell>
          <cell r="R390">
            <v>65319</v>
          </cell>
          <cell r="S390">
            <v>104887.4</v>
          </cell>
          <cell r="T390">
            <v>80046.7</v>
          </cell>
          <cell r="U390">
            <v>136234.4</v>
          </cell>
          <cell r="V390">
            <v>130494.8</v>
          </cell>
          <cell r="W390">
            <v>99695.2</v>
          </cell>
          <cell r="X390">
            <v>127483.1</v>
          </cell>
          <cell r="Y390">
            <v>125612.3</v>
          </cell>
          <cell r="Z390">
            <v>144363.70000000001</v>
          </cell>
          <cell r="AA390">
            <v>136818.70000000001</v>
          </cell>
          <cell r="AB390">
            <v>202337.3</v>
          </cell>
          <cell r="AC390">
            <v>150608.4</v>
          </cell>
          <cell r="AD390">
            <v>78722.8</v>
          </cell>
          <cell r="AE390">
            <v>110354.2</v>
          </cell>
          <cell r="AF390">
            <v>130074.4</v>
          </cell>
          <cell r="AG390">
            <v>158676.4</v>
          </cell>
          <cell r="AH390">
            <v>175170.7</v>
          </cell>
          <cell r="AJ390">
            <v>165246.5</v>
          </cell>
        </row>
        <row r="391">
          <cell r="J391">
            <v>801403.00000000012</v>
          </cell>
          <cell r="K391">
            <v>763335.8</v>
          </cell>
          <cell r="L391">
            <v>818096.4</v>
          </cell>
          <cell r="M391">
            <v>837081.3</v>
          </cell>
          <cell r="N391">
            <v>879807.2</v>
          </cell>
          <cell r="O391">
            <v>829691.9</v>
          </cell>
          <cell r="P391">
            <v>762936.6</v>
          </cell>
          <cell r="Q391">
            <v>726213.3</v>
          </cell>
          <cell r="R391">
            <v>729068.5</v>
          </cell>
          <cell r="S391">
            <v>737530.8</v>
          </cell>
          <cell r="T391">
            <v>684230.9</v>
          </cell>
          <cell r="U391">
            <v>628811.30000000005</v>
          </cell>
          <cell r="V391">
            <v>702173.3</v>
          </cell>
          <cell r="W391">
            <v>701468.1</v>
          </cell>
          <cell r="X391">
            <v>739766.5</v>
          </cell>
          <cell r="Y391">
            <v>775436.9</v>
          </cell>
          <cell r="Z391">
            <v>763423.1</v>
          </cell>
          <cell r="AA391">
            <v>759810.9</v>
          </cell>
          <cell r="AB391">
            <v>784121</v>
          </cell>
          <cell r="AC391">
            <v>738290.9</v>
          </cell>
          <cell r="AD391">
            <v>750105.3</v>
          </cell>
          <cell r="AE391">
            <v>731052.1</v>
          </cell>
          <cell r="AF391">
            <v>702646</v>
          </cell>
          <cell r="AG391">
            <v>639276.80000000005</v>
          </cell>
          <cell r="AH391">
            <v>696801.5</v>
          </cell>
          <cell r="AJ391">
            <v>763335.8</v>
          </cell>
        </row>
        <row r="392">
          <cell r="J392">
            <v>38699.1</v>
          </cell>
          <cell r="K392">
            <v>38044.1</v>
          </cell>
          <cell r="L392">
            <v>38857.599999999999</v>
          </cell>
          <cell r="M392">
            <v>39414.699999999997</v>
          </cell>
          <cell r="N392">
            <v>37883.5</v>
          </cell>
          <cell r="O392">
            <v>39056.9</v>
          </cell>
          <cell r="P392">
            <v>38249.9</v>
          </cell>
          <cell r="Q392">
            <v>37764.5</v>
          </cell>
          <cell r="R392">
            <v>34032.300000000003</v>
          </cell>
          <cell r="S392">
            <v>14096.8</v>
          </cell>
          <cell r="T392">
            <v>37132.800000000003</v>
          </cell>
          <cell r="U392">
            <v>37970.5</v>
          </cell>
          <cell r="V392">
            <v>36538.400000000001</v>
          </cell>
          <cell r="W392">
            <v>36183</v>
          </cell>
          <cell r="X392">
            <v>36683</v>
          </cell>
          <cell r="Y392">
            <v>37821.699999999997</v>
          </cell>
          <cell r="Z392">
            <v>36312.699999999997</v>
          </cell>
          <cell r="AA392">
            <v>37023.699999999997</v>
          </cell>
          <cell r="AB392">
            <v>34070.5</v>
          </cell>
          <cell r="AC392">
            <v>34269.9</v>
          </cell>
          <cell r="AD392">
            <v>33430.1</v>
          </cell>
          <cell r="AE392">
            <v>33384.199999999997</v>
          </cell>
          <cell r="AF392">
            <v>31422.7</v>
          </cell>
          <cell r="AG392">
            <v>31843.1</v>
          </cell>
          <cell r="AH392">
            <v>30756.2</v>
          </cell>
          <cell r="AJ392">
            <v>38044.1</v>
          </cell>
        </row>
        <row r="393">
          <cell r="J393">
            <v>344995.8</v>
          </cell>
          <cell r="K393">
            <v>350737</v>
          </cell>
          <cell r="L393">
            <v>377360.2</v>
          </cell>
          <cell r="M393">
            <v>426303.7</v>
          </cell>
          <cell r="N393">
            <v>473008.2</v>
          </cell>
          <cell r="O393">
            <v>493657.5</v>
          </cell>
          <cell r="P393">
            <v>395922.3</v>
          </cell>
          <cell r="Q393">
            <v>329515.90000000002</v>
          </cell>
          <cell r="R393">
            <v>304976.8</v>
          </cell>
          <cell r="S393">
            <v>351623.1</v>
          </cell>
          <cell r="T393">
            <v>284636.7</v>
          </cell>
          <cell r="U393">
            <v>287802.40000000002</v>
          </cell>
          <cell r="V393">
            <v>303719.3</v>
          </cell>
          <cell r="W393">
            <v>300783</v>
          </cell>
          <cell r="X393">
            <v>332848.7</v>
          </cell>
          <cell r="Y393">
            <v>379975.1</v>
          </cell>
          <cell r="Z393">
            <v>392604.4</v>
          </cell>
          <cell r="AA393">
            <v>444501.7</v>
          </cell>
          <cell r="AB393">
            <v>344937.7</v>
          </cell>
          <cell r="AC393">
            <v>322228.5</v>
          </cell>
          <cell r="AD393">
            <v>302050.3</v>
          </cell>
          <cell r="AE393">
            <v>333084.5</v>
          </cell>
          <cell r="AF393">
            <v>298609.40000000002</v>
          </cell>
          <cell r="AG393">
            <v>275859.8</v>
          </cell>
          <cell r="AH393">
            <v>306490.59999999998</v>
          </cell>
          <cell r="AJ393">
            <v>350737</v>
          </cell>
        </row>
        <row r="394">
          <cell r="J394">
            <v>9178.3000000000011</v>
          </cell>
          <cell r="K394">
            <v>8723.9</v>
          </cell>
          <cell r="L394">
            <v>9300.5</v>
          </cell>
          <cell r="M394">
            <v>9523.7000000000007</v>
          </cell>
          <cell r="N394">
            <v>9824</v>
          </cell>
          <cell r="O394">
            <v>11245.1</v>
          </cell>
          <cell r="P394">
            <v>9972</v>
          </cell>
          <cell r="Q394">
            <v>8478.7000000000007</v>
          </cell>
          <cell r="R394">
            <v>8627.9</v>
          </cell>
          <cell r="S394">
            <v>8356.5</v>
          </cell>
          <cell r="T394">
            <v>7820.9</v>
          </cell>
          <cell r="U394">
            <v>8192</v>
          </cell>
          <cell r="V394">
            <v>7555.5</v>
          </cell>
          <cell r="W394">
            <v>7281.6</v>
          </cell>
          <cell r="X394">
            <v>7754.5</v>
          </cell>
          <cell r="Y394">
            <v>8539.1</v>
          </cell>
          <cell r="Z394">
            <v>8316.6</v>
          </cell>
          <cell r="AA394">
            <v>10013.6</v>
          </cell>
          <cell r="AB394">
            <v>8401.2999999999993</v>
          </cell>
          <cell r="AC394">
            <v>7080.6</v>
          </cell>
          <cell r="AD394">
            <v>7548.8</v>
          </cell>
          <cell r="AE394">
            <v>5992.5</v>
          </cell>
          <cell r="AF394">
            <v>6198.5</v>
          </cell>
          <cell r="AG394">
            <v>6397.4</v>
          </cell>
          <cell r="AH394">
            <v>6331.8</v>
          </cell>
          <cell r="AJ394">
            <v>8723.9</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J395">
            <v>0</v>
          </cell>
        </row>
        <row r="396">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J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J397">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J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J400">
            <v>0</v>
          </cell>
        </row>
        <row r="402">
          <cell r="J402">
            <v>0</v>
          </cell>
          <cell r="K402">
            <v>0</v>
          </cell>
          <cell r="L402">
            <v>0</v>
          </cell>
          <cell r="M402">
            <v>0</v>
          </cell>
          <cell r="N402">
            <v>0</v>
          </cell>
          <cell r="O402">
            <v>0</v>
          </cell>
          <cell r="P402">
            <v>-3921</v>
          </cell>
          <cell r="Q402">
            <v>19797.2</v>
          </cell>
          <cell r="R402">
            <v>19737.7</v>
          </cell>
          <cell r="S402">
            <v>11992.6</v>
          </cell>
          <cell r="T402">
            <v>-8783.7000000000007</v>
          </cell>
          <cell r="U402">
            <v>11271.1</v>
          </cell>
          <cell r="V402">
            <v>13061.9</v>
          </cell>
          <cell r="W402">
            <v>11847.4</v>
          </cell>
          <cell r="X402">
            <v>12836.8</v>
          </cell>
          <cell r="Y402">
            <v>11515.5</v>
          </cell>
          <cell r="Z402">
            <v>11173.4</v>
          </cell>
          <cell r="AA402">
            <v>10662.7</v>
          </cell>
          <cell r="AB402">
            <v>65281.1</v>
          </cell>
          <cell r="AC402">
            <v>12503.1</v>
          </cell>
          <cell r="AD402">
            <v>12713.6</v>
          </cell>
          <cell r="AE402">
            <v>25557.3</v>
          </cell>
          <cell r="AF402">
            <v>15321</v>
          </cell>
          <cell r="AG402">
            <v>12260.5</v>
          </cell>
          <cell r="AH402">
            <v>14768.9</v>
          </cell>
          <cell r="AJ402">
            <v>0</v>
          </cell>
        </row>
        <row r="404">
          <cell r="J404">
            <v>1321903.2</v>
          </cell>
          <cell r="K404">
            <v>1064411.8999999999</v>
          </cell>
          <cell r="L404">
            <v>-2107388.2000000002</v>
          </cell>
          <cell r="M404">
            <v>52582.9</v>
          </cell>
          <cell r="N404">
            <v>-3356944</v>
          </cell>
          <cell r="O404">
            <v>-2260152.7000000002</v>
          </cell>
          <cell r="P404">
            <v>3782861.3</v>
          </cell>
          <cell r="Q404">
            <v>3330182.1</v>
          </cell>
          <cell r="R404">
            <v>1282169.6000000001</v>
          </cell>
          <cell r="S404">
            <v>-2005921.5</v>
          </cell>
          <cell r="T404">
            <v>342634.2</v>
          </cell>
          <cell r="U404">
            <v>865649.8</v>
          </cell>
          <cell r="V404">
            <v>-740055</v>
          </cell>
          <cell r="W404">
            <v>-1081304.7</v>
          </cell>
          <cell r="X404">
            <v>-2855529.1</v>
          </cell>
          <cell r="Y404">
            <v>-979336.3</v>
          </cell>
          <cell r="Z404">
            <v>-2510171.5</v>
          </cell>
          <cell r="AA404">
            <v>905465.6</v>
          </cell>
          <cell r="AB404">
            <v>3908644.9</v>
          </cell>
          <cell r="AC404">
            <v>2489952.9</v>
          </cell>
          <cell r="AD404">
            <v>1867514.3</v>
          </cell>
          <cell r="AE404">
            <v>-1403851.8</v>
          </cell>
          <cell r="AF404">
            <v>-66635</v>
          </cell>
          <cell r="AG404">
            <v>524532.19999999995</v>
          </cell>
          <cell r="AH404">
            <v>-654843</v>
          </cell>
          <cell r="AJ404">
            <v>1064411.8999999999</v>
          </cell>
        </row>
        <row r="405">
          <cell r="J405">
            <v>0</v>
          </cell>
          <cell r="K405">
            <v>0</v>
          </cell>
          <cell r="L405">
            <v>0</v>
          </cell>
          <cell r="M405">
            <v>0</v>
          </cell>
          <cell r="N405">
            <v>0</v>
          </cell>
          <cell r="O405">
            <v>0</v>
          </cell>
          <cell r="P405">
            <v>3153852.5</v>
          </cell>
          <cell r="Q405">
            <v>3054839.1</v>
          </cell>
          <cell r="R405">
            <v>1213254.1000000001</v>
          </cell>
          <cell r="S405">
            <v>-1777336.3</v>
          </cell>
          <cell r="T405">
            <v>253060.2</v>
          </cell>
          <cell r="U405">
            <v>751130</v>
          </cell>
          <cell r="V405">
            <v>-677459.7</v>
          </cell>
          <cell r="W405">
            <v>-1037868</v>
          </cell>
          <cell r="X405">
            <v>-2409529.6</v>
          </cell>
          <cell r="Y405">
            <v>-880218.1</v>
          </cell>
          <cell r="Z405">
            <v>-2373836.9</v>
          </cell>
          <cell r="AA405">
            <v>1032778.5</v>
          </cell>
          <cell r="AB405">
            <v>2984072.4</v>
          </cell>
          <cell r="AC405">
            <v>2261720.2999999998</v>
          </cell>
          <cell r="AD405">
            <v>1769201.7</v>
          </cell>
          <cell r="AE405">
            <v>-1167822.8</v>
          </cell>
          <cell r="AF405">
            <v>-171610</v>
          </cell>
          <cell r="AG405">
            <v>398453.2</v>
          </cell>
          <cell r="AH405">
            <v>-515002.5</v>
          </cell>
          <cell r="AJ405">
            <v>0</v>
          </cell>
        </row>
        <row r="406">
          <cell r="J406">
            <v>0</v>
          </cell>
          <cell r="K406">
            <v>0</v>
          </cell>
          <cell r="L406">
            <v>0</v>
          </cell>
          <cell r="M406">
            <v>0</v>
          </cell>
          <cell r="N406">
            <v>0</v>
          </cell>
          <cell r="O406">
            <v>0</v>
          </cell>
          <cell r="P406">
            <v>561406.19999999995</v>
          </cell>
          <cell r="Q406">
            <v>228241.8</v>
          </cell>
          <cell r="R406">
            <v>210041.1</v>
          </cell>
          <cell r="S406">
            <v>-377401.7</v>
          </cell>
          <cell r="T406">
            <v>63284.2</v>
          </cell>
          <cell r="U406">
            <v>-57943.7</v>
          </cell>
          <cell r="V406">
            <v>141426.29999999999</v>
          </cell>
          <cell r="W406">
            <v>188651.3</v>
          </cell>
          <cell r="X406">
            <v>-247119.2</v>
          </cell>
          <cell r="Y406">
            <v>-80311.199999999997</v>
          </cell>
          <cell r="Z406">
            <v>-287330.3</v>
          </cell>
          <cell r="AA406">
            <v>-222371.6</v>
          </cell>
          <cell r="AB406">
            <v>662790.40000000002</v>
          </cell>
          <cell r="AC406">
            <v>11269.1</v>
          </cell>
          <cell r="AD406">
            <v>254834.5</v>
          </cell>
          <cell r="AE406">
            <v>-208411.9</v>
          </cell>
          <cell r="AF406">
            <v>-111919.3</v>
          </cell>
          <cell r="AG406">
            <v>87587.199999999997</v>
          </cell>
          <cell r="AH406">
            <v>160149.79999999999</v>
          </cell>
          <cell r="AJ406">
            <v>0</v>
          </cell>
        </row>
        <row r="407">
          <cell r="J407">
            <v>827801.3</v>
          </cell>
          <cell r="K407">
            <v>600662.30000000005</v>
          </cell>
          <cell r="L407">
            <v>-866391.9</v>
          </cell>
          <cell r="M407">
            <v>20474.7</v>
          </cell>
          <cell r="N407">
            <v>-1200788.5</v>
          </cell>
          <cell r="O407">
            <v>-752318.1</v>
          </cell>
          <cell r="P407">
            <v>804792</v>
          </cell>
          <cell r="Q407">
            <v>654269.4</v>
          </cell>
          <cell r="R407">
            <v>669825.4</v>
          </cell>
          <cell r="S407">
            <v>-1359846</v>
          </cell>
          <cell r="T407">
            <v>109202.8</v>
          </cell>
          <cell r="U407">
            <v>185944.6</v>
          </cell>
          <cell r="V407">
            <v>135611</v>
          </cell>
          <cell r="W407">
            <v>760910.2</v>
          </cell>
          <cell r="X407">
            <v>-752247.4</v>
          </cell>
          <cell r="Y407">
            <v>-309954</v>
          </cell>
          <cell r="Z407">
            <v>-954546.5</v>
          </cell>
          <cell r="AA407">
            <v>356728.1</v>
          </cell>
          <cell r="AB407">
            <v>158250.20000000001</v>
          </cell>
          <cell r="AC407">
            <v>656779.30000000005</v>
          </cell>
          <cell r="AD407">
            <v>684652.9</v>
          </cell>
          <cell r="AE407">
            <v>-1000600.7</v>
          </cell>
          <cell r="AF407">
            <v>-264495.09999999998</v>
          </cell>
          <cell r="AG407">
            <v>556528.9</v>
          </cell>
          <cell r="AH407">
            <v>232940.5</v>
          </cell>
          <cell r="AJ407">
            <v>600662.30000000005</v>
          </cell>
        </row>
        <row r="408">
          <cell r="J408">
            <v>186818.3</v>
          </cell>
          <cell r="K408">
            <v>147131.9</v>
          </cell>
          <cell r="L408">
            <v>-201340.6</v>
          </cell>
          <cell r="M408">
            <v>4541.7</v>
          </cell>
          <cell r="N408">
            <v>-231107.4</v>
          </cell>
          <cell r="O408">
            <v>-137531.9</v>
          </cell>
          <cell r="P408">
            <v>139139.1</v>
          </cell>
          <cell r="Q408">
            <v>1116874.7</v>
          </cell>
          <cell r="R408">
            <v>-152697.4</v>
          </cell>
          <cell r="S408">
            <v>-15302.7</v>
          </cell>
          <cell r="T408">
            <v>-547967.1</v>
          </cell>
          <cell r="U408">
            <v>-49599.199999999997</v>
          </cell>
          <cell r="V408">
            <v>309169.2</v>
          </cell>
          <cell r="W408">
            <v>13272.1</v>
          </cell>
          <cell r="X408">
            <v>-114309.4</v>
          </cell>
          <cell r="Y408">
            <v>-224581.4</v>
          </cell>
          <cell r="Z408">
            <v>53054.5</v>
          </cell>
          <cell r="AA408">
            <v>-385078.6</v>
          </cell>
          <cell r="AB408">
            <v>535158.9</v>
          </cell>
          <cell r="AC408">
            <v>1194128.5</v>
          </cell>
          <cell r="AD408">
            <v>-106096.3</v>
          </cell>
          <cell r="AE408">
            <v>-382168.1</v>
          </cell>
          <cell r="AF408">
            <v>-464055.9</v>
          </cell>
          <cell r="AG408">
            <v>-271135.90000000002</v>
          </cell>
          <cell r="AH408">
            <v>34161.699999999997</v>
          </cell>
          <cell r="AJ408">
            <v>147131.9</v>
          </cell>
        </row>
        <row r="409">
          <cell r="J409">
            <v>956312.1</v>
          </cell>
          <cell r="K409">
            <v>729041.8</v>
          </cell>
          <cell r="L409">
            <v>-1065249.3</v>
          </cell>
          <cell r="M409">
            <v>25015.599999999999</v>
          </cell>
          <cell r="N409">
            <v>-1408480.3</v>
          </cell>
          <cell r="O409">
            <v>-742397.5</v>
          </cell>
          <cell r="P409">
            <v>-114513.1</v>
          </cell>
          <cell r="Q409">
            <v>1639003.8</v>
          </cell>
          <cell r="R409">
            <v>2163260.6</v>
          </cell>
          <cell r="S409">
            <v>-1628652.1</v>
          </cell>
          <cell r="T409">
            <v>1466214.2</v>
          </cell>
          <cell r="U409">
            <v>-1616322.7</v>
          </cell>
          <cell r="V409">
            <v>-575174.6</v>
          </cell>
          <cell r="W409">
            <v>1383943.8</v>
          </cell>
          <cell r="X409">
            <v>-1142542.2</v>
          </cell>
          <cell r="Y409">
            <v>-27305.3</v>
          </cell>
          <cell r="Z409">
            <v>107290.4</v>
          </cell>
          <cell r="AA409">
            <v>-1212669.2</v>
          </cell>
          <cell r="AB409">
            <v>-664144.5</v>
          </cell>
          <cell r="AC409">
            <v>1198016.6000000001</v>
          </cell>
          <cell r="AD409">
            <v>2830586.4</v>
          </cell>
          <cell r="AE409">
            <v>-761778.2</v>
          </cell>
          <cell r="AF409">
            <v>912376.1</v>
          </cell>
          <cell r="AG409">
            <v>-1567350.5</v>
          </cell>
          <cell r="AH409">
            <v>-621098.1</v>
          </cell>
          <cell r="AJ409">
            <v>729041.8</v>
          </cell>
        </row>
        <row r="410">
          <cell r="J410">
            <v>12182.4</v>
          </cell>
          <cell r="K410">
            <v>10069.700000000001</v>
          </cell>
          <cell r="L410">
            <v>-14766.3</v>
          </cell>
          <cell r="M410">
            <v>378.8</v>
          </cell>
          <cell r="N410">
            <v>-19299.099999999999</v>
          </cell>
          <cell r="O410">
            <v>-12683.1</v>
          </cell>
          <cell r="P410">
            <v>1552</v>
          </cell>
          <cell r="Q410">
            <v>31631.7</v>
          </cell>
          <cell r="R410">
            <v>47078.8</v>
          </cell>
          <cell r="S410">
            <v>-19521.5</v>
          </cell>
          <cell r="T410">
            <v>15404.1</v>
          </cell>
          <cell r="U410">
            <v>-1072</v>
          </cell>
          <cell r="V410">
            <v>-12680.5</v>
          </cell>
          <cell r="W410">
            <v>15518.2</v>
          </cell>
          <cell r="X410">
            <v>-26594.7</v>
          </cell>
          <cell r="Y410">
            <v>6090</v>
          </cell>
          <cell r="Z410">
            <v>-21896.5</v>
          </cell>
          <cell r="AA410">
            <v>-28051.1</v>
          </cell>
          <cell r="AB410">
            <v>-10941.1</v>
          </cell>
          <cell r="AC410">
            <v>30600.6</v>
          </cell>
          <cell r="AD410">
            <v>60400.4</v>
          </cell>
          <cell r="AE410">
            <v>-8411.5</v>
          </cell>
          <cell r="AF410">
            <v>5906.3</v>
          </cell>
          <cell r="AG410">
            <v>7372.5</v>
          </cell>
          <cell r="AH410">
            <v>-14628.9</v>
          </cell>
          <cell r="AJ410">
            <v>10069.700000000001</v>
          </cell>
        </row>
        <row r="411">
          <cell r="J411">
            <v>358148.3</v>
          </cell>
          <cell r="K411">
            <v>284392.40000000002</v>
          </cell>
          <cell r="L411">
            <v>-407879.4</v>
          </cell>
          <cell r="M411">
            <v>10657.9</v>
          </cell>
          <cell r="N411">
            <v>-640140.30000000005</v>
          </cell>
          <cell r="O411">
            <v>-377171.4</v>
          </cell>
          <cell r="P411">
            <v>584049.5</v>
          </cell>
          <cell r="Q411">
            <v>794481.1</v>
          </cell>
          <cell r="R411">
            <v>346743.9</v>
          </cell>
          <cell r="S411">
            <v>-177536.9</v>
          </cell>
          <cell r="T411">
            <v>172574</v>
          </cell>
          <cell r="U411">
            <v>-470815.2</v>
          </cell>
          <cell r="V411">
            <v>-95413.7</v>
          </cell>
          <cell r="W411">
            <v>423705.3</v>
          </cell>
          <cell r="X411">
            <v>-745912.8</v>
          </cell>
          <cell r="Y411">
            <v>-217541.5</v>
          </cell>
          <cell r="Z411">
            <v>-534666.80000000005</v>
          </cell>
          <cell r="AA411">
            <v>96352.9</v>
          </cell>
          <cell r="AB411">
            <v>-81292.3</v>
          </cell>
          <cell r="AC411">
            <v>547456.30000000005</v>
          </cell>
          <cell r="AD411">
            <v>550410.5</v>
          </cell>
          <cell r="AE411">
            <v>71265.8</v>
          </cell>
          <cell r="AF411">
            <v>99672</v>
          </cell>
          <cell r="AG411">
            <v>-391749.3</v>
          </cell>
          <cell r="AH411">
            <v>-126864.4</v>
          </cell>
          <cell r="AJ411">
            <v>284392.40000000002</v>
          </cell>
        </row>
        <row r="412">
          <cell r="J412">
            <v>9261.2000000000007</v>
          </cell>
          <cell r="K412">
            <v>6959.2</v>
          </cell>
          <cell r="L412">
            <v>-10212.6</v>
          </cell>
          <cell r="M412">
            <v>235.6</v>
          </cell>
          <cell r="N412">
            <v>-13246.8</v>
          </cell>
          <cell r="O412">
            <v>-8688.1</v>
          </cell>
          <cell r="P412">
            <v>14086.4</v>
          </cell>
          <cell r="Q412">
            <v>10204</v>
          </cell>
          <cell r="R412">
            <v>21950.5</v>
          </cell>
          <cell r="S412">
            <v>-15345.1</v>
          </cell>
          <cell r="T412">
            <v>1384.3</v>
          </cell>
          <cell r="U412">
            <v>2599.5</v>
          </cell>
          <cell r="V412">
            <v>-1285.8</v>
          </cell>
          <cell r="W412">
            <v>10197.9</v>
          </cell>
          <cell r="X412">
            <v>-12295.9</v>
          </cell>
          <cell r="Y412">
            <v>-626.29999999999995</v>
          </cell>
          <cell r="Z412">
            <v>-18691.8</v>
          </cell>
          <cell r="AA412">
            <v>-6945.3</v>
          </cell>
          <cell r="AB412">
            <v>6683.4</v>
          </cell>
          <cell r="AC412">
            <v>1930.8</v>
          </cell>
          <cell r="AD412">
            <v>41186.6</v>
          </cell>
          <cell r="AE412">
            <v>-9384.7999999999993</v>
          </cell>
          <cell r="AF412">
            <v>-6275.7</v>
          </cell>
          <cell r="AG412">
            <v>-1130.4000000000001</v>
          </cell>
          <cell r="AH412">
            <v>-592.1</v>
          </cell>
          <cell r="AJ412">
            <v>6959.2</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J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J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J415">
            <v>0</v>
          </cell>
        </row>
        <row r="417">
          <cell r="J417">
            <v>79280.600000000006</v>
          </cell>
          <cell r="K417">
            <v>86994.6</v>
          </cell>
          <cell r="L417">
            <v>-88298.6</v>
          </cell>
          <cell r="M417">
            <v>18052.099999999999</v>
          </cell>
          <cell r="N417">
            <v>-172131.8</v>
          </cell>
          <cell r="O417">
            <v>-147753.79999999999</v>
          </cell>
          <cell r="P417">
            <v>169136.6</v>
          </cell>
          <cell r="Q417">
            <v>152849.70000000001</v>
          </cell>
          <cell r="R417">
            <v>55601.8</v>
          </cell>
          <cell r="S417">
            <v>-99455.5</v>
          </cell>
          <cell r="T417">
            <v>18952.8</v>
          </cell>
          <cell r="U417">
            <v>42384.1</v>
          </cell>
          <cell r="V417">
            <v>-40905.199999999997</v>
          </cell>
          <cell r="W417">
            <v>-53639.1</v>
          </cell>
          <cell r="X417">
            <v>-131836.9</v>
          </cell>
          <cell r="Y417">
            <v>-32565.200000000001</v>
          </cell>
          <cell r="Z417">
            <v>-110906.1</v>
          </cell>
          <cell r="AA417">
            <v>46248.9</v>
          </cell>
          <cell r="AB417">
            <v>176534.9</v>
          </cell>
          <cell r="AC417">
            <v>109136</v>
          </cell>
          <cell r="AD417">
            <v>85606</v>
          </cell>
          <cell r="AE417">
            <v>-69338.7</v>
          </cell>
          <cell r="AF417">
            <v>-117.7</v>
          </cell>
          <cell r="AG417">
            <v>25845.3</v>
          </cell>
          <cell r="AH417">
            <v>-39457.599999999999</v>
          </cell>
          <cell r="AJ417">
            <v>86994.6</v>
          </cell>
        </row>
        <row r="418">
          <cell r="J418">
            <v>0</v>
          </cell>
          <cell r="K418">
            <v>0</v>
          </cell>
          <cell r="L418">
            <v>0</v>
          </cell>
          <cell r="M418">
            <v>0</v>
          </cell>
          <cell r="N418">
            <v>0</v>
          </cell>
          <cell r="O418">
            <v>0</v>
          </cell>
          <cell r="P418">
            <v>139252.29999999999</v>
          </cell>
          <cell r="Q418">
            <v>141163</v>
          </cell>
          <cell r="R418">
            <v>52871.4</v>
          </cell>
          <cell r="S418">
            <v>-88867.199999999997</v>
          </cell>
          <cell r="T418">
            <v>13974.7</v>
          </cell>
          <cell r="U418">
            <v>37262.300000000003</v>
          </cell>
          <cell r="V418">
            <v>-37630.199999999997</v>
          </cell>
          <cell r="W418">
            <v>-52388.800000000003</v>
          </cell>
          <cell r="X418">
            <v>-109432.2</v>
          </cell>
          <cell r="Y418">
            <v>-29802.9</v>
          </cell>
          <cell r="Z418">
            <v>-105294.5</v>
          </cell>
          <cell r="AA418">
            <v>53198.2</v>
          </cell>
          <cell r="AB418">
            <v>132469.79999999999</v>
          </cell>
          <cell r="AC418">
            <v>100180.1</v>
          </cell>
          <cell r="AD418">
            <v>81259.600000000006</v>
          </cell>
          <cell r="AE418">
            <v>-58079</v>
          </cell>
          <cell r="AF418">
            <v>-6066.3</v>
          </cell>
          <cell r="AG418">
            <v>19060</v>
          </cell>
          <cell r="AH418">
            <v>-32211.9</v>
          </cell>
          <cell r="AJ418">
            <v>0</v>
          </cell>
        </row>
        <row r="419">
          <cell r="J419">
            <v>0</v>
          </cell>
          <cell r="K419">
            <v>0</v>
          </cell>
          <cell r="L419">
            <v>0</v>
          </cell>
          <cell r="M419">
            <v>0</v>
          </cell>
          <cell r="N419">
            <v>0</v>
          </cell>
          <cell r="O419">
            <v>0</v>
          </cell>
          <cell r="P419">
            <v>30239.8</v>
          </cell>
          <cell r="Q419">
            <v>7316.8</v>
          </cell>
          <cell r="R419">
            <v>13407.3</v>
          </cell>
          <cell r="S419">
            <v>-16792.8</v>
          </cell>
          <cell r="T419">
            <v>1411.2</v>
          </cell>
          <cell r="U419">
            <v>-2517.6</v>
          </cell>
          <cell r="V419">
            <v>4802.5</v>
          </cell>
          <cell r="W419">
            <v>11027.6</v>
          </cell>
          <cell r="X419">
            <v>-13177.6</v>
          </cell>
          <cell r="Y419">
            <v>-5785.7</v>
          </cell>
          <cell r="Z419">
            <v>-12242.9</v>
          </cell>
          <cell r="AA419">
            <v>-11363</v>
          </cell>
          <cell r="AB419">
            <v>35822</v>
          </cell>
          <cell r="AC419">
            <v>-1927.6</v>
          </cell>
          <cell r="AD419">
            <v>14582.8</v>
          </cell>
          <cell r="AE419">
            <v>-9709.4</v>
          </cell>
          <cell r="AF419">
            <v>-4395.8</v>
          </cell>
          <cell r="AG419">
            <v>3639.8</v>
          </cell>
          <cell r="AH419">
            <v>6834.3</v>
          </cell>
          <cell r="AJ419">
            <v>0</v>
          </cell>
        </row>
        <row r="420">
          <cell r="J420">
            <v>50723.4</v>
          </cell>
          <cell r="K420">
            <v>27559.4</v>
          </cell>
          <cell r="L420">
            <v>-52947.6</v>
          </cell>
          <cell r="M420">
            <v>10385.9</v>
          </cell>
          <cell r="N420">
            <v>-58963.6</v>
          </cell>
          <cell r="O420">
            <v>-48554.1</v>
          </cell>
          <cell r="P420">
            <v>33509</v>
          </cell>
          <cell r="Q420">
            <v>27738.799999999999</v>
          </cell>
          <cell r="R420">
            <v>38905.599999999999</v>
          </cell>
          <cell r="S420">
            <v>-67436.600000000006</v>
          </cell>
          <cell r="T420">
            <v>7831.8</v>
          </cell>
          <cell r="U420">
            <v>11874.6</v>
          </cell>
          <cell r="V420">
            <v>-60.6</v>
          </cell>
          <cell r="W420">
            <v>39718.9</v>
          </cell>
          <cell r="X420">
            <v>-42938.6</v>
          </cell>
          <cell r="Y420">
            <v>-17058.599999999999</v>
          </cell>
          <cell r="Z420">
            <v>-42497</v>
          </cell>
          <cell r="AA420">
            <v>25042.7</v>
          </cell>
          <cell r="AB420">
            <v>-7.4</v>
          </cell>
          <cell r="AC420">
            <v>24374.9</v>
          </cell>
          <cell r="AD420">
            <v>40323.4</v>
          </cell>
          <cell r="AE420">
            <v>-45226.7</v>
          </cell>
          <cell r="AF420">
            <v>-13768.6</v>
          </cell>
          <cell r="AG420">
            <v>30220</v>
          </cell>
          <cell r="AH420">
            <v>10196.200000000001</v>
          </cell>
          <cell r="AJ420">
            <v>27559.4</v>
          </cell>
        </row>
        <row r="421">
          <cell r="J421">
            <v>9320.6</v>
          </cell>
          <cell r="K421">
            <v>6367.7</v>
          </cell>
          <cell r="L421">
            <v>-9484.9</v>
          </cell>
          <cell r="M421">
            <v>1100.7</v>
          </cell>
          <cell r="N421">
            <v>-10547.6</v>
          </cell>
          <cell r="O421">
            <v>-8401.2000000000007</v>
          </cell>
          <cell r="P421">
            <v>3681.7</v>
          </cell>
          <cell r="Q421">
            <v>50000.7</v>
          </cell>
          <cell r="R421">
            <v>-7472.4</v>
          </cell>
          <cell r="S421">
            <v>-719.2</v>
          </cell>
          <cell r="T421">
            <v>-25002.7</v>
          </cell>
          <cell r="U421">
            <v>-1070.5999999999999</v>
          </cell>
          <cell r="V421">
            <v>13777.7</v>
          </cell>
          <cell r="W421">
            <v>300</v>
          </cell>
          <cell r="X421">
            <v>-7460.9</v>
          </cell>
          <cell r="Y421">
            <v>-8486.4</v>
          </cell>
          <cell r="Z421">
            <v>3899.9</v>
          </cell>
          <cell r="AA421">
            <v>-15253.1</v>
          </cell>
          <cell r="AB421">
            <v>21562.6</v>
          </cell>
          <cell r="AC421">
            <v>52674.8</v>
          </cell>
          <cell r="AD421">
            <v>-4579.6000000000004</v>
          </cell>
          <cell r="AE421">
            <v>-16978.7</v>
          </cell>
          <cell r="AF421">
            <v>-22054.9</v>
          </cell>
          <cell r="AG421">
            <v>-11021</v>
          </cell>
          <cell r="AH421">
            <v>650.4</v>
          </cell>
          <cell r="AJ421">
            <v>6367.7</v>
          </cell>
        </row>
        <row r="422">
          <cell r="J422">
            <v>54659.5</v>
          </cell>
          <cell r="K422">
            <v>35577.800000000003</v>
          </cell>
          <cell r="L422">
            <v>-45630.9</v>
          </cell>
          <cell r="M422">
            <v>9260.2999999999993</v>
          </cell>
          <cell r="N422">
            <v>-65983.899999999994</v>
          </cell>
          <cell r="O422">
            <v>-37834.1</v>
          </cell>
          <cell r="P422">
            <v>-7752.1</v>
          </cell>
          <cell r="Q422">
            <v>63568.5</v>
          </cell>
          <cell r="R422">
            <v>79565.3</v>
          </cell>
          <cell r="S422">
            <v>-69514.899999999994</v>
          </cell>
          <cell r="T422">
            <v>63322.400000000001</v>
          </cell>
          <cell r="U422">
            <v>-78973.100000000006</v>
          </cell>
          <cell r="V422">
            <v>-17070.2</v>
          </cell>
          <cell r="W422">
            <v>65804.899999999994</v>
          </cell>
          <cell r="X422">
            <v>-46758.9</v>
          </cell>
          <cell r="Y422">
            <v>3494.3</v>
          </cell>
          <cell r="Z422">
            <v>11811.4</v>
          </cell>
          <cell r="AA422">
            <v>-49652.4</v>
          </cell>
          <cell r="AB422">
            <v>-29394.1</v>
          </cell>
          <cell r="AC422">
            <v>48087.7</v>
          </cell>
          <cell r="AD422">
            <v>106137.2</v>
          </cell>
          <cell r="AE422">
            <v>-32218.9</v>
          </cell>
          <cell r="AF422">
            <v>43428.1</v>
          </cell>
          <cell r="AG422">
            <v>-87069.5</v>
          </cell>
          <cell r="AH422">
            <v>-4922.2</v>
          </cell>
          <cell r="AJ422">
            <v>35577.800000000003</v>
          </cell>
        </row>
        <row r="423">
          <cell r="J423">
            <v>2886.3</v>
          </cell>
          <cell r="K423">
            <v>2083.6</v>
          </cell>
          <cell r="L423">
            <v>-1626.7</v>
          </cell>
          <cell r="M423">
            <v>15.1</v>
          </cell>
          <cell r="N423">
            <v>-1602.5</v>
          </cell>
          <cell r="O423">
            <v>-1499.1</v>
          </cell>
          <cell r="P423">
            <v>983.2</v>
          </cell>
          <cell r="Q423">
            <v>3148.1</v>
          </cell>
          <cell r="R423">
            <v>7156.6</v>
          </cell>
          <cell r="S423">
            <v>5833.2</v>
          </cell>
          <cell r="T423">
            <v>-9972.2000000000007</v>
          </cell>
          <cell r="U423">
            <v>-1370.4</v>
          </cell>
          <cell r="V423">
            <v>-2633.5</v>
          </cell>
          <cell r="W423">
            <v>4671.8999999999996</v>
          </cell>
          <cell r="X423">
            <v>-2898.7</v>
          </cell>
          <cell r="Y423">
            <v>3700.2</v>
          </cell>
          <cell r="Z423">
            <v>-2859.5</v>
          </cell>
          <cell r="AA423">
            <v>-100.7</v>
          </cell>
          <cell r="AB423">
            <v>-2346.8000000000002</v>
          </cell>
          <cell r="AC423">
            <v>1842.9</v>
          </cell>
          <cell r="AD423">
            <v>6187.4</v>
          </cell>
          <cell r="AE423">
            <v>-3089.4</v>
          </cell>
          <cell r="AF423">
            <v>1065.5</v>
          </cell>
          <cell r="AG423">
            <v>-579.4</v>
          </cell>
          <cell r="AH423">
            <v>-3236.5</v>
          </cell>
          <cell r="AJ423">
            <v>2083.6</v>
          </cell>
        </row>
        <row r="424">
          <cell r="J424">
            <v>19422.400000000001</v>
          </cell>
          <cell r="K424">
            <v>13701.1</v>
          </cell>
          <cell r="L424">
            <v>-20345</v>
          </cell>
          <cell r="M424">
            <v>4134.8</v>
          </cell>
          <cell r="N424">
            <v>-33111.800000000003</v>
          </cell>
          <cell r="O424">
            <v>-27655.8</v>
          </cell>
          <cell r="P424">
            <v>29164.7</v>
          </cell>
          <cell r="Q424">
            <v>43147.6</v>
          </cell>
          <cell r="R424">
            <v>21654.3</v>
          </cell>
          <cell r="S424">
            <v>1146.7</v>
          </cell>
          <cell r="T424">
            <v>12393.7</v>
          </cell>
          <cell r="U424">
            <v>-19575.7</v>
          </cell>
          <cell r="V424">
            <v>5390</v>
          </cell>
          <cell r="W424">
            <v>27035.4</v>
          </cell>
          <cell r="X424">
            <v>-36317.800000000003</v>
          </cell>
          <cell r="Y424">
            <v>235.3</v>
          </cell>
          <cell r="Z424">
            <v>-13459.7</v>
          </cell>
          <cell r="AA424">
            <v>15376.8</v>
          </cell>
          <cell r="AB424">
            <v>-8162.9</v>
          </cell>
          <cell r="AC424">
            <v>22697.8</v>
          </cell>
          <cell r="AD424">
            <v>32198</v>
          </cell>
          <cell r="AE424">
            <v>6564.9</v>
          </cell>
          <cell r="AF424">
            <v>2106.4</v>
          </cell>
          <cell r="AG424">
            <v>-17933.7</v>
          </cell>
          <cell r="AH424">
            <v>-9676.9</v>
          </cell>
          <cell r="AJ424">
            <v>13701.1</v>
          </cell>
        </row>
        <row r="425">
          <cell r="J425">
            <v>596.1</v>
          </cell>
          <cell r="K425">
            <v>498</v>
          </cell>
          <cell r="L425">
            <v>-618.6</v>
          </cell>
          <cell r="M425">
            <v>265.60000000000002</v>
          </cell>
          <cell r="N425">
            <v>-508.2</v>
          </cell>
          <cell r="O425">
            <v>-898.7</v>
          </cell>
          <cell r="P425">
            <v>411.5</v>
          </cell>
          <cell r="Q425">
            <v>324.60000000000002</v>
          </cell>
          <cell r="R425">
            <v>1193.8</v>
          </cell>
          <cell r="S425">
            <v>-693.3</v>
          </cell>
          <cell r="T425">
            <v>45.3</v>
          </cell>
          <cell r="U425">
            <v>186.8</v>
          </cell>
          <cell r="V425">
            <v>-190.3</v>
          </cell>
          <cell r="W425">
            <v>559.29999999999995</v>
          </cell>
          <cell r="X425">
            <v>-572.20000000000005</v>
          </cell>
          <cell r="Y425">
            <v>-54.9</v>
          </cell>
          <cell r="Z425">
            <v>-773.7</v>
          </cell>
          <cell r="AA425">
            <v>-187.3</v>
          </cell>
          <cell r="AB425">
            <v>182.8</v>
          </cell>
          <cell r="AC425">
            <v>61.6</v>
          </cell>
          <cell r="AD425">
            <v>1885.3</v>
          </cell>
          <cell r="AE425">
            <v>-374.8</v>
          </cell>
          <cell r="AF425">
            <v>-349.8</v>
          </cell>
          <cell r="AG425">
            <v>-24.2</v>
          </cell>
          <cell r="AH425">
            <v>-60.1</v>
          </cell>
          <cell r="AJ425">
            <v>498</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J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J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J428">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J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J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J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J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J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J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J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J437">
            <v>0</v>
          </cell>
        </row>
        <row r="438">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J438">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J440">
            <v>0</v>
          </cell>
        </row>
        <row r="442">
          <cell r="J442">
            <v>0</v>
          </cell>
          <cell r="K442">
            <v>0</v>
          </cell>
          <cell r="L442">
            <v>0</v>
          </cell>
          <cell r="M442">
            <v>0</v>
          </cell>
          <cell r="N442">
            <v>0</v>
          </cell>
          <cell r="O442">
            <v>0</v>
          </cell>
          <cell r="P442">
            <v>109739867.7</v>
          </cell>
          <cell r="Q442">
            <v>88724989.400000006</v>
          </cell>
          <cell r="R442">
            <v>71961140</v>
          </cell>
          <cell r="S442">
            <v>63372074.700000003</v>
          </cell>
          <cell r="T442">
            <v>71151338.200000003</v>
          </cell>
          <cell r="U442">
            <v>70036204.400000006</v>
          </cell>
          <cell r="V442">
            <v>64338309.200000003</v>
          </cell>
          <cell r="W442">
            <v>66822999.100000001</v>
          </cell>
          <cell r="X442">
            <v>71792249</v>
          </cell>
          <cell r="Y442">
            <v>91085101.599999994</v>
          </cell>
          <cell r="Z442">
            <v>93516091.400000006</v>
          </cell>
          <cell r="AA442">
            <v>93516091.400000006</v>
          </cell>
          <cell r="AB442">
            <v>103544836.3</v>
          </cell>
          <cell r="AC442">
            <v>82446092.5</v>
          </cell>
          <cell r="AD442">
            <v>74061946</v>
          </cell>
          <cell r="AE442">
            <v>63075788.100000001</v>
          </cell>
          <cell r="AF442">
            <v>70111623.400000006</v>
          </cell>
          <cell r="AG442">
            <v>67125588.799999997</v>
          </cell>
          <cell r="AH442">
            <v>64921906</v>
          </cell>
          <cell r="AJ442">
            <v>0</v>
          </cell>
        </row>
        <row r="443">
          <cell r="J443">
            <v>0</v>
          </cell>
          <cell r="K443">
            <v>0</v>
          </cell>
          <cell r="L443">
            <v>0</v>
          </cell>
          <cell r="M443">
            <v>0</v>
          </cell>
          <cell r="N443">
            <v>0</v>
          </cell>
          <cell r="O443">
            <v>0</v>
          </cell>
          <cell r="P443">
            <v>6465873</v>
          </cell>
          <cell r="Q443">
            <v>5227676.4000000004</v>
          </cell>
          <cell r="R443">
            <v>4239950.4000000004</v>
          </cell>
          <cell r="S443">
            <v>3733882.6</v>
          </cell>
          <cell r="T443">
            <v>4192236.8</v>
          </cell>
          <cell r="U443">
            <v>4126533.2</v>
          </cell>
          <cell r="V443">
            <v>3790813.2</v>
          </cell>
          <cell r="W443">
            <v>3937211.1</v>
          </cell>
          <cell r="X443">
            <v>4229999.3</v>
          </cell>
          <cell r="Y443">
            <v>5366734.2</v>
          </cell>
          <cell r="Z443">
            <v>5509968.0999999996</v>
          </cell>
          <cell r="AA443">
            <v>5509968.0999999996</v>
          </cell>
          <cell r="AB443">
            <v>6578000</v>
          </cell>
          <cell r="AC443">
            <v>5230000</v>
          </cell>
          <cell r="AD443">
            <v>4519000</v>
          </cell>
          <cell r="AE443">
            <v>4057000</v>
          </cell>
          <cell r="AF443">
            <v>4426000</v>
          </cell>
          <cell r="AG443">
            <v>4424000</v>
          </cell>
          <cell r="AH443">
            <v>4131000</v>
          </cell>
          <cell r="AJ443">
            <v>0</v>
          </cell>
        </row>
      </sheetData>
      <sheetData sheetId="4" refreshError="1">
        <row r="5">
          <cell r="I5">
            <v>38504</v>
          </cell>
          <cell r="J5">
            <v>38473</v>
          </cell>
          <cell r="K5">
            <v>38443</v>
          </cell>
          <cell r="L5">
            <v>38412</v>
          </cell>
          <cell r="M5">
            <v>38384</v>
          </cell>
          <cell r="N5">
            <v>38353</v>
          </cell>
          <cell r="O5">
            <v>38322</v>
          </cell>
          <cell r="P5">
            <v>38292</v>
          </cell>
          <cell r="Q5">
            <v>38261</v>
          </cell>
          <cell r="R5">
            <v>38231</v>
          </cell>
          <cell r="S5">
            <v>38200</v>
          </cell>
          <cell r="T5">
            <v>38169</v>
          </cell>
          <cell r="U5">
            <v>38139</v>
          </cell>
          <cell r="V5">
            <v>38108</v>
          </cell>
          <cell r="W5">
            <v>38078</v>
          </cell>
          <cell r="X5">
            <v>38047</v>
          </cell>
          <cell r="Y5">
            <v>38018</v>
          </cell>
          <cell r="Z5">
            <v>37987</v>
          </cell>
          <cell r="AA5">
            <v>37956</v>
          </cell>
          <cell r="AB5">
            <v>37926</v>
          </cell>
          <cell r="AC5">
            <v>37895</v>
          </cell>
          <cell r="AD5">
            <v>37865</v>
          </cell>
          <cell r="AE5">
            <v>37834</v>
          </cell>
          <cell r="AF5">
            <v>37803</v>
          </cell>
          <cell r="AG5">
            <v>37773</v>
          </cell>
          <cell r="AI5">
            <v>38473</v>
          </cell>
        </row>
        <row r="7">
          <cell r="I7">
            <v>17636826</v>
          </cell>
          <cell r="J7">
            <v>17330886</v>
          </cell>
          <cell r="K7">
            <v>25521974</v>
          </cell>
          <cell r="L7">
            <v>27503582</v>
          </cell>
          <cell r="M7">
            <v>28634682</v>
          </cell>
          <cell r="N7">
            <v>33210231</v>
          </cell>
          <cell r="O7">
            <v>14506383</v>
          </cell>
          <cell r="P7">
            <v>10689388</v>
          </cell>
          <cell r="Q7">
            <v>14898942</v>
          </cell>
          <cell r="R7">
            <v>15888033</v>
          </cell>
          <cell r="S7">
            <v>18612297</v>
          </cell>
          <cell r="T7">
            <v>16333863</v>
          </cell>
          <cell r="U7">
            <v>14781109</v>
          </cell>
          <cell r="V7">
            <v>12534708</v>
          </cell>
          <cell r="W7">
            <v>13498990</v>
          </cell>
          <cell r="X7">
            <v>17239197</v>
          </cell>
          <cell r="Y7">
            <v>19378677</v>
          </cell>
          <cell r="Z7">
            <v>19292230</v>
          </cell>
          <cell r="AA7">
            <v>13085885</v>
          </cell>
          <cell r="AB7">
            <v>9769819</v>
          </cell>
          <cell r="AC7">
            <v>12555729</v>
          </cell>
          <cell r="AD7">
            <v>17396529</v>
          </cell>
          <cell r="AE7">
            <v>17297136</v>
          </cell>
          <cell r="AF7">
            <v>12838763</v>
          </cell>
          <cell r="AG7">
            <v>10766457</v>
          </cell>
          <cell r="AI7">
            <v>17330886</v>
          </cell>
        </row>
        <row r="8">
          <cell r="I8">
            <v>18514430</v>
          </cell>
          <cell r="J8">
            <v>17972375</v>
          </cell>
          <cell r="K8">
            <v>25689303</v>
          </cell>
          <cell r="L8">
            <v>26761558</v>
          </cell>
          <cell r="M8">
            <v>29853422</v>
          </cell>
          <cell r="N8">
            <v>33831385</v>
          </cell>
          <cell r="O8">
            <v>14366496</v>
          </cell>
          <cell r="P8">
            <v>10864811</v>
          </cell>
          <cell r="Q8">
            <v>14245972</v>
          </cell>
          <cell r="R8">
            <v>15762758</v>
          </cell>
          <cell r="S8">
            <v>18809766</v>
          </cell>
          <cell r="T8">
            <v>16400307</v>
          </cell>
          <cell r="U8">
            <v>14931950</v>
          </cell>
          <cell r="V8">
            <v>12582492</v>
          </cell>
          <cell r="W8">
            <v>13396891</v>
          </cell>
          <cell r="X8">
            <v>17565875</v>
          </cell>
          <cell r="Y8">
            <v>21348543</v>
          </cell>
          <cell r="Z8">
            <v>20829018</v>
          </cell>
          <cell r="AA8">
            <v>14860809</v>
          </cell>
          <cell r="AB8">
            <v>10809454</v>
          </cell>
          <cell r="AC8">
            <v>12987125</v>
          </cell>
          <cell r="AD8">
            <v>19771127</v>
          </cell>
          <cell r="AE8">
            <v>19730345</v>
          </cell>
          <cell r="AF8">
            <v>15298082</v>
          </cell>
          <cell r="AG8">
            <v>11910798</v>
          </cell>
          <cell r="AI8">
            <v>17972375</v>
          </cell>
        </row>
        <row r="9">
          <cell r="I9">
            <v>18364535</v>
          </cell>
          <cell r="J9">
            <v>17665981</v>
          </cell>
          <cell r="K9">
            <v>26036108</v>
          </cell>
          <cell r="L9">
            <v>27681899</v>
          </cell>
          <cell r="M9">
            <v>30347903</v>
          </cell>
          <cell r="N9">
            <v>34141143</v>
          </cell>
          <cell r="O9">
            <v>15451364</v>
          </cell>
          <cell r="P9">
            <v>11758584</v>
          </cell>
          <cell r="Q9">
            <v>15398898</v>
          </cell>
          <cell r="R9">
            <v>16798212</v>
          </cell>
          <cell r="S9">
            <v>20785924</v>
          </cell>
          <cell r="T9">
            <v>18447053</v>
          </cell>
          <cell r="U9">
            <v>16205823</v>
          </cell>
          <cell r="V9">
            <v>12808130</v>
          </cell>
          <cell r="W9">
            <v>14653462</v>
          </cell>
          <cell r="X9">
            <v>17918269</v>
          </cell>
          <cell r="Y9">
            <v>22528293</v>
          </cell>
          <cell r="Z9">
            <v>21931952</v>
          </cell>
          <cell r="AA9">
            <v>15744047</v>
          </cell>
          <cell r="AB9">
            <v>11231714</v>
          </cell>
          <cell r="AC9">
            <v>13134091</v>
          </cell>
          <cell r="AD9">
            <v>20852753</v>
          </cell>
          <cell r="AE9">
            <v>20159937</v>
          </cell>
          <cell r="AF9">
            <v>17173156</v>
          </cell>
          <cell r="AG9">
            <v>12006365</v>
          </cell>
          <cell r="AI9">
            <v>17665981</v>
          </cell>
        </row>
        <row r="10">
          <cell r="I10">
            <v>18294682</v>
          </cell>
          <cell r="J10">
            <v>16493000</v>
          </cell>
          <cell r="K10">
            <v>23791733</v>
          </cell>
          <cell r="L10">
            <v>25767479</v>
          </cell>
          <cell r="M10">
            <v>27713934</v>
          </cell>
          <cell r="N10">
            <v>30603190</v>
          </cell>
          <cell r="O10">
            <v>14907911</v>
          </cell>
          <cell r="P10">
            <v>11180142</v>
          </cell>
          <cell r="Q10">
            <v>14455761</v>
          </cell>
          <cell r="R10">
            <v>15737161</v>
          </cell>
          <cell r="S10">
            <v>18684232</v>
          </cell>
          <cell r="T10">
            <v>18029325</v>
          </cell>
          <cell r="U10">
            <v>15354369</v>
          </cell>
          <cell r="V10">
            <v>12293760</v>
          </cell>
          <cell r="W10">
            <v>14509946</v>
          </cell>
          <cell r="X10">
            <v>16658504</v>
          </cell>
          <cell r="Y10">
            <v>20997385</v>
          </cell>
          <cell r="Z10">
            <v>21100916</v>
          </cell>
          <cell r="AA10">
            <v>15134740</v>
          </cell>
          <cell r="AB10">
            <v>10931946</v>
          </cell>
          <cell r="AC10">
            <v>12559674</v>
          </cell>
          <cell r="AD10">
            <v>19122766</v>
          </cell>
          <cell r="AE10">
            <v>17557816</v>
          </cell>
          <cell r="AF10">
            <v>16986002</v>
          </cell>
          <cell r="AG10">
            <v>10988377</v>
          </cell>
          <cell r="AI10">
            <v>16493000</v>
          </cell>
        </row>
        <row r="11">
          <cell r="I11">
            <v>19399210</v>
          </cell>
          <cell r="J11">
            <v>17325272</v>
          </cell>
          <cell r="K11">
            <v>23892859</v>
          </cell>
          <cell r="L11">
            <v>27421692</v>
          </cell>
          <cell r="M11">
            <v>30236317</v>
          </cell>
          <cell r="N11">
            <v>32037487</v>
          </cell>
          <cell r="O11">
            <v>14547356</v>
          </cell>
          <cell r="P11">
            <v>10171203</v>
          </cell>
          <cell r="Q11">
            <v>12868422</v>
          </cell>
          <cell r="R11">
            <v>15343755</v>
          </cell>
          <cell r="S11">
            <v>16903062</v>
          </cell>
          <cell r="T11">
            <v>17622341</v>
          </cell>
          <cell r="U11">
            <v>14691556</v>
          </cell>
          <cell r="V11">
            <v>11000274</v>
          </cell>
          <cell r="W11">
            <v>15023466</v>
          </cell>
          <cell r="X11">
            <v>16900332</v>
          </cell>
          <cell r="Y11">
            <v>21688079</v>
          </cell>
          <cell r="Z11">
            <v>21855797</v>
          </cell>
          <cell r="AA11">
            <v>15367318</v>
          </cell>
          <cell r="AB11">
            <v>10865223</v>
          </cell>
          <cell r="AC11">
            <v>12282092</v>
          </cell>
          <cell r="AD11">
            <v>19538739</v>
          </cell>
          <cell r="AE11">
            <v>17627839</v>
          </cell>
          <cell r="AF11">
            <v>17506120</v>
          </cell>
          <cell r="AG11">
            <v>11661450</v>
          </cell>
          <cell r="AI11">
            <v>17325272</v>
          </cell>
        </row>
        <row r="12">
          <cell r="I12">
            <v>20185584</v>
          </cell>
          <cell r="J12">
            <v>17833549</v>
          </cell>
          <cell r="K12">
            <v>23342097</v>
          </cell>
          <cell r="L12">
            <v>27609233</v>
          </cell>
          <cell r="M12">
            <v>30809083</v>
          </cell>
          <cell r="N12">
            <v>33077177</v>
          </cell>
          <cell r="O12">
            <v>16038463</v>
          </cell>
          <cell r="P12">
            <v>11157089</v>
          </cell>
          <cell r="Q12">
            <v>13193614</v>
          </cell>
          <cell r="R12">
            <v>16741968</v>
          </cell>
          <cell r="S12">
            <v>18323013</v>
          </cell>
          <cell r="T12">
            <v>18976741</v>
          </cell>
          <cell r="U12">
            <v>16238150</v>
          </cell>
          <cell r="V12">
            <v>12240567</v>
          </cell>
          <cell r="W12">
            <v>15357543</v>
          </cell>
          <cell r="X12">
            <v>17090209</v>
          </cell>
          <cell r="Y12">
            <v>22893176</v>
          </cell>
          <cell r="Z12">
            <v>23399983</v>
          </cell>
          <cell r="AA12">
            <v>17303464</v>
          </cell>
          <cell r="AB12">
            <v>11394833</v>
          </cell>
          <cell r="AC12">
            <v>12449446</v>
          </cell>
          <cell r="AD12">
            <v>20997294</v>
          </cell>
          <cell r="AE12">
            <v>18760203</v>
          </cell>
          <cell r="AF12">
            <v>19255456</v>
          </cell>
          <cell r="AG12">
            <v>12613293</v>
          </cell>
          <cell r="AI12">
            <v>17833549</v>
          </cell>
        </row>
        <row r="13">
          <cell r="I13">
            <v>20089624</v>
          </cell>
          <cell r="J13">
            <v>18270758</v>
          </cell>
          <cell r="K13">
            <v>23673881</v>
          </cell>
          <cell r="L13">
            <v>27857094</v>
          </cell>
          <cell r="M13">
            <v>31427803</v>
          </cell>
          <cell r="N13">
            <v>33668586</v>
          </cell>
          <cell r="O13">
            <v>15795055</v>
          </cell>
          <cell r="P13">
            <v>11227960</v>
          </cell>
          <cell r="Q13">
            <v>12320619</v>
          </cell>
          <cell r="R13">
            <v>16239590</v>
          </cell>
          <cell r="S13">
            <v>17348266</v>
          </cell>
          <cell r="T13">
            <v>18537322</v>
          </cell>
          <cell r="U13">
            <v>15053779</v>
          </cell>
          <cell r="V13">
            <v>12216853</v>
          </cell>
          <cell r="W13">
            <v>14396689</v>
          </cell>
          <cell r="X13">
            <v>16638801</v>
          </cell>
          <cell r="Y13">
            <v>21604004</v>
          </cell>
          <cell r="Z13">
            <v>22020020</v>
          </cell>
          <cell r="AA13">
            <v>16230824</v>
          </cell>
          <cell r="AB13">
            <v>10752937</v>
          </cell>
          <cell r="AC13">
            <v>12290090</v>
          </cell>
          <cell r="AD13">
            <v>18073420</v>
          </cell>
          <cell r="AE13">
            <v>16970066</v>
          </cell>
          <cell r="AF13">
            <v>17330034</v>
          </cell>
          <cell r="AG13">
            <v>11001504</v>
          </cell>
          <cell r="AI13">
            <v>18270758</v>
          </cell>
        </row>
        <row r="14">
          <cell r="I14">
            <v>21238591</v>
          </cell>
          <cell r="J14">
            <v>19053109</v>
          </cell>
          <cell r="K14">
            <v>25513124</v>
          </cell>
          <cell r="L14">
            <v>30879605</v>
          </cell>
          <cell r="M14">
            <v>34496115</v>
          </cell>
          <cell r="N14">
            <v>36690031</v>
          </cell>
          <cell r="O14">
            <v>18645715</v>
          </cell>
          <cell r="P14">
            <v>12007240</v>
          </cell>
          <cell r="Q14">
            <v>12842785</v>
          </cell>
          <cell r="R14">
            <v>16743603</v>
          </cell>
          <cell r="S14">
            <v>17274332</v>
          </cell>
          <cell r="T14">
            <v>19157787</v>
          </cell>
          <cell r="U14">
            <v>15148452</v>
          </cell>
          <cell r="V14">
            <v>12213485</v>
          </cell>
          <cell r="W14">
            <v>16738913</v>
          </cell>
          <cell r="X14">
            <v>18077244</v>
          </cell>
          <cell r="Y14">
            <v>24659988</v>
          </cell>
          <cell r="Z14">
            <v>25828088</v>
          </cell>
          <cell r="AA14">
            <v>18142804</v>
          </cell>
          <cell r="AB14">
            <v>12007954</v>
          </cell>
          <cell r="AC14">
            <v>12798626</v>
          </cell>
          <cell r="AD14">
            <v>19566545</v>
          </cell>
          <cell r="AE14">
            <v>18686190</v>
          </cell>
          <cell r="AF14">
            <v>19830685</v>
          </cell>
          <cell r="AG14">
            <v>12337701</v>
          </cell>
          <cell r="AI14">
            <v>19053109</v>
          </cell>
        </row>
        <row r="15">
          <cell r="I15">
            <v>18611784</v>
          </cell>
          <cell r="J15">
            <v>15942471</v>
          </cell>
          <cell r="K15">
            <v>19791685</v>
          </cell>
          <cell r="L15">
            <v>25557335</v>
          </cell>
          <cell r="M15">
            <v>27948675</v>
          </cell>
          <cell r="N15">
            <v>29582208</v>
          </cell>
          <cell r="O15">
            <v>16938757</v>
          </cell>
          <cell r="P15">
            <v>9876778</v>
          </cell>
          <cell r="Q15">
            <v>10199405</v>
          </cell>
          <cell r="R15">
            <v>14169609</v>
          </cell>
          <cell r="S15">
            <v>14130212</v>
          </cell>
          <cell r="T15">
            <v>16599946</v>
          </cell>
          <cell r="U15">
            <v>13330909</v>
          </cell>
          <cell r="V15">
            <v>9948642</v>
          </cell>
          <cell r="W15">
            <v>13184727</v>
          </cell>
          <cell r="X15">
            <v>13685781</v>
          </cell>
          <cell r="Y15">
            <v>18481078</v>
          </cell>
          <cell r="Z15">
            <v>20019182</v>
          </cell>
          <cell r="AA15">
            <v>13972063</v>
          </cell>
          <cell r="AB15">
            <v>9515446</v>
          </cell>
          <cell r="AC15">
            <v>10259271</v>
          </cell>
          <cell r="AD15">
            <v>15435111</v>
          </cell>
          <cell r="AE15">
            <v>14405058</v>
          </cell>
          <cell r="AF15">
            <v>15798567</v>
          </cell>
          <cell r="AG15">
            <v>9675524</v>
          </cell>
          <cell r="AI15">
            <v>15942471</v>
          </cell>
        </row>
        <row r="16">
          <cell r="I16">
            <v>21216951</v>
          </cell>
          <cell r="J16">
            <v>17649664</v>
          </cell>
          <cell r="K16">
            <v>20714505</v>
          </cell>
          <cell r="L16">
            <v>27774819</v>
          </cell>
          <cell r="M16">
            <v>31179329</v>
          </cell>
          <cell r="N16">
            <v>31991837</v>
          </cell>
          <cell r="O16">
            <v>24176383</v>
          </cell>
          <cell r="P16">
            <v>10518634</v>
          </cell>
          <cell r="Q16">
            <v>11189063</v>
          </cell>
          <cell r="R16">
            <v>15475165</v>
          </cell>
          <cell r="S16">
            <v>15186812</v>
          </cell>
          <cell r="T16">
            <v>17403273</v>
          </cell>
          <cell r="U16">
            <v>14876841</v>
          </cell>
          <cell r="V16">
            <v>11035869</v>
          </cell>
          <cell r="W16">
            <v>13742012</v>
          </cell>
          <cell r="X16">
            <v>14996049</v>
          </cell>
          <cell r="Y16">
            <v>20061159</v>
          </cell>
          <cell r="Z16">
            <v>21092887</v>
          </cell>
          <cell r="AA16">
            <v>15526012</v>
          </cell>
          <cell r="AB16">
            <v>10531456</v>
          </cell>
          <cell r="AC16">
            <v>10967302</v>
          </cell>
          <cell r="AD16">
            <v>18499463</v>
          </cell>
          <cell r="AE16">
            <v>16295867</v>
          </cell>
          <cell r="AF16">
            <v>17277299</v>
          </cell>
          <cell r="AG16">
            <v>11470948</v>
          </cell>
          <cell r="AI16">
            <v>17649664</v>
          </cell>
        </row>
        <row r="17">
          <cell r="I17">
            <v>23378375</v>
          </cell>
          <cell r="J17">
            <v>20169472</v>
          </cell>
          <cell r="K17">
            <v>22165830</v>
          </cell>
          <cell r="L17">
            <v>31084073</v>
          </cell>
          <cell r="M17">
            <v>35400773</v>
          </cell>
          <cell r="N17">
            <v>36057255</v>
          </cell>
          <cell r="O17">
            <v>27519089</v>
          </cell>
          <cell r="P17">
            <v>11991313</v>
          </cell>
          <cell r="Q17">
            <v>12303621</v>
          </cell>
          <cell r="R17">
            <v>17328729</v>
          </cell>
          <cell r="S17">
            <v>17082992</v>
          </cell>
          <cell r="T17">
            <v>19745272</v>
          </cell>
          <cell r="U17">
            <v>16941888</v>
          </cell>
          <cell r="V17">
            <v>12573270</v>
          </cell>
          <cell r="W17">
            <v>15128491</v>
          </cell>
          <cell r="X17">
            <v>16941413</v>
          </cell>
          <cell r="Y17">
            <v>23347508</v>
          </cell>
          <cell r="Z17">
            <v>23730991</v>
          </cell>
          <cell r="AA17">
            <v>18432753</v>
          </cell>
          <cell r="AB17">
            <v>11709907</v>
          </cell>
          <cell r="AC17">
            <v>11564620</v>
          </cell>
          <cell r="AD17">
            <v>18196632</v>
          </cell>
          <cell r="AE17">
            <v>17093221</v>
          </cell>
          <cell r="AF17">
            <v>18546169</v>
          </cell>
          <cell r="AG17">
            <v>12416396</v>
          </cell>
          <cell r="AI17">
            <v>20169472</v>
          </cell>
        </row>
        <row r="18">
          <cell r="I18">
            <v>24607757</v>
          </cell>
          <cell r="J18">
            <v>21180750</v>
          </cell>
          <cell r="K18">
            <v>23506165</v>
          </cell>
          <cell r="L18">
            <v>32604130</v>
          </cell>
          <cell r="M18">
            <v>36686938</v>
          </cell>
          <cell r="N18">
            <v>38967501</v>
          </cell>
          <cell r="O18">
            <v>28917910</v>
          </cell>
          <cell r="P18">
            <v>13870763</v>
          </cell>
          <cell r="Q18">
            <v>13582952</v>
          </cell>
          <cell r="R18">
            <v>19475107</v>
          </cell>
          <cell r="S18">
            <v>18570132</v>
          </cell>
          <cell r="T18">
            <v>21581462</v>
          </cell>
          <cell r="U18">
            <v>18686124</v>
          </cell>
          <cell r="V18">
            <v>14047494</v>
          </cell>
          <cell r="W18">
            <v>16505707</v>
          </cell>
          <cell r="X18">
            <v>18687125</v>
          </cell>
          <cell r="Y18">
            <v>27070588</v>
          </cell>
          <cell r="Z18">
            <v>27484575</v>
          </cell>
          <cell r="AA18">
            <v>21068780</v>
          </cell>
          <cell r="AB18">
            <v>13902381</v>
          </cell>
          <cell r="AC18">
            <v>12816132</v>
          </cell>
          <cell r="AD18">
            <v>19497208</v>
          </cell>
          <cell r="AE18">
            <v>19907141</v>
          </cell>
          <cell r="AF18">
            <v>20447546</v>
          </cell>
          <cell r="AG18">
            <v>13482944</v>
          </cell>
          <cell r="AI18">
            <v>21180750</v>
          </cell>
        </row>
        <row r="19">
          <cell r="I19">
            <v>21833338</v>
          </cell>
          <cell r="J19">
            <v>18068049</v>
          </cell>
          <cell r="K19">
            <v>20133169</v>
          </cell>
          <cell r="L19">
            <v>27552321</v>
          </cell>
          <cell r="M19">
            <v>29780765</v>
          </cell>
          <cell r="N19">
            <v>33336113</v>
          </cell>
          <cell r="O19">
            <v>25285645</v>
          </cell>
          <cell r="P19">
            <v>11779392</v>
          </cell>
          <cell r="Q19">
            <v>11326363</v>
          </cell>
          <cell r="R19">
            <v>16360498</v>
          </cell>
          <cell r="S19">
            <v>15385539</v>
          </cell>
          <cell r="T19">
            <v>18642939</v>
          </cell>
          <cell r="U19">
            <v>16043366</v>
          </cell>
          <cell r="V19">
            <v>12042184</v>
          </cell>
          <cell r="W19">
            <v>14388236</v>
          </cell>
          <cell r="X19">
            <v>15026539</v>
          </cell>
          <cell r="Y19">
            <v>20783273</v>
          </cell>
          <cell r="Z19">
            <v>22656449</v>
          </cell>
          <cell r="AA19">
            <v>17450519</v>
          </cell>
          <cell r="AB19">
            <v>11980317</v>
          </cell>
          <cell r="AC19">
            <v>11001419</v>
          </cell>
          <cell r="AD19">
            <v>17494218</v>
          </cell>
          <cell r="AE19">
            <v>17885716</v>
          </cell>
          <cell r="AF19">
            <v>19655535</v>
          </cell>
          <cell r="AG19">
            <v>12393091</v>
          </cell>
          <cell r="AI19">
            <v>18068049</v>
          </cell>
        </row>
        <row r="20">
          <cell r="I20">
            <v>22951784</v>
          </cell>
          <cell r="J20">
            <v>19411871</v>
          </cell>
          <cell r="K20">
            <v>20807639</v>
          </cell>
          <cell r="L20">
            <v>30167151</v>
          </cell>
          <cell r="M20">
            <v>31944115</v>
          </cell>
          <cell r="N20">
            <v>35717680</v>
          </cell>
          <cell r="O20">
            <v>27733142</v>
          </cell>
          <cell r="P20">
            <v>13416106</v>
          </cell>
          <cell r="Q20">
            <v>13149263</v>
          </cell>
          <cell r="R20">
            <v>18558623</v>
          </cell>
          <cell r="S20">
            <v>16928547</v>
          </cell>
          <cell r="T20">
            <v>20796158</v>
          </cell>
          <cell r="U20">
            <v>17856625</v>
          </cell>
          <cell r="V20">
            <v>14167557</v>
          </cell>
          <cell r="W20">
            <v>15580286</v>
          </cell>
          <cell r="X20">
            <v>16243665</v>
          </cell>
          <cell r="Y20">
            <v>22645263</v>
          </cell>
          <cell r="Z20">
            <v>24651428</v>
          </cell>
          <cell r="AA20">
            <v>18870341</v>
          </cell>
          <cell r="AB20">
            <v>12923158</v>
          </cell>
          <cell r="AC20">
            <v>11710680</v>
          </cell>
          <cell r="AD20">
            <v>17207065</v>
          </cell>
          <cell r="AE20">
            <v>17989017</v>
          </cell>
          <cell r="AF20">
            <v>19424425</v>
          </cell>
          <cell r="AG20">
            <v>12740393</v>
          </cell>
          <cell r="AI20">
            <v>19411871</v>
          </cell>
        </row>
        <row r="21">
          <cell r="I21">
            <v>21888126</v>
          </cell>
          <cell r="J21">
            <v>17634052</v>
          </cell>
          <cell r="K21">
            <v>18095187</v>
          </cell>
          <cell r="L21">
            <v>26379242</v>
          </cell>
          <cell r="M21">
            <v>28265497</v>
          </cell>
          <cell r="N21">
            <v>31538829</v>
          </cell>
          <cell r="O21">
            <v>25742995</v>
          </cell>
          <cell r="P21">
            <v>11930014</v>
          </cell>
          <cell r="Q21">
            <v>11465037</v>
          </cell>
          <cell r="R21">
            <v>16668360</v>
          </cell>
          <cell r="S21">
            <v>15579112</v>
          </cell>
          <cell r="T21">
            <v>18507395</v>
          </cell>
          <cell r="U21">
            <v>16985594</v>
          </cell>
          <cell r="V21">
            <v>12702656</v>
          </cell>
          <cell r="W21">
            <v>13319816</v>
          </cell>
          <cell r="X21">
            <v>14962295</v>
          </cell>
          <cell r="Y21">
            <v>20477547</v>
          </cell>
          <cell r="Z21">
            <v>22202238</v>
          </cell>
          <cell r="AA21">
            <v>17881900</v>
          </cell>
          <cell r="AB21">
            <v>11849060</v>
          </cell>
          <cell r="AC21">
            <v>10955859</v>
          </cell>
          <cell r="AD21">
            <v>16276757</v>
          </cell>
          <cell r="AE21">
            <v>17345162</v>
          </cell>
          <cell r="AF21">
            <v>18416413</v>
          </cell>
          <cell r="AG21">
            <v>12368439</v>
          </cell>
          <cell r="AI21">
            <v>17634052</v>
          </cell>
        </row>
        <row r="22">
          <cell r="I22">
            <v>20613217</v>
          </cell>
          <cell r="J22">
            <v>16998655</v>
          </cell>
          <cell r="K22">
            <v>16157382</v>
          </cell>
          <cell r="L22">
            <v>24053933</v>
          </cell>
          <cell r="M22">
            <v>25833664</v>
          </cell>
          <cell r="N22">
            <v>28353989</v>
          </cell>
          <cell r="O22">
            <v>25792134</v>
          </cell>
          <cell r="P22">
            <v>10838399</v>
          </cell>
          <cell r="Q22">
            <v>10210886</v>
          </cell>
          <cell r="R22">
            <v>15160538</v>
          </cell>
          <cell r="S22">
            <v>14900295</v>
          </cell>
          <cell r="T22">
            <v>17906550</v>
          </cell>
          <cell r="U22">
            <v>15642548</v>
          </cell>
          <cell r="V22">
            <v>12755454</v>
          </cell>
          <cell r="W22">
            <v>11528943</v>
          </cell>
          <cell r="X22">
            <v>13371172</v>
          </cell>
          <cell r="Y22">
            <v>17788491</v>
          </cell>
          <cell r="Z22">
            <v>19228758</v>
          </cell>
          <cell r="AA22">
            <v>16155197</v>
          </cell>
          <cell r="AB22">
            <v>10572797</v>
          </cell>
          <cell r="AC22">
            <v>9240821</v>
          </cell>
          <cell r="AD22">
            <v>14524703</v>
          </cell>
          <cell r="AE22">
            <v>15538917</v>
          </cell>
          <cell r="AF22">
            <v>16595533</v>
          </cell>
          <cell r="AG22">
            <v>11175324</v>
          </cell>
          <cell r="AI22">
            <v>16998655</v>
          </cell>
        </row>
        <row r="23">
          <cell r="I23">
            <v>22385815</v>
          </cell>
          <cell r="J23">
            <v>18002891</v>
          </cell>
          <cell r="K23">
            <v>18324510</v>
          </cell>
          <cell r="L23">
            <v>26815484</v>
          </cell>
          <cell r="M23">
            <v>28428514</v>
          </cell>
          <cell r="N23">
            <v>32583055</v>
          </cell>
          <cell r="O23">
            <v>29750127</v>
          </cell>
          <cell r="P23">
            <v>11015126</v>
          </cell>
          <cell r="Q23">
            <v>9995619</v>
          </cell>
          <cell r="R23">
            <v>14043421</v>
          </cell>
          <cell r="S23">
            <v>13478086</v>
          </cell>
          <cell r="T23">
            <v>16488520</v>
          </cell>
          <cell r="U23">
            <v>14234688</v>
          </cell>
          <cell r="V23">
            <v>11846440</v>
          </cell>
          <cell r="W23">
            <v>11273084</v>
          </cell>
          <cell r="X23">
            <v>12039305</v>
          </cell>
          <cell r="Y23">
            <v>16960432</v>
          </cell>
          <cell r="Z23">
            <v>18509646</v>
          </cell>
          <cell r="AA23">
            <v>16449183</v>
          </cell>
          <cell r="AB23">
            <v>10130262</v>
          </cell>
          <cell r="AC23">
            <v>8881668</v>
          </cell>
          <cell r="AD23">
            <v>13193725</v>
          </cell>
          <cell r="AE23">
            <v>15568058</v>
          </cell>
          <cell r="AF23">
            <v>15933970</v>
          </cell>
          <cell r="AG23">
            <v>10664202</v>
          </cell>
          <cell r="AI23">
            <v>18002891</v>
          </cell>
        </row>
        <row r="24">
          <cell r="I24">
            <v>23768453</v>
          </cell>
          <cell r="J24">
            <v>18324936</v>
          </cell>
          <cell r="K24">
            <v>18878512</v>
          </cell>
          <cell r="L24">
            <v>27914337</v>
          </cell>
          <cell r="M24">
            <v>28601804</v>
          </cell>
          <cell r="N24">
            <v>30245910</v>
          </cell>
          <cell r="O24">
            <v>34004571</v>
          </cell>
          <cell r="P24">
            <v>12110411</v>
          </cell>
          <cell r="Q24">
            <v>11083438</v>
          </cell>
          <cell r="R24">
            <v>15343897</v>
          </cell>
          <cell r="S24">
            <v>14969635</v>
          </cell>
          <cell r="T24">
            <v>18666262</v>
          </cell>
          <cell r="U24">
            <v>15481292</v>
          </cell>
          <cell r="V24">
            <v>13284906</v>
          </cell>
          <cell r="W24">
            <v>13017475</v>
          </cell>
          <cell r="X24">
            <v>14829091</v>
          </cell>
          <cell r="Y24">
            <v>19995455</v>
          </cell>
          <cell r="Z24">
            <v>21889789</v>
          </cell>
          <cell r="AA24">
            <v>21078236</v>
          </cell>
          <cell r="AB24">
            <v>12597025</v>
          </cell>
          <cell r="AC24">
            <v>10657458</v>
          </cell>
          <cell r="AD24">
            <v>15495317</v>
          </cell>
          <cell r="AE24">
            <v>18465017</v>
          </cell>
          <cell r="AF24">
            <v>19517840</v>
          </cell>
          <cell r="AG24">
            <v>13204631</v>
          </cell>
          <cell r="AI24">
            <v>18324936</v>
          </cell>
        </row>
        <row r="25">
          <cell r="I25">
            <v>24439188</v>
          </cell>
          <cell r="J25">
            <v>17511077</v>
          </cell>
          <cell r="K25">
            <v>17029407</v>
          </cell>
          <cell r="L25">
            <v>28478482</v>
          </cell>
          <cell r="M25">
            <v>27331599</v>
          </cell>
          <cell r="N25">
            <v>28501886</v>
          </cell>
          <cell r="O25">
            <v>33601427</v>
          </cell>
          <cell r="P25">
            <v>11959891</v>
          </cell>
          <cell r="Q25">
            <v>10532270</v>
          </cell>
          <cell r="R25">
            <v>14568011</v>
          </cell>
          <cell r="S25">
            <v>14826348</v>
          </cell>
          <cell r="T25">
            <v>17824894</v>
          </cell>
          <cell r="U25">
            <v>15308585</v>
          </cell>
          <cell r="V25">
            <v>13515660</v>
          </cell>
          <cell r="W25">
            <v>12224629</v>
          </cell>
          <cell r="X25">
            <v>13139205</v>
          </cell>
          <cell r="Y25">
            <v>17481987</v>
          </cell>
          <cell r="Z25">
            <v>18778989</v>
          </cell>
          <cell r="AA25">
            <v>19411614</v>
          </cell>
          <cell r="AB25">
            <v>11166811</v>
          </cell>
          <cell r="AC25">
            <v>9837087</v>
          </cell>
          <cell r="AD25">
            <v>12908804</v>
          </cell>
          <cell r="AE25">
            <v>15714402</v>
          </cell>
          <cell r="AF25">
            <v>16934052</v>
          </cell>
          <cell r="AG25">
            <v>11407471</v>
          </cell>
          <cell r="AI25">
            <v>17511077</v>
          </cell>
        </row>
        <row r="26">
          <cell r="I26">
            <v>25531345</v>
          </cell>
          <cell r="J26">
            <v>18272305</v>
          </cell>
          <cell r="K26">
            <v>17316767</v>
          </cell>
          <cell r="L26">
            <v>27781708</v>
          </cell>
          <cell r="M26">
            <v>27063565</v>
          </cell>
          <cell r="N26">
            <v>28185379</v>
          </cell>
          <cell r="O26">
            <v>33781911</v>
          </cell>
          <cell r="P26">
            <v>12694146</v>
          </cell>
          <cell r="Q26">
            <v>10383914</v>
          </cell>
          <cell r="R26">
            <v>14623475</v>
          </cell>
          <cell r="S26">
            <v>15009371</v>
          </cell>
          <cell r="T26">
            <v>17262900</v>
          </cell>
          <cell r="U26">
            <v>15317205</v>
          </cell>
          <cell r="V26">
            <v>13779509</v>
          </cell>
          <cell r="W26">
            <v>11676072</v>
          </cell>
          <cell r="X26">
            <v>14190620</v>
          </cell>
          <cell r="Y26">
            <v>17494035</v>
          </cell>
          <cell r="Z26">
            <v>19438585</v>
          </cell>
          <cell r="AA26">
            <v>19754435</v>
          </cell>
          <cell r="AB26">
            <v>12287763</v>
          </cell>
          <cell r="AC26">
            <v>10314537</v>
          </cell>
          <cell r="AD26">
            <v>14287966</v>
          </cell>
          <cell r="AE26">
            <v>17503912</v>
          </cell>
          <cell r="AF26">
            <v>18113141</v>
          </cell>
          <cell r="AG26">
            <v>13059981</v>
          </cell>
          <cell r="AI26">
            <v>18272305</v>
          </cell>
        </row>
        <row r="28">
          <cell r="I28">
            <v>-6919</v>
          </cell>
          <cell r="J28">
            <v>-1060</v>
          </cell>
          <cell r="K28">
            <v>-6630</v>
          </cell>
          <cell r="L28">
            <v>-7045</v>
          </cell>
          <cell r="M28">
            <v>-1203</v>
          </cell>
          <cell r="N28">
            <v>-5321</v>
          </cell>
          <cell r="O28">
            <v>6642960</v>
          </cell>
          <cell r="P28">
            <v>4727179</v>
          </cell>
          <cell r="Q28">
            <v>5531909</v>
          </cell>
          <cell r="R28">
            <v>6303777</v>
          </cell>
          <cell r="S28">
            <v>7518316</v>
          </cell>
          <cell r="T28">
            <v>6447945</v>
          </cell>
          <cell r="U28">
            <v>5807807</v>
          </cell>
          <cell r="V28">
            <v>5902180</v>
          </cell>
          <cell r="W28">
            <v>7280421</v>
          </cell>
          <cell r="X28">
            <v>10164211</v>
          </cell>
          <cell r="Y28">
            <v>11813648</v>
          </cell>
          <cell r="Z28">
            <v>11557377</v>
          </cell>
          <cell r="AA28">
            <v>7023995</v>
          </cell>
          <cell r="AB28">
            <v>4886732</v>
          </cell>
          <cell r="AC28">
            <v>5391094</v>
          </cell>
          <cell r="AD28">
            <v>6867066</v>
          </cell>
          <cell r="AE28">
            <v>6941282</v>
          </cell>
          <cell r="AF28">
            <v>5387138</v>
          </cell>
          <cell r="AG28">
            <v>4754657</v>
          </cell>
          <cell r="AI28">
            <v>-1060</v>
          </cell>
        </row>
        <row r="29">
          <cell r="I29">
            <v>0</v>
          </cell>
          <cell r="J29">
            <v>146</v>
          </cell>
          <cell r="K29">
            <v>130</v>
          </cell>
          <cell r="L29">
            <v>-846</v>
          </cell>
          <cell r="M29">
            <v>-5645</v>
          </cell>
          <cell r="N29">
            <v>-17527</v>
          </cell>
          <cell r="O29">
            <v>7909363</v>
          </cell>
          <cell r="P29">
            <v>5321473</v>
          </cell>
          <cell r="Q29">
            <v>6475081</v>
          </cell>
          <cell r="R29">
            <v>7105572</v>
          </cell>
          <cell r="S29">
            <v>8317374</v>
          </cell>
          <cell r="T29">
            <v>7202866</v>
          </cell>
          <cell r="U29">
            <v>6444879</v>
          </cell>
          <cell r="V29">
            <v>6717608</v>
          </cell>
          <cell r="W29">
            <v>7929816</v>
          </cell>
          <cell r="X29">
            <v>10718108</v>
          </cell>
          <cell r="Y29">
            <v>13215708</v>
          </cell>
          <cell r="Z29">
            <v>12540430</v>
          </cell>
          <cell r="AA29">
            <v>8201971</v>
          </cell>
          <cell r="AB29">
            <v>5584335</v>
          </cell>
          <cell r="AC29">
            <v>6071789</v>
          </cell>
          <cell r="AD29">
            <v>8332832</v>
          </cell>
          <cell r="AE29">
            <v>8450064</v>
          </cell>
          <cell r="AF29">
            <v>6633994</v>
          </cell>
          <cell r="AG29">
            <v>5562879</v>
          </cell>
          <cell r="AI29">
            <v>146</v>
          </cell>
        </row>
        <row r="30">
          <cell r="I30">
            <v>-360</v>
          </cell>
          <cell r="J30">
            <v>-400</v>
          </cell>
          <cell r="K30">
            <v>209</v>
          </cell>
          <cell r="L30">
            <v>100</v>
          </cell>
          <cell r="M30">
            <v>3</v>
          </cell>
          <cell r="N30">
            <v>-11302</v>
          </cell>
          <cell r="O30">
            <v>6880161</v>
          </cell>
          <cell r="P30">
            <v>4737672</v>
          </cell>
          <cell r="Q30">
            <v>5469349</v>
          </cell>
          <cell r="R30">
            <v>5824846</v>
          </cell>
          <cell r="S30">
            <v>6791944</v>
          </cell>
          <cell r="T30">
            <v>6310463</v>
          </cell>
          <cell r="U30">
            <v>5563490</v>
          </cell>
          <cell r="V30">
            <v>6044849</v>
          </cell>
          <cell r="W30">
            <v>6831420</v>
          </cell>
          <cell r="X30">
            <v>8920798</v>
          </cell>
          <cell r="Y30">
            <v>11279915</v>
          </cell>
          <cell r="Z30">
            <v>11051690</v>
          </cell>
          <cell r="AA30">
            <v>7221992</v>
          </cell>
          <cell r="AB30">
            <v>4829456</v>
          </cell>
          <cell r="AC30">
            <v>4974841</v>
          </cell>
          <cell r="AD30">
            <v>7004878</v>
          </cell>
          <cell r="AE30">
            <v>6867218</v>
          </cell>
          <cell r="AF30">
            <v>6220868</v>
          </cell>
          <cell r="AG30">
            <v>4574372</v>
          </cell>
          <cell r="AI30">
            <v>-400</v>
          </cell>
        </row>
        <row r="31">
          <cell r="I31">
            <v>0</v>
          </cell>
          <cell r="J31">
            <v>66</v>
          </cell>
          <cell r="K31">
            <v>57</v>
          </cell>
          <cell r="L31">
            <v>23</v>
          </cell>
          <cell r="M31">
            <v>-1692</v>
          </cell>
          <cell r="N31">
            <v>-7211</v>
          </cell>
          <cell r="O31">
            <v>6225487</v>
          </cell>
          <cell r="P31">
            <v>4175681</v>
          </cell>
          <cell r="Q31">
            <v>5089361</v>
          </cell>
          <cell r="R31">
            <v>5580328</v>
          </cell>
          <cell r="S31">
            <v>6437456</v>
          </cell>
          <cell r="T31">
            <v>6130105</v>
          </cell>
          <cell r="U31">
            <v>5419496</v>
          </cell>
          <cell r="V31">
            <v>4922980</v>
          </cell>
          <cell r="W31">
            <v>6328977</v>
          </cell>
          <cell r="X31">
            <v>7722667</v>
          </cell>
          <cell r="Y31">
            <v>9793356</v>
          </cell>
          <cell r="Z31">
            <v>9985505</v>
          </cell>
          <cell r="AA31">
            <v>6502904</v>
          </cell>
          <cell r="AB31">
            <v>4361673</v>
          </cell>
          <cell r="AC31">
            <v>4467734</v>
          </cell>
          <cell r="AD31">
            <v>6335542</v>
          </cell>
          <cell r="AE31">
            <v>6080264</v>
          </cell>
          <cell r="AF31">
            <v>5622805</v>
          </cell>
          <cell r="AG31">
            <v>4036742</v>
          </cell>
          <cell r="AI31">
            <v>66</v>
          </cell>
        </row>
        <row r="32">
          <cell r="I32">
            <v>0</v>
          </cell>
          <cell r="J32">
            <v>34</v>
          </cell>
          <cell r="K32">
            <v>0</v>
          </cell>
          <cell r="L32">
            <v>-27128</v>
          </cell>
          <cell r="M32">
            <v>-1338</v>
          </cell>
          <cell r="N32">
            <v>-6704</v>
          </cell>
          <cell r="O32">
            <v>8892227</v>
          </cell>
          <cell r="P32">
            <v>5602019</v>
          </cell>
          <cell r="Q32">
            <v>6220891</v>
          </cell>
          <cell r="R32">
            <v>7382625</v>
          </cell>
          <cell r="S32">
            <v>8025339</v>
          </cell>
          <cell r="T32">
            <v>8289065</v>
          </cell>
          <cell r="U32">
            <v>6968919</v>
          </cell>
          <cell r="V32">
            <v>5813450</v>
          </cell>
          <cell r="W32">
            <v>7991894</v>
          </cell>
          <cell r="X32">
            <v>9421048</v>
          </cell>
          <cell r="Y32">
            <v>12571268</v>
          </cell>
          <cell r="Z32">
            <v>12730812</v>
          </cell>
          <cell r="AA32">
            <v>8325179</v>
          </cell>
          <cell r="AB32">
            <v>5262839</v>
          </cell>
          <cell r="AC32">
            <v>5525475</v>
          </cell>
          <cell r="AD32">
            <v>7824875</v>
          </cell>
          <cell r="AE32">
            <v>7437712</v>
          </cell>
          <cell r="AF32">
            <v>7148986</v>
          </cell>
          <cell r="AG32">
            <v>5194114</v>
          </cell>
          <cell r="AI32">
            <v>34</v>
          </cell>
        </row>
        <row r="33">
          <cell r="I33">
            <v>14</v>
          </cell>
          <cell r="J33">
            <v>-14</v>
          </cell>
          <cell r="K33">
            <v>88</v>
          </cell>
          <cell r="L33">
            <v>-2767</v>
          </cell>
          <cell r="M33">
            <v>-76</v>
          </cell>
          <cell r="N33">
            <v>-10467</v>
          </cell>
          <cell r="O33">
            <v>7730456</v>
          </cell>
          <cell r="P33">
            <v>4861251</v>
          </cell>
          <cell r="Q33">
            <v>5321871</v>
          </cell>
          <cell r="R33">
            <v>6251391</v>
          </cell>
          <cell r="S33">
            <v>7039342</v>
          </cell>
          <cell r="T33">
            <v>7489780</v>
          </cell>
          <cell r="U33">
            <v>5852916</v>
          </cell>
          <cell r="V33">
            <v>5132761</v>
          </cell>
          <cell r="W33">
            <v>6391379</v>
          </cell>
          <cell r="X33">
            <v>7408083</v>
          </cell>
          <cell r="Y33">
            <v>10430216</v>
          </cell>
          <cell r="Z33">
            <v>10227146</v>
          </cell>
          <cell r="AA33">
            <v>7187608</v>
          </cell>
          <cell r="AB33">
            <v>4408861</v>
          </cell>
          <cell r="AC33">
            <v>4443603</v>
          </cell>
          <cell r="AD33">
            <v>6308025</v>
          </cell>
          <cell r="AE33">
            <v>5307926</v>
          </cell>
          <cell r="AF33">
            <v>5197472</v>
          </cell>
          <cell r="AG33">
            <v>3678691</v>
          </cell>
          <cell r="AI33">
            <v>-14</v>
          </cell>
        </row>
        <row r="34">
          <cell r="I34">
            <v>-14</v>
          </cell>
          <cell r="J34">
            <v>-25603</v>
          </cell>
          <cell r="K34">
            <v>-83</v>
          </cell>
          <cell r="L34">
            <v>0</v>
          </cell>
          <cell r="M34">
            <v>-16887</v>
          </cell>
          <cell r="N34">
            <v>-2797</v>
          </cell>
          <cell r="O34">
            <v>8148309</v>
          </cell>
          <cell r="P34">
            <v>5322219</v>
          </cell>
          <cell r="Q34">
            <v>5515347</v>
          </cell>
          <cell r="R34">
            <v>6960684</v>
          </cell>
          <cell r="S34">
            <v>7312886</v>
          </cell>
          <cell r="T34">
            <v>8277588</v>
          </cell>
          <cell r="U34">
            <v>6457737</v>
          </cell>
          <cell r="V34">
            <v>5944267</v>
          </cell>
          <cell r="W34">
            <v>7610138</v>
          </cell>
          <cell r="X34">
            <v>8765837</v>
          </cell>
          <cell r="Y34">
            <v>12349371</v>
          </cell>
          <cell r="Z34">
            <v>12160729</v>
          </cell>
          <cell r="AA34">
            <v>8614832</v>
          </cell>
          <cell r="AB34">
            <v>5098588</v>
          </cell>
          <cell r="AC34">
            <v>5007016</v>
          </cell>
          <cell r="AD34">
            <v>7949983</v>
          </cell>
          <cell r="AE34">
            <v>8213093</v>
          </cell>
          <cell r="AF34">
            <v>8051150</v>
          </cell>
          <cell r="AG34">
            <v>5511291</v>
          </cell>
          <cell r="AI34">
            <v>-25603</v>
          </cell>
        </row>
        <row r="35">
          <cell r="I35">
            <v>0</v>
          </cell>
          <cell r="J35">
            <v>107</v>
          </cell>
          <cell r="K35">
            <v>-1752</v>
          </cell>
          <cell r="L35">
            <v>0</v>
          </cell>
          <cell r="M35">
            <v>34</v>
          </cell>
          <cell r="N35">
            <v>-4619</v>
          </cell>
          <cell r="O35">
            <v>6898465</v>
          </cell>
          <cell r="P35">
            <v>5852083</v>
          </cell>
          <cell r="Q35">
            <v>6000732</v>
          </cell>
          <cell r="R35">
            <v>7436042</v>
          </cell>
          <cell r="S35">
            <v>7779406</v>
          </cell>
          <cell r="T35">
            <v>9148847</v>
          </cell>
          <cell r="U35">
            <v>7413544</v>
          </cell>
          <cell r="V35">
            <v>6679859</v>
          </cell>
          <cell r="W35">
            <v>8901091</v>
          </cell>
          <cell r="X35">
            <v>9937010</v>
          </cell>
          <cell r="Y35">
            <v>13848281</v>
          </cell>
          <cell r="Z35">
            <v>14567628</v>
          </cell>
          <cell r="AA35">
            <v>10106129</v>
          </cell>
          <cell r="AB35">
            <v>5995576</v>
          </cell>
          <cell r="AC35">
            <v>5879597</v>
          </cell>
          <cell r="AD35">
            <v>8308376</v>
          </cell>
          <cell r="AE35">
            <v>7944679</v>
          </cell>
          <cell r="AF35">
            <v>7946299</v>
          </cell>
          <cell r="AG35">
            <v>5567215</v>
          </cell>
          <cell r="AI35">
            <v>107</v>
          </cell>
        </row>
        <row r="36">
          <cell r="I36">
            <v>0</v>
          </cell>
          <cell r="J36">
            <v>-321</v>
          </cell>
          <cell r="K36">
            <v>-529</v>
          </cell>
          <cell r="L36">
            <v>5</v>
          </cell>
          <cell r="M36">
            <v>-20102</v>
          </cell>
          <cell r="N36">
            <v>-74</v>
          </cell>
          <cell r="O36">
            <v>4274983</v>
          </cell>
          <cell r="P36">
            <v>5106879</v>
          </cell>
          <cell r="Q36">
            <v>5097406</v>
          </cell>
          <cell r="R36">
            <v>6491247</v>
          </cell>
          <cell r="S36">
            <v>6726621</v>
          </cell>
          <cell r="T36">
            <v>7531022</v>
          </cell>
          <cell r="U36">
            <v>6181695</v>
          </cell>
          <cell r="V36">
            <v>4914045</v>
          </cell>
          <cell r="W36">
            <v>6936988</v>
          </cell>
          <cell r="X36">
            <v>7687878</v>
          </cell>
          <cell r="Y36">
            <v>10684128</v>
          </cell>
          <cell r="Z36">
            <v>11333305</v>
          </cell>
          <cell r="AA36">
            <v>7768608</v>
          </cell>
          <cell r="AB36">
            <v>4950697</v>
          </cell>
          <cell r="AC36">
            <v>4792258</v>
          </cell>
          <cell r="AD36">
            <v>6877801</v>
          </cell>
          <cell r="AE36">
            <v>6516363</v>
          </cell>
          <cell r="AF36">
            <v>6814218</v>
          </cell>
          <cell r="AG36">
            <v>4703044</v>
          </cell>
          <cell r="AI36">
            <v>-321</v>
          </cell>
        </row>
        <row r="37">
          <cell r="I37">
            <v>14</v>
          </cell>
          <cell r="J37">
            <v>147</v>
          </cell>
          <cell r="K37">
            <v>-732</v>
          </cell>
          <cell r="L37">
            <v>10</v>
          </cell>
          <cell r="M37">
            <v>-5076</v>
          </cell>
          <cell r="N37">
            <v>-1045</v>
          </cell>
          <cell r="O37">
            <v>10631</v>
          </cell>
          <cell r="P37">
            <v>5904562</v>
          </cell>
          <cell r="Q37">
            <v>5692588</v>
          </cell>
          <cell r="R37">
            <v>7518264</v>
          </cell>
          <cell r="S37">
            <v>7444140</v>
          </cell>
          <cell r="T37">
            <v>8636408</v>
          </cell>
          <cell r="U37">
            <v>7231850</v>
          </cell>
          <cell r="V37">
            <v>6033877</v>
          </cell>
          <cell r="W37">
            <v>8851290</v>
          </cell>
          <cell r="X37">
            <v>9386751</v>
          </cell>
          <cell r="Y37">
            <v>13711949</v>
          </cell>
          <cell r="Z37">
            <v>13869700</v>
          </cell>
          <cell r="AA37">
            <v>9849717</v>
          </cell>
          <cell r="AB37">
            <v>6135028</v>
          </cell>
          <cell r="AC37">
            <v>5523988</v>
          </cell>
          <cell r="AD37">
            <v>7688125</v>
          </cell>
          <cell r="AE37">
            <v>7343841</v>
          </cell>
          <cell r="AF37">
            <v>7393602</v>
          </cell>
          <cell r="AG37">
            <v>5351983</v>
          </cell>
          <cell r="AI37">
            <v>147</v>
          </cell>
        </row>
        <row r="38">
          <cell r="I38">
            <v>-7</v>
          </cell>
          <cell r="J38">
            <v>187</v>
          </cell>
          <cell r="K38">
            <v>30</v>
          </cell>
          <cell r="L38">
            <v>-420</v>
          </cell>
          <cell r="M38">
            <v>0</v>
          </cell>
          <cell r="N38">
            <v>-2382</v>
          </cell>
          <cell r="O38">
            <v>10586</v>
          </cell>
          <cell r="P38">
            <v>6375317</v>
          </cell>
          <cell r="Q38">
            <v>6265859</v>
          </cell>
          <cell r="R38">
            <v>7809546</v>
          </cell>
          <cell r="S38">
            <v>7822957</v>
          </cell>
          <cell r="T38">
            <v>8777391</v>
          </cell>
          <cell r="U38">
            <v>7869121</v>
          </cell>
          <cell r="V38">
            <v>5734928</v>
          </cell>
          <cell r="W38">
            <v>8007221</v>
          </cell>
          <cell r="X38">
            <v>9018568</v>
          </cell>
          <cell r="Y38">
            <v>12484741</v>
          </cell>
          <cell r="Z38">
            <v>13302340</v>
          </cell>
          <cell r="AA38">
            <v>9833883</v>
          </cell>
          <cell r="AB38">
            <v>6335717</v>
          </cell>
          <cell r="AC38">
            <v>5851255</v>
          </cell>
          <cell r="AD38">
            <v>9069240</v>
          </cell>
          <cell r="AE38">
            <v>8609899</v>
          </cell>
          <cell r="AF38">
            <v>8830621</v>
          </cell>
          <cell r="AG38">
            <v>6490095</v>
          </cell>
          <cell r="AI38">
            <v>187</v>
          </cell>
        </row>
        <row r="39">
          <cell r="I39">
            <v>0</v>
          </cell>
          <cell r="J39">
            <v>110</v>
          </cell>
          <cell r="K39">
            <v>-454</v>
          </cell>
          <cell r="L39">
            <v>0</v>
          </cell>
          <cell r="M39">
            <v>-1528</v>
          </cell>
          <cell r="N39">
            <v>-2518</v>
          </cell>
          <cell r="O39">
            <v>11502</v>
          </cell>
          <cell r="P39">
            <v>5794576</v>
          </cell>
          <cell r="Q39">
            <v>5228105</v>
          </cell>
          <cell r="R39">
            <v>6872163</v>
          </cell>
          <cell r="S39">
            <v>6620994</v>
          </cell>
          <cell r="T39">
            <v>7948096</v>
          </cell>
          <cell r="U39">
            <v>6803525</v>
          </cell>
          <cell r="V39">
            <v>5251109</v>
          </cell>
          <cell r="W39">
            <v>7792758</v>
          </cell>
          <cell r="X39">
            <v>8735671</v>
          </cell>
          <cell r="Y39">
            <v>12904068</v>
          </cell>
          <cell r="Z39">
            <v>13311601</v>
          </cell>
          <cell r="AA39">
            <v>10339581</v>
          </cell>
          <cell r="AB39">
            <v>6034771</v>
          </cell>
          <cell r="AC39">
            <v>5207869</v>
          </cell>
          <cell r="AD39">
            <v>7697079</v>
          </cell>
          <cell r="AE39">
            <v>8125240</v>
          </cell>
          <cell r="AF39">
            <v>7928975</v>
          </cell>
          <cell r="AG39">
            <v>5756662</v>
          </cell>
          <cell r="AI39">
            <v>110</v>
          </cell>
        </row>
        <row r="40">
          <cell r="I40">
            <v>32</v>
          </cell>
          <cell r="J40">
            <v>-8524</v>
          </cell>
          <cell r="K40">
            <v>144</v>
          </cell>
          <cell r="L40">
            <v>14</v>
          </cell>
          <cell r="M40">
            <v>21</v>
          </cell>
          <cell r="N40">
            <v>-1027</v>
          </cell>
          <cell r="O40">
            <v>5863</v>
          </cell>
          <cell r="P40">
            <v>5964328</v>
          </cell>
          <cell r="Q40">
            <v>5188851</v>
          </cell>
          <cell r="R40">
            <v>6907042</v>
          </cell>
          <cell r="S40">
            <v>6572505</v>
          </cell>
          <cell r="T40">
            <v>8047986</v>
          </cell>
          <cell r="U40">
            <v>6837142</v>
          </cell>
          <cell r="V40">
            <v>5419117</v>
          </cell>
          <cell r="W40">
            <v>6928849</v>
          </cell>
          <cell r="X40">
            <v>7632422</v>
          </cell>
          <cell r="Y40">
            <v>11116566</v>
          </cell>
          <cell r="Z40">
            <v>11949820</v>
          </cell>
          <cell r="AA40">
            <v>9217078</v>
          </cell>
          <cell r="AB40">
            <v>5642046</v>
          </cell>
          <cell r="AC40">
            <v>5094379</v>
          </cell>
          <cell r="AD40">
            <v>6747678</v>
          </cell>
          <cell r="AE40">
            <v>7102965</v>
          </cell>
          <cell r="AF40">
            <v>7331147</v>
          </cell>
          <cell r="AG40">
            <v>5058377</v>
          </cell>
          <cell r="AI40">
            <v>-8524</v>
          </cell>
        </row>
        <row r="41">
          <cell r="I41">
            <v>0</v>
          </cell>
          <cell r="J41">
            <v>49</v>
          </cell>
          <cell r="K41">
            <v>-3178</v>
          </cell>
          <cell r="L41">
            <v>-635</v>
          </cell>
          <cell r="M41">
            <v>33</v>
          </cell>
          <cell r="N41">
            <v>236</v>
          </cell>
          <cell r="O41">
            <v>-1463</v>
          </cell>
          <cell r="P41">
            <v>5287307</v>
          </cell>
          <cell r="Q41">
            <v>4696070</v>
          </cell>
          <cell r="R41">
            <v>6223977</v>
          </cell>
          <cell r="S41">
            <v>5805651</v>
          </cell>
          <cell r="T41">
            <v>7187792</v>
          </cell>
          <cell r="U41">
            <v>6322188</v>
          </cell>
          <cell r="V41">
            <v>4811392</v>
          </cell>
          <cell r="W41">
            <v>6584701</v>
          </cell>
          <cell r="X41">
            <v>7294242</v>
          </cell>
          <cell r="Y41">
            <v>10738598</v>
          </cell>
          <cell r="Z41">
            <v>11502913</v>
          </cell>
          <cell r="AA41">
            <v>8843485</v>
          </cell>
          <cell r="AB41">
            <v>5432624</v>
          </cell>
          <cell r="AC41">
            <v>4846664</v>
          </cell>
          <cell r="AD41">
            <v>6687221</v>
          </cell>
          <cell r="AE41">
            <v>7041652</v>
          </cell>
          <cell r="AF41">
            <v>7520663</v>
          </cell>
          <cell r="AG41">
            <v>5253301</v>
          </cell>
          <cell r="AI41">
            <v>49</v>
          </cell>
        </row>
        <row r="42">
          <cell r="I42">
            <v>0</v>
          </cell>
          <cell r="J42">
            <v>-256</v>
          </cell>
          <cell r="K42">
            <v>149</v>
          </cell>
          <cell r="L42">
            <v>-400</v>
          </cell>
          <cell r="M42">
            <v>-4213</v>
          </cell>
          <cell r="N42">
            <v>-47</v>
          </cell>
          <cell r="O42">
            <v>7038</v>
          </cell>
          <cell r="P42">
            <v>4652731</v>
          </cell>
          <cell r="Q42">
            <v>4214305</v>
          </cell>
          <cell r="R42">
            <v>5700287</v>
          </cell>
          <cell r="S42">
            <v>5406715</v>
          </cell>
          <cell r="T42">
            <v>6478344</v>
          </cell>
          <cell r="U42">
            <v>5820953</v>
          </cell>
          <cell r="V42">
            <v>4505380</v>
          </cell>
          <cell r="W42">
            <v>6043857</v>
          </cell>
          <cell r="X42">
            <v>7191819</v>
          </cell>
          <cell r="Y42">
            <v>10205799</v>
          </cell>
          <cell r="Z42">
            <v>10829717</v>
          </cell>
          <cell r="AA42">
            <v>8995594</v>
          </cell>
          <cell r="AB42">
            <v>5272034</v>
          </cell>
          <cell r="AC42">
            <v>4647333</v>
          </cell>
          <cell r="AD42">
            <v>6647612</v>
          </cell>
          <cell r="AE42">
            <v>7064845</v>
          </cell>
          <cell r="AF42">
            <v>7424784</v>
          </cell>
          <cell r="AG42">
            <v>5250668</v>
          </cell>
          <cell r="AI42">
            <v>-256</v>
          </cell>
        </row>
        <row r="43">
          <cell r="I43">
            <v>-24</v>
          </cell>
          <cell r="J43">
            <v>142</v>
          </cell>
          <cell r="K43">
            <v>36</v>
          </cell>
          <cell r="L43">
            <v>-415</v>
          </cell>
          <cell r="M43">
            <v>-100</v>
          </cell>
          <cell r="N43">
            <v>-4227</v>
          </cell>
          <cell r="O43">
            <v>5990</v>
          </cell>
          <cell r="P43">
            <v>5066325</v>
          </cell>
          <cell r="Q43">
            <v>4558065</v>
          </cell>
          <cell r="R43">
            <v>6096421</v>
          </cell>
          <cell r="S43">
            <v>5854005</v>
          </cell>
          <cell r="T43">
            <v>7243306</v>
          </cell>
          <cell r="U43">
            <v>6325373</v>
          </cell>
          <cell r="V43">
            <v>5164831</v>
          </cell>
          <cell r="W43">
            <v>6350420</v>
          </cell>
          <cell r="X43">
            <v>7684053</v>
          </cell>
          <cell r="Y43">
            <v>10817968</v>
          </cell>
          <cell r="Z43">
            <v>11662654</v>
          </cell>
          <cell r="AA43">
            <v>9748490</v>
          </cell>
          <cell r="AB43">
            <v>5723163</v>
          </cell>
          <cell r="AC43">
            <v>4877279</v>
          </cell>
          <cell r="AD43">
            <v>6506421</v>
          </cell>
          <cell r="AE43">
            <v>7253576</v>
          </cell>
          <cell r="AF43">
            <v>7419885</v>
          </cell>
          <cell r="AG43">
            <v>5501117</v>
          </cell>
          <cell r="AI43">
            <v>142</v>
          </cell>
        </row>
        <row r="44">
          <cell r="I44">
            <v>1</v>
          </cell>
          <cell r="J44">
            <v>187</v>
          </cell>
          <cell r="K44">
            <v>-67</v>
          </cell>
          <cell r="L44">
            <v>93</v>
          </cell>
          <cell r="M44">
            <v>-3612</v>
          </cell>
          <cell r="N44">
            <v>-5963</v>
          </cell>
          <cell r="O44">
            <v>4750</v>
          </cell>
          <cell r="P44">
            <v>7127006</v>
          </cell>
          <cell r="Q44">
            <v>6400916</v>
          </cell>
          <cell r="R44">
            <v>8104414</v>
          </cell>
          <cell r="S44">
            <v>8060577</v>
          </cell>
          <cell r="T44">
            <v>9800797</v>
          </cell>
          <cell r="U44">
            <v>8504566</v>
          </cell>
          <cell r="V44">
            <v>7216797</v>
          </cell>
          <cell r="W44">
            <v>8130045</v>
          </cell>
          <cell r="X44">
            <v>9707459</v>
          </cell>
          <cell r="Y44">
            <v>14129121</v>
          </cell>
          <cell r="Z44">
            <v>15195087</v>
          </cell>
          <cell r="AA44">
            <v>13813120</v>
          </cell>
          <cell r="AB44">
            <v>7500272</v>
          </cell>
          <cell r="AC44">
            <v>6442529</v>
          </cell>
          <cell r="AD44">
            <v>8388197</v>
          </cell>
          <cell r="AE44">
            <v>9640048</v>
          </cell>
          <cell r="AF44">
            <v>9975876</v>
          </cell>
          <cell r="AG44">
            <v>7250237</v>
          </cell>
          <cell r="AI44">
            <v>187</v>
          </cell>
        </row>
        <row r="45">
          <cell r="I45">
            <v>0</v>
          </cell>
          <cell r="J45">
            <v>165</v>
          </cell>
          <cell r="K45">
            <v>-859</v>
          </cell>
          <cell r="L45">
            <v>-125</v>
          </cell>
          <cell r="M45">
            <v>-345</v>
          </cell>
          <cell r="N45">
            <v>-15992</v>
          </cell>
          <cell r="O45">
            <v>12371</v>
          </cell>
          <cell r="P45">
            <v>7068289</v>
          </cell>
          <cell r="Q45">
            <v>5710051</v>
          </cell>
          <cell r="R45">
            <v>7153422</v>
          </cell>
          <cell r="S45">
            <v>7003364</v>
          </cell>
          <cell r="T45">
            <v>8647174</v>
          </cell>
          <cell r="U45">
            <v>7522905</v>
          </cell>
          <cell r="V45">
            <v>6632543</v>
          </cell>
          <cell r="W45">
            <v>6804705</v>
          </cell>
          <cell r="X45">
            <v>7922376</v>
          </cell>
          <cell r="Y45">
            <v>11152093</v>
          </cell>
          <cell r="Z45">
            <v>12377666</v>
          </cell>
          <cell r="AA45">
            <v>11590701</v>
          </cell>
          <cell r="AB45">
            <v>6352513</v>
          </cell>
          <cell r="AC45">
            <v>5143727</v>
          </cell>
          <cell r="AD45">
            <v>6137069</v>
          </cell>
          <cell r="AE45">
            <v>7304815</v>
          </cell>
          <cell r="AF45">
            <v>7757278</v>
          </cell>
          <cell r="AG45">
            <v>5595301</v>
          </cell>
          <cell r="AI45">
            <v>165</v>
          </cell>
        </row>
        <row r="46">
          <cell r="I46">
            <v>10</v>
          </cell>
          <cell r="J46">
            <v>45</v>
          </cell>
          <cell r="K46">
            <v>70</v>
          </cell>
          <cell r="L46">
            <v>-711</v>
          </cell>
          <cell r="M46">
            <v>-147</v>
          </cell>
          <cell r="N46">
            <v>-12018</v>
          </cell>
          <cell r="O46">
            <v>1057</v>
          </cell>
          <cell r="P46">
            <v>6813557</v>
          </cell>
          <cell r="Q46">
            <v>5449613</v>
          </cell>
          <cell r="R46">
            <v>7035490</v>
          </cell>
          <cell r="S46">
            <v>7021994</v>
          </cell>
          <cell r="T46">
            <v>8449530</v>
          </cell>
          <cell r="U46">
            <v>7348722</v>
          </cell>
          <cell r="V46">
            <v>6543318</v>
          </cell>
          <cell r="W46">
            <v>7090371</v>
          </cell>
          <cell r="X46">
            <v>8463912</v>
          </cell>
          <cell r="Y46">
            <v>11992545</v>
          </cell>
          <cell r="Z46">
            <v>12997689</v>
          </cell>
          <cell r="AA46">
            <v>12790159</v>
          </cell>
          <cell r="AB46">
            <v>7017948</v>
          </cell>
          <cell r="AC46">
            <v>5514857</v>
          </cell>
          <cell r="AD46">
            <v>6893246</v>
          </cell>
          <cell r="AE46">
            <v>8091043</v>
          </cell>
          <cell r="AF46">
            <v>8800870</v>
          </cell>
          <cell r="AG46">
            <v>6210091</v>
          </cell>
          <cell r="AI46">
            <v>45</v>
          </cell>
        </row>
        <row r="47">
          <cell r="I47">
            <v>0</v>
          </cell>
          <cell r="J47">
            <v>0</v>
          </cell>
          <cell r="K47">
            <v>70</v>
          </cell>
          <cell r="L47">
            <v>-2190</v>
          </cell>
          <cell r="M47">
            <v>-1436</v>
          </cell>
          <cell r="N47">
            <v>-42243</v>
          </cell>
          <cell r="O47">
            <v>571</v>
          </cell>
          <cell r="P47">
            <v>7575281</v>
          </cell>
          <cell r="Q47">
            <v>5651013</v>
          </cell>
          <cell r="R47">
            <v>6779047</v>
          </cell>
          <cell r="S47">
            <v>7521607</v>
          </cell>
          <cell r="T47">
            <v>8571040</v>
          </cell>
          <cell r="U47">
            <v>7367030</v>
          </cell>
          <cell r="V47">
            <v>6923581</v>
          </cell>
          <cell r="W47">
            <v>6865967</v>
          </cell>
          <cell r="X47">
            <v>8792184</v>
          </cell>
          <cell r="Y47">
            <v>11672272</v>
          </cell>
          <cell r="Z47">
            <v>13161790</v>
          </cell>
          <cell r="AA47">
            <v>13050798</v>
          </cell>
          <cell r="AB47">
            <v>7466886</v>
          </cell>
          <cell r="AC47">
            <v>5733132</v>
          </cell>
          <cell r="AD47">
            <v>6755687</v>
          </cell>
          <cell r="AE47">
            <v>8344725</v>
          </cell>
          <cell r="AF47">
            <v>8441365</v>
          </cell>
          <cell r="AG47">
            <v>6538681</v>
          </cell>
          <cell r="AI47">
            <v>0</v>
          </cell>
        </row>
        <row r="49">
          <cell r="I49">
            <v>0</v>
          </cell>
          <cell r="J49">
            <v>110</v>
          </cell>
          <cell r="K49">
            <v>-970</v>
          </cell>
          <cell r="L49">
            <v>-1307</v>
          </cell>
          <cell r="M49">
            <v>-267</v>
          </cell>
          <cell r="N49">
            <v>-3096</v>
          </cell>
          <cell r="O49">
            <v>1836171</v>
          </cell>
          <cell r="P49">
            <v>2072831</v>
          </cell>
          <cell r="Q49">
            <v>1792198</v>
          </cell>
          <cell r="R49">
            <v>2148566</v>
          </cell>
          <cell r="S49">
            <v>2246625</v>
          </cell>
          <cell r="T49">
            <v>1971559</v>
          </cell>
          <cell r="U49">
            <v>1894232</v>
          </cell>
          <cell r="V49">
            <v>1868389</v>
          </cell>
          <cell r="W49">
            <v>1851130</v>
          </cell>
          <cell r="X49">
            <v>2567302</v>
          </cell>
          <cell r="Y49">
            <v>2405917</v>
          </cell>
          <cell r="Z49">
            <v>2195043</v>
          </cell>
          <cell r="AA49">
            <v>1873608</v>
          </cell>
          <cell r="AB49">
            <v>1413978</v>
          </cell>
          <cell r="AC49">
            <v>1684159</v>
          </cell>
          <cell r="AD49">
            <v>1851218</v>
          </cell>
          <cell r="AE49">
            <v>1927300</v>
          </cell>
          <cell r="AF49">
            <v>1865334</v>
          </cell>
          <cell r="AG49">
            <v>1973170</v>
          </cell>
          <cell r="AI49">
            <v>110</v>
          </cell>
        </row>
        <row r="50">
          <cell r="I50">
            <v>0</v>
          </cell>
          <cell r="J50">
            <v>-488</v>
          </cell>
          <cell r="K50">
            <v>-722</v>
          </cell>
          <cell r="L50">
            <v>0</v>
          </cell>
          <cell r="M50">
            <v>-1793</v>
          </cell>
          <cell r="N50">
            <v>-2315</v>
          </cell>
          <cell r="O50">
            <v>1984036</v>
          </cell>
          <cell r="P50">
            <v>1916327</v>
          </cell>
          <cell r="Q50">
            <v>2212168</v>
          </cell>
          <cell r="R50">
            <v>2269001</v>
          </cell>
          <cell r="S50">
            <v>2582540</v>
          </cell>
          <cell r="T50">
            <v>2309276</v>
          </cell>
          <cell r="U50">
            <v>2178770</v>
          </cell>
          <cell r="V50">
            <v>2122735</v>
          </cell>
          <cell r="W50">
            <v>2106079</v>
          </cell>
          <cell r="X50">
            <v>2414969</v>
          </cell>
          <cell r="Y50">
            <v>2618151</v>
          </cell>
          <cell r="Z50">
            <v>2619958</v>
          </cell>
          <cell r="AA50">
            <v>2185166</v>
          </cell>
          <cell r="AB50">
            <v>1856130</v>
          </cell>
          <cell r="AC50">
            <v>2175223</v>
          </cell>
          <cell r="AD50">
            <v>2606344</v>
          </cell>
          <cell r="AE50">
            <v>2684316</v>
          </cell>
          <cell r="AF50">
            <v>2354265</v>
          </cell>
          <cell r="AG50">
            <v>2154508</v>
          </cell>
          <cell r="AI50">
            <v>-488</v>
          </cell>
        </row>
        <row r="51">
          <cell r="I51">
            <v>0</v>
          </cell>
          <cell r="J51">
            <v>0</v>
          </cell>
          <cell r="K51">
            <v>-47800</v>
          </cell>
          <cell r="L51">
            <v>-2883</v>
          </cell>
          <cell r="M51">
            <v>0</v>
          </cell>
          <cell r="N51">
            <v>-9082</v>
          </cell>
          <cell r="O51">
            <v>1721020</v>
          </cell>
          <cell r="P51">
            <v>1563301</v>
          </cell>
          <cell r="Q51">
            <v>1647462</v>
          </cell>
          <cell r="R51">
            <v>1632175</v>
          </cell>
          <cell r="S51">
            <v>1849700</v>
          </cell>
          <cell r="T51">
            <v>1881771</v>
          </cell>
          <cell r="U51">
            <v>1696327</v>
          </cell>
          <cell r="V51">
            <v>1704638</v>
          </cell>
          <cell r="W51">
            <v>1849683</v>
          </cell>
          <cell r="X51">
            <v>2089900</v>
          </cell>
          <cell r="Y51">
            <v>2394324</v>
          </cell>
          <cell r="Z51">
            <v>2502907</v>
          </cell>
          <cell r="AA51">
            <v>1871415</v>
          </cell>
          <cell r="AB51">
            <v>1612450</v>
          </cell>
          <cell r="AC51">
            <v>1586228</v>
          </cell>
          <cell r="AD51">
            <v>1812121</v>
          </cell>
          <cell r="AE51">
            <v>1828283</v>
          </cell>
          <cell r="AF51">
            <v>1810494</v>
          </cell>
          <cell r="AG51">
            <v>1454095</v>
          </cell>
          <cell r="AI51">
            <v>0</v>
          </cell>
        </row>
        <row r="52">
          <cell r="I52">
            <v>-2829</v>
          </cell>
          <cell r="J52">
            <v>-131</v>
          </cell>
          <cell r="K52">
            <v>0</v>
          </cell>
          <cell r="L52">
            <v>0</v>
          </cell>
          <cell r="M52">
            <v>0</v>
          </cell>
          <cell r="N52">
            <v>-1692</v>
          </cell>
          <cell r="O52">
            <v>1051925</v>
          </cell>
          <cell r="P52">
            <v>1177952</v>
          </cell>
          <cell r="Q52">
            <v>1237778</v>
          </cell>
          <cell r="R52">
            <v>1189870</v>
          </cell>
          <cell r="S52">
            <v>1245988</v>
          </cell>
          <cell r="T52">
            <v>1108948</v>
          </cell>
          <cell r="U52">
            <v>1085003</v>
          </cell>
          <cell r="V52">
            <v>984877</v>
          </cell>
          <cell r="W52">
            <v>1082040</v>
          </cell>
          <cell r="X52">
            <v>1221256</v>
          </cell>
          <cell r="Y52">
            <v>1385706</v>
          </cell>
          <cell r="Z52">
            <v>1469716</v>
          </cell>
          <cell r="AA52">
            <v>1137041</v>
          </cell>
          <cell r="AB52">
            <v>951719</v>
          </cell>
          <cell r="AC52">
            <v>1168462</v>
          </cell>
          <cell r="AD52">
            <v>1313327</v>
          </cell>
          <cell r="AE52">
            <v>1282439</v>
          </cell>
          <cell r="AF52">
            <v>1219817</v>
          </cell>
          <cell r="AG52">
            <v>1054007</v>
          </cell>
          <cell r="AI52">
            <v>-131</v>
          </cell>
        </row>
        <row r="53">
          <cell r="I53">
            <v>0</v>
          </cell>
          <cell r="J53">
            <v>0</v>
          </cell>
          <cell r="K53">
            <v>0</v>
          </cell>
          <cell r="L53">
            <v>-121</v>
          </cell>
          <cell r="M53">
            <v>-2589</v>
          </cell>
          <cell r="N53">
            <v>-4626</v>
          </cell>
          <cell r="O53">
            <v>2162473</v>
          </cell>
          <cell r="P53">
            <v>1865379</v>
          </cell>
          <cell r="Q53">
            <v>2043749</v>
          </cell>
          <cell r="R53">
            <v>2187758</v>
          </cell>
          <cell r="S53">
            <v>2239724</v>
          </cell>
          <cell r="T53">
            <v>2407926</v>
          </cell>
          <cell r="U53">
            <v>2135564</v>
          </cell>
          <cell r="V53">
            <v>1969834</v>
          </cell>
          <cell r="W53">
            <v>2347026</v>
          </cell>
          <cell r="X53">
            <v>2600776</v>
          </cell>
          <cell r="Y53">
            <v>3087550</v>
          </cell>
          <cell r="Z53">
            <v>2963795</v>
          </cell>
          <cell r="AA53">
            <v>2302506</v>
          </cell>
          <cell r="AB53">
            <v>1793434</v>
          </cell>
          <cell r="AC53">
            <v>1838379</v>
          </cell>
          <cell r="AD53">
            <v>2291014</v>
          </cell>
          <cell r="AE53">
            <v>2320206</v>
          </cell>
          <cell r="AF53">
            <v>2189459</v>
          </cell>
          <cell r="AG53">
            <v>1903591</v>
          </cell>
          <cell r="AI53">
            <v>0</v>
          </cell>
        </row>
        <row r="54">
          <cell r="I54">
            <v>0</v>
          </cell>
          <cell r="J54">
            <v>0</v>
          </cell>
          <cell r="K54">
            <v>-4000</v>
          </cell>
          <cell r="L54">
            <v>-1801</v>
          </cell>
          <cell r="M54">
            <v>-279</v>
          </cell>
          <cell r="N54">
            <v>-36455</v>
          </cell>
          <cell r="O54">
            <v>2703634</v>
          </cell>
          <cell r="P54">
            <v>2426651</v>
          </cell>
          <cell r="Q54">
            <v>2721773</v>
          </cell>
          <cell r="R54">
            <v>2698185</v>
          </cell>
          <cell r="S54">
            <v>2696303</v>
          </cell>
          <cell r="T54">
            <v>2803903</v>
          </cell>
          <cell r="U54">
            <v>2485970</v>
          </cell>
          <cell r="V54">
            <v>2560119</v>
          </cell>
          <cell r="W54">
            <v>2476043</v>
          </cell>
          <cell r="X54">
            <v>2716585</v>
          </cell>
          <cell r="Y54">
            <v>3059658</v>
          </cell>
          <cell r="Z54">
            <v>3103138</v>
          </cell>
          <cell r="AA54">
            <v>2674311</v>
          </cell>
          <cell r="AB54">
            <v>2494392</v>
          </cell>
          <cell r="AC54">
            <v>2536665</v>
          </cell>
          <cell r="AD54">
            <v>2815329</v>
          </cell>
          <cell r="AE54">
            <v>2574914</v>
          </cell>
          <cell r="AF54">
            <v>2533956</v>
          </cell>
          <cell r="AG54">
            <v>2229756</v>
          </cell>
          <cell r="AI54">
            <v>0</v>
          </cell>
        </row>
        <row r="55">
          <cell r="I55">
            <v>0</v>
          </cell>
          <cell r="J55">
            <v>0</v>
          </cell>
          <cell r="K55">
            <v>0</v>
          </cell>
          <cell r="L55">
            <v>-28961</v>
          </cell>
          <cell r="M55">
            <v>-99</v>
          </cell>
          <cell r="N55">
            <v>-663</v>
          </cell>
          <cell r="O55">
            <v>2458670</v>
          </cell>
          <cell r="P55">
            <v>2382255</v>
          </cell>
          <cell r="Q55">
            <v>2646233</v>
          </cell>
          <cell r="R55">
            <v>3059006</v>
          </cell>
          <cell r="S55">
            <v>2927344</v>
          </cell>
          <cell r="T55">
            <v>3226137</v>
          </cell>
          <cell r="U55">
            <v>2917626</v>
          </cell>
          <cell r="V55">
            <v>2570953</v>
          </cell>
          <cell r="W55">
            <v>2503123</v>
          </cell>
          <cell r="X55">
            <v>2472445</v>
          </cell>
          <cell r="Y55">
            <v>2894911</v>
          </cell>
          <cell r="Z55">
            <v>3080016</v>
          </cell>
          <cell r="AA55">
            <v>2678966</v>
          </cell>
          <cell r="AB55">
            <v>2339360</v>
          </cell>
          <cell r="AC55">
            <v>2574676</v>
          </cell>
          <cell r="AD55">
            <v>3082363</v>
          </cell>
          <cell r="AE55">
            <v>3190375</v>
          </cell>
          <cell r="AF55">
            <v>3888698</v>
          </cell>
          <cell r="AG55">
            <v>3799506</v>
          </cell>
          <cell r="AI55">
            <v>0</v>
          </cell>
        </row>
        <row r="56">
          <cell r="I56">
            <v>0</v>
          </cell>
          <cell r="J56">
            <v>-13</v>
          </cell>
          <cell r="K56">
            <v>0</v>
          </cell>
          <cell r="L56">
            <v>0</v>
          </cell>
          <cell r="M56">
            <v>-1897</v>
          </cell>
          <cell r="N56">
            <v>-21</v>
          </cell>
          <cell r="O56">
            <v>1821642</v>
          </cell>
          <cell r="P56">
            <v>1655050</v>
          </cell>
          <cell r="Q56">
            <v>1465737</v>
          </cell>
          <cell r="R56">
            <v>1972084</v>
          </cell>
          <cell r="S56">
            <v>2069149</v>
          </cell>
          <cell r="T56">
            <v>2301065</v>
          </cell>
          <cell r="U56">
            <v>1932411</v>
          </cell>
          <cell r="V56">
            <v>1795507</v>
          </cell>
          <cell r="W56">
            <v>2136656</v>
          </cell>
          <cell r="X56">
            <v>2269595</v>
          </cell>
          <cell r="Y56">
            <v>2723217</v>
          </cell>
          <cell r="Z56">
            <v>2845246</v>
          </cell>
          <cell r="AA56">
            <v>2233847</v>
          </cell>
          <cell r="AB56">
            <v>1786395</v>
          </cell>
          <cell r="AC56">
            <v>1876675</v>
          </cell>
          <cell r="AD56">
            <v>2354382</v>
          </cell>
          <cell r="AE56">
            <v>2215203</v>
          </cell>
          <cell r="AF56">
            <v>2257311</v>
          </cell>
          <cell r="AG56">
            <v>1889422</v>
          </cell>
          <cell r="AI56">
            <v>-13</v>
          </cell>
        </row>
        <row r="57">
          <cell r="I57">
            <v>0</v>
          </cell>
          <cell r="J57">
            <v>0</v>
          </cell>
          <cell r="K57">
            <v>-61520</v>
          </cell>
          <cell r="L57">
            <v>-1878</v>
          </cell>
          <cell r="M57">
            <v>-524</v>
          </cell>
          <cell r="N57">
            <v>-685</v>
          </cell>
          <cell r="O57">
            <v>3604396</v>
          </cell>
          <cell r="P57">
            <v>3879186</v>
          </cell>
          <cell r="Q57">
            <v>4486933</v>
          </cell>
          <cell r="R57">
            <v>4694270</v>
          </cell>
          <cell r="S57">
            <v>4645736</v>
          </cell>
          <cell r="T57">
            <v>5114420</v>
          </cell>
          <cell r="U57">
            <v>4547044</v>
          </cell>
          <cell r="V57">
            <v>4204958</v>
          </cell>
          <cell r="W57">
            <v>4642066</v>
          </cell>
          <cell r="X57">
            <v>4248450</v>
          </cell>
          <cell r="Y57">
            <v>4893080</v>
          </cell>
          <cell r="Z57">
            <v>5377036</v>
          </cell>
          <cell r="AA57">
            <v>4473802</v>
          </cell>
          <cell r="AB57">
            <v>4181438</v>
          </cell>
          <cell r="AC57">
            <v>4167014</v>
          </cell>
          <cell r="AD57">
            <v>5720900</v>
          </cell>
          <cell r="AE57">
            <v>4558436</v>
          </cell>
          <cell r="AF57">
            <v>4621926</v>
          </cell>
          <cell r="AG57">
            <v>4040791</v>
          </cell>
          <cell r="AI57">
            <v>0</v>
          </cell>
        </row>
        <row r="58">
          <cell r="I58">
            <v>0</v>
          </cell>
          <cell r="J58">
            <v>0</v>
          </cell>
          <cell r="K58">
            <v>-2775</v>
          </cell>
          <cell r="L58">
            <v>-1155</v>
          </cell>
          <cell r="M58">
            <v>0</v>
          </cell>
          <cell r="N58">
            <v>-2312</v>
          </cell>
          <cell r="O58">
            <v>-3575</v>
          </cell>
          <cell r="P58">
            <v>1576915</v>
          </cell>
          <cell r="Q58">
            <v>1663085</v>
          </cell>
          <cell r="R58">
            <v>1904893</v>
          </cell>
          <cell r="S58">
            <v>1780926</v>
          </cell>
          <cell r="T58">
            <v>2069193</v>
          </cell>
          <cell r="U58">
            <v>1807292</v>
          </cell>
          <cell r="V58">
            <v>1612420</v>
          </cell>
          <cell r="W58">
            <v>1884810</v>
          </cell>
          <cell r="X58">
            <v>2002651</v>
          </cell>
          <cell r="Y58">
            <v>2429973</v>
          </cell>
          <cell r="Z58">
            <v>2559613</v>
          </cell>
          <cell r="AA58">
            <v>1936944</v>
          </cell>
          <cell r="AB58">
            <v>1590356</v>
          </cell>
          <cell r="AC58">
            <v>1770193</v>
          </cell>
          <cell r="AD58">
            <v>2200681</v>
          </cell>
          <cell r="AE58">
            <v>2020173</v>
          </cell>
          <cell r="AF58">
            <v>1990044</v>
          </cell>
          <cell r="AG58">
            <v>1724402</v>
          </cell>
          <cell r="AI58">
            <v>0</v>
          </cell>
        </row>
        <row r="59">
          <cell r="I59">
            <v>0</v>
          </cell>
          <cell r="J59">
            <v>-245</v>
          </cell>
          <cell r="K59">
            <v>-104698</v>
          </cell>
          <cell r="L59">
            <v>-244</v>
          </cell>
          <cell r="M59">
            <v>0</v>
          </cell>
          <cell r="N59">
            <v>0</v>
          </cell>
          <cell r="O59">
            <v>-4906</v>
          </cell>
          <cell r="P59">
            <v>2113251</v>
          </cell>
          <cell r="Q59">
            <v>2475253</v>
          </cell>
          <cell r="R59">
            <v>2849262</v>
          </cell>
          <cell r="S59">
            <v>2909088</v>
          </cell>
          <cell r="T59">
            <v>3009880</v>
          </cell>
          <cell r="U59">
            <v>2770567</v>
          </cell>
          <cell r="V59">
            <v>2538841</v>
          </cell>
          <cell r="W59">
            <v>2711914</v>
          </cell>
          <cell r="X59">
            <v>2737794</v>
          </cell>
          <cell r="Y59">
            <v>3082570</v>
          </cell>
          <cell r="Z59">
            <v>3516203</v>
          </cell>
          <cell r="AA59">
            <v>2895672</v>
          </cell>
          <cell r="AB59">
            <v>2484455</v>
          </cell>
          <cell r="AC59">
            <v>2565525</v>
          </cell>
          <cell r="AD59">
            <v>3315163</v>
          </cell>
          <cell r="AE59">
            <v>3158185</v>
          </cell>
          <cell r="AF59">
            <v>3195205</v>
          </cell>
          <cell r="AG59">
            <v>2878239</v>
          </cell>
          <cell r="AI59">
            <v>-245</v>
          </cell>
        </row>
        <row r="60">
          <cell r="I60">
            <v>0</v>
          </cell>
          <cell r="J60">
            <v>439</v>
          </cell>
          <cell r="K60">
            <v>0</v>
          </cell>
          <cell r="L60">
            <v>-4252</v>
          </cell>
          <cell r="M60">
            <v>-3216</v>
          </cell>
          <cell r="N60">
            <v>-1016</v>
          </cell>
          <cell r="O60">
            <v>-12846</v>
          </cell>
          <cell r="P60">
            <v>1448797</v>
          </cell>
          <cell r="Q60">
            <v>1479881</v>
          </cell>
          <cell r="R60">
            <v>1810670</v>
          </cell>
          <cell r="S60">
            <v>1792921</v>
          </cell>
          <cell r="T60">
            <v>2095678</v>
          </cell>
          <cell r="U60">
            <v>1818684</v>
          </cell>
          <cell r="V60">
            <v>1587584</v>
          </cell>
          <cell r="W60">
            <v>1811570</v>
          </cell>
          <cell r="X60">
            <v>1722258</v>
          </cell>
          <cell r="Y60">
            <v>2140969</v>
          </cell>
          <cell r="Z60">
            <v>2273593</v>
          </cell>
          <cell r="AA60">
            <v>1948476</v>
          </cell>
          <cell r="AB60">
            <v>1499863</v>
          </cell>
          <cell r="AC60">
            <v>1526861</v>
          </cell>
          <cell r="AD60">
            <v>2000317</v>
          </cell>
          <cell r="AE60">
            <v>2029724</v>
          </cell>
          <cell r="AF60">
            <v>2008541</v>
          </cell>
          <cell r="AG60">
            <v>1812159</v>
          </cell>
          <cell r="AI60">
            <v>439</v>
          </cell>
        </row>
        <row r="61">
          <cell r="I61">
            <v>-8</v>
          </cell>
          <cell r="J61">
            <v>0</v>
          </cell>
          <cell r="K61">
            <v>0</v>
          </cell>
          <cell r="L61">
            <v>-2573</v>
          </cell>
          <cell r="M61">
            <v>-1573</v>
          </cell>
          <cell r="N61">
            <v>0</v>
          </cell>
          <cell r="O61">
            <v>-4819</v>
          </cell>
          <cell r="P61">
            <v>1292947</v>
          </cell>
          <cell r="Q61">
            <v>1267917</v>
          </cell>
          <cell r="R61">
            <v>1512818</v>
          </cell>
          <cell r="S61">
            <v>1411465</v>
          </cell>
          <cell r="T61">
            <v>1643359</v>
          </cell>
          <cell r="U61">
            <v>1455773</v>
          </cell>
          <cell r="V61">
            <v>1250939</v>
          </cell>
          <cell r="W61">
            <v>1457262</v>
          </cell>
          <cell r="X61">
            <v>1394506</v>
          </cell>
          <cell r="Y61">
            <v>1730102</v>
          </cell>
          <cell r="Z61">
            <v>1773245</v>
          </cell>
          <cell r="AA61">
            <v>1533467</v>
          </cell>
          <cell r="AB61">
            <v>1289062</v>
          </cell>
          <cell r="AC61">
            <v>1268447</v>
          </cell>
          <cell r="AD61">
            <v>1553007</v>
          </cell>
          <cell r="AE61">
            <v>1571468</v>
          </cell>
          <cell r="AF61">
            <v>1601327</v>
          </cell>
          <cell r="AG61">
            <v>1343799</v>
          </cell>
          <cell r="AI61">
            <v>0</v>
          </cell>
        </row>
        <row r="62">
          <cell r="I62">
            <v>0</v>
          </cell>
          <cell r="J62">
            <v>-2459</v>
          </cell>
          <cell r="K62">
            <v>-7630</v>
          </cell>
          <cell r="L62">
            <v>0</v>
          </cell>
          <cell r="M62">
            <v>0</v>
          </cell>
          <cell r="N62">
            <v>-1273</v>
          </cell>
          <cell r="O62">
            <v>1520</v>
          </cell>
          <cell r="P62">
            <v>1282300</v>
          </cell>
          <cell r="Q62">
            <v>1466619</v>
          </cell>
          <cell r="R62">
            <v>1742643</v>
          </cell>
          <cell r="S62">
            <v>1583709</v>
          </cell>
          <cell r="T62">
            <v>1766680</v>
          </cell>
          <cell r="U62">
            <v>1578269</v>
          </cell>
          <cell r="V62">
            <v>1322643</v>
          </cell>
          <cell r="W62">
            <v>1570710</v>
          </cell>
          <cell r="X62">
            <v>1603308</v>
          </cell>
          <cell r="Y62">
            <v>1727066</v>
          </cell>
          <cell r="Z62">
            <v>1752890</v>
          </cell>
          <cell r="AA62">
            <v>1487468</v>
          </cell>
          <cell r="AB62">
            <v>1289222</v>
          </cell>
          <cell r="AC62">
            <v>1308306</v>
          </cell>
          <cell r="AD62">
            <v>1485547</v>
          </cell>
          <cell r="AE62">
            <v>1494188</v>
          </cell>
          <cell r="AF62">
            <v>1552508</v>
          </cell>
          <cell r="AG62">
            <v>1156878</v>
          </cell>
          <cell r="AI62">
            <v>-2459</v>
          </cell>
        </row>
        <row r="63">
          <cell r="I63">
            <v>0</v>
          </cell>
          <cell r="J63">
            <v>0</v>
          </cell>
          <cell r="K63">
            <v>-32761</v>
          </cell>
          <cell r="L63">
            <v>-631</v>
          </cell>
          <cell r="M63">
            <v>-240</v>
          </cell>
          <cell r="N63">
            <v>-3190</v>
          </cell>
          <cell r="O63">
            <v>-786</v>
          </cell>
          <cell r="P63">
            <v>1396107</v>
          </cell>
          <cell r="Q63">
            <v>1352908</v>
          </cell>
          <cell r="R63">
            <v>1462368</v>
          </cell>
          <cell r="S63">
            <v>1429716</v>
          </cell>
          <cell r="T63">
            <v>1621945</v>
          </cell>
          <cell r="U63">
            <v>1504293</v>
          </cell>
          <cell r="V63">
            <v>1313932</v>
          </cell>
          <cell r="W63">
            <v>1618810</v>
          </cell>
          <cell r="X63">
            <v>1696797</v>
          </cell>
          <cell r="Y63">
            <v>2230361</v>
          </cell>
          <cell r="Z63">
            <v>2303566</v>
          </cell>
          <cell r="AA63">
            <v>1967674</v>
          </cell>
          <cell r="AB63">
            <v>1485853</v>
          </cell>
          <cell r="AC63">
            <v>1380587</v>
          </cell>
          <cell r="AD63">
            <v>1582054</v>
          </cell>
          <cell r="AE63">
            <v>1578138</v>
          </cell>
          <cell r="AF63">
            <v>1680138</v>
          </cell>
          <cell r="AG63">
            <v>1380101</v>
          </cell>
          <cell r="AI63">
            <v>0</v>
          </cell>
        </row>
        <row r="64">
          <cell r="I64">
            <v>0</v>
          </cell>
          <cell r="J64">
            <v>0</v>
          </cell>
          <cell r="K64">
            <v>-7103</v>
          </cell>
          <cell r="L64">
            <v>0</v>
          </cell>
          <cell r="M64">
            <v>-80</v>
          </cell>
          <cell r="N64">
            <v>-1984</v>
          </cell>
          <cell r="O64">
            <v>32998</v>
          </cell>
          <cell r="P64">
            <v>2177535</v>
          </cell>
          <cell r="Q64">
            <v>2004035</v>
          </cell>
          <cell r="R64">
            <v>2317489</v>
          </cell>
          <cell r="S64">
            <v>2297168</v>
          </cell>
          <cell r="T64">
            <v>2361113</v>
          </cell>
          <cell r="U64">
            <v>2112501</v>
          </cell>
          <cell r="V64">
            <v>1976848</v>
          </cell>
          <cell r="W64">
            <v>2360995</v>
          </cell>
          <cell r="X64">
            <v>2013673</v>
          </cell>
          <cell r="Y64">
            <v>2458523</v>
          </cell>
          <cell r="Z64">
            <v>2782540</v>
          </cell>
          <cell r="AA64">
            <v>2253221</v>
          </cell>
          <cell r="AB64">
            <v>1928980</v>
          </cell>
          <cell r="AC64">
            <v>1858506</v>
          </cell>
          <cell r="AD64">
            <v>2192242</v>
          </cell>
          <cell r="AE64">
            <v>2142444</v>
          </cell>
          <cell r="AF64">
            <v>2130550</v>
          </cell>
          <cell r="AG64">
            <v>1694446</v>
          </cell>
          <cell r="AI64">
            <v>0</v>
          </cell>
        </row>
        <row r="65">
          <cell r="I65">
            <v>-4</v>
          </cell>
          <cell r="J65">
            <v>-65759</v>
          </cell>
          <cell r="K65">
            <v>-28984</v>
          </cell>
          <cell r="L65">
            <v>0</v>
          </cell>
          <cell r="M65">
            <v>0</v>
          </cell>
          <cell r="N65">
            <v>-2675</v>
          </cell>
          <cell r="O65">
            <v>-4135</v>
          </cell>
          <cell r="P65">
            <v>2147083</v>
          </cell>
          <cell r="Q65">
            <v>2138046</v>
          </cell>
          <cell r="R65">
            <v>2505167</v>
          </cell>
          <cell r="S65">
            <v>2440310</v>
          </cell>
          <cell r="T65">
            <v>2823637</v>
          </cell>
          <cell r="U65">
            <v>2403336</v>
          </cell>
          <cell r="V65">
            <v>2158322</v>
          </cell>
          <cell r="W65">
            <v>2484518</v>
          </cell>
          <cell r="X65">
            <v>2572566</v>
          </cell>
          <cell r="Y65">
            <v>3278323</v>
          </cell>
          <cell r="Z65">
            <v>3461094</v>
          </cell>
          <cell r="AA65">
            <v>3123201</v>
          </cell>
          <cell r="AB65">
            <v>2226032</v>
          </cell>
          <cell r="AC65">
            <v>1977514</v>
          </cell>
          <cell r="AD65">
            <v>2260357</v>
          </cell>
          <cell r="AE65">
            <v>2445000</v>
          </cell>
          <cell r="AF65">
            <v>2454928</v>
          </cell>
          <cell r="AG65">
            <v>2133989</v>
          </cell>
          <cell r="AI65">
            <v>-65759</v>
          </cell>
        </row>
        <row r="66">
          <cell r="I66">
            <v>0</v>
          </cell>
          <cell r="J66">
            <v>-33</v>
          </cell>
          <cell r="K66">
            <v>-10</v>
          </cell>
          <cell r="L66">
            <v>-2095</v>
          </cell>
          <cell r="M66">
            <v>-375</v>
          </cell>
          <cell r="N66">
            <v>-1076</v>
          </cell>
          <cell r="O66">
            <v>-5078</v>
          </cell>
          <cell r="P66">
            <v>1625805</v>
          </cell>
          <cell r="Q66">
            <v>1619217</v>
          </cell>
          <cell r="R66">
            <v>1969798</v>
          </cell>
          <cell r="S66">
            <v>1857184</v>
          </cell>
          <cell r="T66">
            <v>2048486</v>
          </cell>
          <cell r="U66">
            <v>1910985</v>
          </cell>
          <cell r="V66">
            <v>1717368</v>
          </cell>
          <cell r="W66">
            <v>1742819</v>
          </cell>
          <cell r="X66">
            <v>1550492</v>
          </cell>
          <cell r="Y66">
            <v>1900103</v>
          </cell>
          <cell r="Z66">
            <v>2060659</v>
          </cell>
          <cell r="AA66">
            <v>2010776</v>
          </cell>
          <cell r="AB66">
            <v>1428158</v>
          </cell>
          <cell r="AC66">
            <v>1406928</v>
          </cell>
          <cell r="AD66">
            <v>1748311</v>
          </cell>
          <cell r="AE66">
            <v>1891726</v>
          </cell>
          <cell r="AF66">
            <v>1886600</v>
          </cell>
          <cell r="AG66">
            <v>1583420</v>
          </cell>
          <cell r="AI66">
            <v>-33</v>
          </cell>
        </row>
        <row r="67">
          <cell r="I67">
            <v>0</v>
          </cell>
          <cell r="J67">
            <v>0</v>
          </cell>
          <cell r="K67">
            <v>-15821</v>
          </cell>
          <cell r="L67">
            <v>0</v>
          </cell>
          <cell r="M67">
            <v>0</v>
          </cell>
          <cell r="N67">
            <v>-685</v>
          </cell>
          <cell r="O67">
            <v>3316</v>
          </cell>
          <cell r="P67">
            <v>1808179</v>
          </cell>
          <cell r="Q67">
            <v>1711978</v>
          </cell>
          <cell r="R67">
            <v>2218742</v>
          </cell>
          <cell r="S67">
            <v>2111947</v>
          </cell>
          <cell r="T67">
            <v>2353299</v>
          </cell>
          <cell r="U67">
            <v>2410117</v>
          </cell>
          <cell r="V67">
            <v>1927403</v>
          </cell>
          <cell r="W67">
            <v>2079375</v>
          </cell>
          <cell r="X67">
            <v>2176689</v>
          </cell>
          <cell r="Y67">
            <v>2347569</v>
          </cell>
          <cell r="Z67">
            <v>2410901</v>
          </cell>
          <cell r="AA67">
            <v>2660961</v>
          </cell>
          <cell r="AB67">
            <v>1699374</v>
          </cell>
          <cell r="AC67">
            <v>1793969</v>
          </cell>
          <cell r="AD67">
            <v>2166759</v>
          </cell>
          <cell r="AE67">
            <v>1971305</v>
          </cell>
          <cell r="AF67">
            <v>2205330</v>
          </cell>
          <cell r="AG67">
            <v>1859551</v>
          </cell>
          <cell r="AI67">
            <v>0</v>
          </cell>
        </row>
        <row r="68">
          <cell r="I68">
            <v>0</v>
          </cell>
          <cell r="J68">
            <v>0</v>
          </cell>
          <cell r="K68">
            <v>-966</v>
          </cell>
          <cell r="L68">
            <v>-173</v>
          </cell>
          <cell r="M68">
            <v>-224</v>
          </cell>
          <cell r="N68">
            <v>-5854</v>
          </cell>
          <cell r="O68">
            <v>3888</v>
          </cell>
          <cell r="P68">
            <v>1896237</v>
          </cell>
          <cell r="Q68">
            <v>1932467</v>
          </cell>
          <cell r="R68">
            <v>2312505</v>
          </cell>
          <cell r="S68">
            <v>2139093</v>
          </cell>
          <cell r="T68">
            <v>2460961</v>
          </cell>
          <cell r="U68">
            <v>2015653</v>
          </cell>
          <cell r="V68">
            <v>1786845</v>
          </cell>
          <cell r="W68">
            <v>1607609</v>
          </cell>
          <cell r="X68">
            <v>1802367</v>
          </cell>
          <cell r="Y68">
            <v>1824033</v>
          </cell>
          <cell r="Z68">
            <v>2464953</v>
          </cell>
          <cell r="AA68">
            <v>1889494</v>
          </cell>
          <cell r="AB68">
            <v>1691940</v>
          </cell>
          <cell r="AC68">
            <v>1535800</v>
          </cell>
          <cell r="AD68">
            <v>1772585</v>
          </cell>
          <cell r="AE68">
            <v>1786702</v>
          </cell>
          <cell r="AF68">
            <v>2298977</v>
          </cell>
          <cell r="AG68">
            <v>1255684</v>
          </cell>
          <cell r="AI68">
            <v>0</v>
          </cell>
        </row>
        <row r="70">
          <cell r="I70">
            <v>21498121</v>
          </cell>
          <cell r="J70">
            <v>20311704</v>
          </cell>
          <cell r="K70">
            <v>21262617</v>
          </cell>
          <cell r="L70">
            <v>21076512</v>
          </cell>
          <cell r="M70">
            <v>20683089</v>
          </cell>
          <cell r="N70">
            <v>23498421</v>
          </cell>
          <cell r="O70">
            <v>19744615</v>
          </cell>
          <cell r="P70">
            <v>18946407</v>
          </cell>
          <cell r="Q70">
            <v>21715978</v>
          </cell>
          <cell r="R70">
            <v>22279506</v>
          </cell>
          <cell r="S70">
            <v>24059752</v>
          </cell>
          <cell r="T70">
            <v>21344551</v>
          </cell>
          <cell r="U70">
            <v>21234782</v>
          </cell>
          <cell r="V70">
            <v>21642934</v>
          </cell>
          <cell r="W70">
            <v>18854781</v>
          </cell>
          <cell r="X70">
            <v>18846905</v>
          </cell>
          <cell r="Y70">
            <v>19610276</v>
          </cell>
          <cell r="Z70">
            <v>19834980</v>
          </cell>
          <cell r="AA70">
            <v>19224701</v>
          </cell>
          <cell r="AB70">
            <v>16854378</v>
          </cell>
          <cell r="AC70">
            <v>20706129</v>
          </cell>
          <cell r="AD70">
            <v>23103648</v>
          </cell>
          <cell r="AE70">
            <v>23618755</v>
          </cell>
          <cell r="AF70">
            <v>20024030</v>
          </cell>
          <cell r="AG70">
            <v>19745066</v>
          </cell>
          <cell r="AI70">
            <v>20311704</v>
          </cell>
        </row>
        <row r="71">
          <cell r="I71">
            <v>10351516</v>
          </cell>
          <cell r="J71">
            <v>9827905</v>
          </cell>
          <cell r="K71">
            <v>10574473</v>
          </cell>
          <cell r="L71">
            <v>10895027</v>
          </cell>
          <cell r="M71">
            <v>11146962</v>
          </cell>
          <cell r="N71">
            <v>12533993</v>
          </cell>
          <cell r="O71">
            <v>8292955</v>
          </cell>
          <cell r="P71">
            <v>8099828</v>
          </cell>
          <cell r="Q71">
            <v>9127114</v>
          </cell>
          <cell r="R71">
            <v>9364289</v>
          </cell>
          <cell r="S71">
            <v>10750305</v>
          </cell>
          <cell r="T71">
            <v>9401644</v>
          </cell>
          <cell r="U71">
            <v>8993700</v>
          </cell>
          <cell r="V71">
            <v>8506005</v>
          </cell>
          <cell r="W71">
            <v>7878882</v>
          </cell>
          <cell r="X71">
            <v>8941555</v>
          </cell>
          <cell r="Y71">
            <v>9968756</v>
          </cell>
          <cell r="Z71">
            <v>9818906</v>
          </cell>
          <cell r="AA71">
            <v>8820505</v>
          </cell>
          <cell r="AB71">
            <v>7654618</v>
          </cell>
          <cell r="AC71">
            <v>8831500</v>
          </cell>
          <cell r="AD71">
            <v>10746707</v>
          </cell>
          <cell r="AE71">
            <v>10912702</v>
          </cell>
          <cell r="AF71">
            <v>9366160</v>
          </cell>
          <cell r="AG71">
            <v>8535465</v>
          </cell>
          <cell r="AI71">
            <v>9827905</v>
          </cell>
        </row>
        <row r="72">
          <cell r="I72">
            <v>13746334</v>
          </cell>
          <cell r="J72">
            <v>12397152</v>
          </cell>
          <cell r="K72">
            <v>13391124</v>
          </cell>
          <cell r="L72">
            <v>13437791</v>
          </cell>
          <cell r="M72">
            <v>13584019</v>
          </cell>
          <cell r="N72">
            <v>14862324</v>
          </cell>
          <cell r="O72">
            <v>11196186</v>
          </cell>
          <cell r="P72">
            <v>10929094</v>
          </cell>
          <cell r="Q72">
            <v>12417039</v>
          </cell>
          <cell r="R72">
            <v>12190663</v>
          </cell>
          <cell r="S72">
            <v>13976574</v>
          </cell>
          <cell r="T72">
            <v>12649392</v>
          </cell>
          <cell r="U72">
            <v>12483699</v>
          </cell>
          <cell r="V72">
            <v>8792048</v>
          </cell>
          <cell r="W72">
            <v>9149819</v>
          </cell>
          <cell r="X72">
            <v>9448094</v>
          </cell>
          <cell r="Y72">
            <v>10404722</v>
          </cell>
          <cell r="Z72">
            <v>10522029</v>
          </cell>
          <cell r="AA72">
            <v>9652243</v>
          </cell>
          <cell r="AB72">
            <v>8583231</v>
          </cell>
          <cell r="AC72">
            <v>9642276</v>
          </cell>
          <cell r="AD72">
            <v>11409105</v>
          </cell>
          <cell r="AE72">
            <v>11515321</v>
          </cell>
          <cell r="AF72">
            <v>10900003</v>
          </cell>
          <cell r="AG72">
            <v>9250396</v>
          </cell>
          <cell r="AI72">
            <v>12397152</v>
          </cell>
        </row>
        <row r="73">
          <cell r="I73">
            <v>16494764</v>
          </cell>
          <cell r="J73">
            <v>14271101</v>
          </cell>
          <cell r="K73">
            <v>16363240</v>
          </cell>
          <cell r="L73">
            <v>15932483</v>
          </cell>
          <cell r="M73">
            <v>15980499</v>
          </cell>
          <cell r="N73">
            <v>17520915</v>
          </cell>
          <cell r="O73">
            <v>14210928</v>
          </cell>
          <cell r="P73">
            <v>13567119</v>
          </cell>
          <cell r="Q73">
            <v>14418876</v>
          </cell>
          <cell r="R73">
            <v>14677193</v>
          </cell>
          <cell r="S73">
            <v>15997501</v>
          </cell>
          <cell r="T73">
            <v>15397985</v>
          </cell>
          <cell r="U73">
            <v>14860975</v>
          </cell>
          <cell r="V73">
            <v>12643669</v>
          </cell>
          <cell r="W73">
            <v>12849839</v>
          </cell>
          <cell r="X73">
            <v>12532506</v>
          </cell>
          <cell r="Y73">
            <v>13705747</v>
          </cell>
          <cell r="Z73">
            <v>14518934</v>
          </cell>
          <cell r="AA73">
            <v>13003981</v>
          </cell>
          <cell r="AB73">
            <v>11512727</v>
          </cell>
          <cell r="AC73">
            <v>13092605</v>
          </cell>
          <cell r="AD73">
            <v>15825909</v>
          </cell>
          <cell r="AE73">
            <v>14927814</v>
          </cell>
          <cell r="AF73">
            <v>15493736</v>
          </cell>
          <cell r="AG73">
            <v>12566258</v>
          </cell>
          <cell r="AI73">
            <v>14271101</v>
          </cell>
        </row>
        <row r="74">
          <cell r="I74">
            <v>17589137</v>
          </cell>
          <cell r="J74">
            <v>15118181</v>
          </cell>
          <cell r="K74">
            <v>16834182</v>
          </cell>
          <cell r="L74">
            <v>17792838</v>
          </cell>
          <cell r="M74">
            <v>17647866</v>
          </cell>
          <cell r="N74">
            <v>18749345</v>
          </cell>
          <cell r="O74">
            <v>14739750</v>
          </cell>
          <cell r="P74">
            <v>13696494</v>
          </cell>
          <cell r="Q74">
            <v>15108718</v>
          </cell>
          <cell r="R74">
            <v>16574923</v>
          </cell>
          <cell r="S74">
            <v>16835772</v>
          </cell>
          <cell r="T74">
            <v>17260876</v>
          </cell>
          <cell r="U74">
            <v>16690574</v>
          </cell>
          <cell r="V74">
            <v>13902354</v>
          </cell>
          <cell r="W74">
            <v>15451288</v>
          </cell>
          <cell r="X74">
            <v>15342493</v>
          </cell>
          <cell r="Y74">
            <v>16541232</v>
          </cell>
          <cell r="Z74">
            <v>17672952</v>
          </cell>
          <cell r="AA74">
            <v>15700205</v>
          </cell>
          <cell r="AB74">
            <v>13949247</v>
          </cell>
          <cell r="AC74">
            <v>15635199</v>
          </cell>
          <cell r="AD74">
            <v>19793664</v>
          </cell>
          <cell r="AE74">
            <v>18030540</v>
          </cell>
          <cell r="AF74">
            <v>18539304</v>
          </cell>
          <cell r="AG74">
            <v>15906973</v>
          </cell>
          <cell r="AI74">
            <v>15118181</v>
          </cell>
        </row>
        <row r="75">
          <cell r="I75">
            <v>19256206</v>
          </cell>
          <cell r="J75">
            <v>16509022</v>
          </cell>
          <cell r="K75">
            <v>17389185</v>
          </cell>
          <cell r="L75">
            <v>17391414</v>
          </cell>
          <cell r="M75">
            <v>17431938</v>
          </cell>
          <cell r="N75">
            <v>18232223</v>
          </cell>
          <cell r="O75">
            <v>13997015</v>
          </cell>
          <cell r="P75">
            <v>13343232</v>
          </cell>
          <cell r="Q75">
            <v>15208635</v>
          </cell>
          <cell r="R75">
            <v>15771682</v>
          </cell>
          <cell r="S75">
            <v>16855454</v>
          </cell>
          <cell r="T75">
            <v>17207909</v>
          </cell>
          <cell r="U75">
            <v>15554311</v>
          </cell>
          <cell r="V75">
            <v>14259793</v>
          </cell>
          <cell r="W75">
            <v>13588081</v>
          </cell>
          <cell r="X75">
            <v>13558131</v>
          </cell>
          <cell r="Y75">
            <v>14774580</v>
          </cell>
          <cell r="Z75">
            <v>16197205</v>
          </cell>
          <cell r="AA75">
            <v>14529249</v>
          </cell>
          <cell r="AB75">
            <v>13606900</v>
          </cell>
          <cell r="AC75">
            <v>14421971</v>
          </cell>
          <cell r="AD75">
            <v>17984605</v>
          </cell>
          <cell r="AE75">
            <v>16462023</v>
          </cell>
          <cell r="AF75">
            <v>17204678</v>
          </cell>
          <cell r="AG75">
            <v>14630596</v>
          </cell>
          <cell r="AI75">
            <v>16509022</v>
          </cell>
        </row>
        <row r="76">
          <cell r="I76">
            <v>25364199</v>
          </cell>
          <cell r="J76">
            <v>22209027</v>
          </cell>
          <cell r="K76">
            <v>23416381</v>
          </cell>
          <cell r="L76">
            <v>22435135</v>
          </cell>
          <cell r="M76">
            <v>23040945</v>
          </cell>
          <cell r="N76">
            <v>24857895</v>
          </cell>
          <cell r="O76">
            <v>19856653</v>
          </cell>
          <cell r="P76">
            <v>19154393</v>
          </cell>
          <cell r="Q76">
            <v>20215549</v>
          </cell>
          <cell r="R76">
            <v>22828947</v>
          </cell>
          <cell r="S76">
            <v>23149561</v>
          </cell>
          <cell r="T76">
            <v>24079068</v>
          </cell>
          <cell r="U76">
            <v>21789799</v>
          </cell>
          <cell r="V76">
            <v>19635882</v>
          </cell>
          <cell r="W76">
            <v>19061463</v>
          </cell>
          <cell r="X76">
            <v>18497240</v>
          </cell>
          <cell r="Y76">
            <v>19199567</v>
          </cell>
          <cell r="Z76">
            <v>21492410</v>
          </cell>
          <cell r="AA76">
            <v>19733246</v>
          </cell>
          <cell r="AB76">
            <v>18131931</v>
          </cell>
          <cell r="AC76">
            <v>19246877</v>
          </cell>
          <cell r="AD76">
            <v>23453573</v>
          </cell>
          <cell r="AE76">
            <v>22303448</v>
          </cell>
          <cell r="AF76">
            <v>22186693</v>
          </cell>
          <cell r="AG76">
            <v>18036457</v>
          </cell>
          <cell r="AI76">
            <v>22209027</v>
          </cell>
        </row>
        <row r="77">
          <cell r="I77">
            <v>20028348</v>
          </cell>
          <cell r="J77">
            <v>17817653</v>
          </cell>
          <cell r="K77">
            <v>18836664</v>
          </cell>
          <cell r="L77">
            <v>18875505</v>
          </cell>
          <cell r="M77">
            <v>18999291</v>
          </cell>
          <cell r="N77">
            <v>20901262</v>
          </cell>
          <cell r="O77">
            <v>16422299</v>
          </cell>
          <cell r="P77">
            <v>16379182</v>
          </cell>
          <cell r="Q77">
            <v>17328307</v>
          </cell>
          <cell r="R77">
            <v>19787758</v>
          </cell>
          <cell r="S77">
            <v>20048112</v>
          </cell>
          <cell r="T77">
            <v>20192803</v>
          </cell>
          <cell r="U77">
            <v>18735991</v>
          </cell>
          <cell r="V77">
            <v>16366362</v>
          </cell>
          <cell r="W77">
            <v>17250755</v>
          </cell>
          <cell r="X77">
            <v>15979844</v>
          </cell>
          <cell r="Y77">
            <v>17689668</v>
          </cell>
          <cell r="Z77">
            <v>18664216</v>
          </cell>
          <cell r="AA77">
            <v>17193842</v>
          </cell>
          <cell r="AB77">
            <v>15089980</v>
          </cell>
          <cell r="AC77">
            <v>16764810</v>
          </cell>
          <cell r="AD77">
            <v>20719183</v>
          </cell>
          <cell r="AE77">
            <v>20158302</v>
          </cell>
          <cell r="AF77">
            <v>20753804</v>
          </cell>
          <cell r="AG77">
            <v>17056438</v>
          </cell>
          <cell r="AI77">
            <v>17817653</v>
          </cell>
        </row>
        <row r="78">
          <cell r="I78">
            <v>21132638</v>
          </cell>
          <cell r="J78">
            <v>18499267</v>
          </cell>
          <cell r="K78">
            <v>19854820</v>
          </cell>
          <cell r="L78">
            <v>20018412</v>
          </cell>
          <cell r="M78">
            <v>20286857</v>
          </cell>
          <cell r="N78">
            <v>22135878</v>
          </cell>
          <cell r="O78">
            <v>15465680</v>
          </cell>
          <cell r="P78">
            <v>13716913</v>
          </cell>
          <cell r="Q78">
            <v>14943948</v>
          </cell>
          <cell r="R78">
            <v>17490835</v>
          </cell>
          <cell r="S78">
            <v>16990015</v>
          </cell>
          <cell r="T78">
            <v>18519575</v>
          </cell>
          <cell r="U78">
            <v>15752283</v>
          </cell>
          <cell r="V78">
            <v>13797853</v>
          </cell>
          <cell r="W78">
            <v>16215278</v>
          </cell>
          <cell r="X78">
            <v>14843573</v>
          </cell>
          <cell r="Y78">
            <v>17169490</v>
          </cell>
          <cell r="Z78">
            <v>18067459</v>
          </cell>
          <cell r="AA78">
            <v>15182874</v>
          </cell>
          <cell r="AB78">
            <v>14245261</v>
          </cell>
          <cell r="AC78">
            <v>15182465</v>
          </cell>
          <cell r="AD78">
            <v>17788003</v>
          </cell>
          <cell r="AE78">
            <v>16966055</v>
          </cell>
          <cell r="AF78">
            <v>17703783</v>
          </cell>
          <cell r="AG78">
            <v>14719619</v>
          </cell>
          <cell r="AI78">
            <v>18499267</v>
          </cell>
        </row>
        <row r="79">
          <cell r="I79">
            <v>17296238</v>
          </cell>
          <cell r="J79">
            <v>14318107</v>
          </cell>
          <cell r="K79">
            <v>14853819</v>
          </cell>
          <cell r="L79">
            <v>15796068</v>
          </cell>
          <cell r="M79">
            <v>16048088</v>
          </cell>
          <cell r="N79">
            <v>17073820</v>
          </cell>
          <cell r="O79">
            <v>15222196</v>
          </cell>
          <cell r="P79">
            <v>11968514</v>
          </cell>
          <cell r="Q79">
            <v>12993403</v>
          </cell>
          <cell r="R79">
            <v>15775282</v>
          </cell>
          <cell r="S79">
            <v>15330489</v>
          </cell>
          <cell r="T79">
            <v>16290738</v>
          </cell>
          <cell r="U79">
            <v>15692241</v>
          </cell>
          <cell r="V79">
            <v>12535868</v>
          </cell>
          <cell r="W79">
            <v>13331936</v>
          </cell>
          <cell r="X79">
            <v>12245850</v>
          </cell>
          <cell r="Y79">
            <v>13447905</v>
          </cell>
          <cell r="Z79">
            <v>14776170</v>
          </cell>
          <cell r="AA79">
            <v>12815927</v>
          </cell>
          <cell r="AB79">
            <v>11678706</v>
          </cell>
          <cell r="AC79">
            <v>13202695</v>
          </cell>
          <cell r="AD79">
            <v>16819613</v>
          </cell>
          <cell r="AE79">
            <v>15660955</v>
          </cell>
          <cell r="AF79">
            <v>15920593</v>
          </cell>
          <cell r="AG79">
            <v>12666528</v>
          </cell>
          <cell r="AI79">
            <v>14318107</v>
          </cell>
        </row>
        <row r="80">
          <cell r="I80">
            <v>27152817</v>
          </cell>
          <cell r="J80">
            <v>23686405</v>
          </cell>
          <cell r="K80">
            <v>23652248</v>
          </cell>
          <cell r="L80">
            <v>24846342</v>
          </cell>
          <cell r="M80">
            <v>23888475</v>
          </cell>
          <cell r="N80">
            <v>27352865</v>
          </cell>
          <cell r="O80">
            <v>24280411</v>
          </cell>
          <cell r="P80">
            <v>19876030</v>
          </cell>
          <cell r="Q80">
            <v>21697863</v>
          </cell>
          <cell r="R80">
            <v>24364839</v>
          </cell>
          <cell r="S80">
            <v>24208297</v>
          </cell>
          <cell r="T80">
            <v>25965829</v>
          </cell>
          <cell r="U80">
            <v>24222590</v>
          </cell>
          <cell r="V80">
            <v>21240299</v>
          </cell>
          <cell r="W80">
            <v>20059091</v>
          </cell>
          <cell r="X80">
            <v>19748911</v>
          </cell>
          <cell r="Y80">
            <v>20723663</v>
          </cell>
          <cell r="Z80">
            <v>22712601</v>
          </cell>
          <cell r="AA80">
            <v>20090159</v>
          </cell>
          <cell r="AB80">
            <v>17941695</v>
          </cell>
          <cell r="AC80">
            <v>19596031</v>
          </cell>
          <cell r="AD80">
            <v>25316641</v>
          </cell>
          <cell r="AE80">
            <v>22542719</v>
          </cell>
          <cell r="AF80">
            <v>25016389</v>
          </cell>
          <cell r="AG80">
            <v>20731089</v>
          </cell>
          <cell r="AI80">
            <v>23686405</v>
          </cell>
        </row>
        <row r="81">
          <cell r="I81">
            <v>22731615</v>
          </cell>
          <cell r="J81">
            <v>18802193</v>
          </cell>
          <cell r="K81">
            <v>19526837</v>
          </cell>
          <cell r="L81">
            <v>19152173</v>
          </cell>
          <cell r="M81">
            <v>19961054</v>
          </cell>
          <cell r="N81">
            <v>21754258</v>
          </cell>
          <cell r="O81">
            <v>19719308</v>
          </cell>
          <cell r="P81">
            <v>16649583</v>
          </cell>
          <cell r="Q81">
            <v>17584932</v>
          </cell>
          <cell r="R81">
            <v>20815261</v>
          </cell>
          <cell r="S81">
            <v>20114071</v>
          </cell>
          <cell r="T81">
            <v>22684836</v>
          </cell>
          <cell r="U81">
            <v>19872963</v>
          </cell>
          <cell r="V81">
            <v>17594783</v>
          </cell>
          <cell r="W81">
            <v>18361799</v>
          </cell>
          <cell r="X81">
            <v>16215237</v>
          </cell>
          <cell r="Y81">
            <v>17545724</v>
          </cell>
          <cell r="Z81">
            <v>19219851</v>
          </cell>
          <cell r="AA81">
            <v>17640436</v>
          </cell>
          <cell r="AB81">
            <v>16311306</v>
          </cell>
          <cell r="AC81">
            <v>16350221</v>
          </cell>
          <cell r="AD81">
            <v>21161832</v>
          </cell>
          <cell r="AE81">
            <v>19988279</v>
          </cell>
          <cell r="AF81">
            <v>20742361</v>
          </cell>
          <cell r="AG81">
            <v>17911246</v>
          </cell>
          <cell r="AI81">
            <v>18802193</v>
          </cell>
        </row>
        <row r="82">
          <cell r="I82">
            <v>12971084</v>
          </cell>
          <cell r="J82">
            <v>11250682</v>
          </cell>
          <cell r="K82">
            <v>11571773</v>
          </cell>
          <cell r="L82">
            <v>11865273</v>
          </cell>
          <cell r="M82">
            <v>12331035</v>
          </cell>
          <cell r="N82">
            <v>13570396</v>
          </cell>
          <cell r="O82">
            <v>12072355</v>
          </cell>
          <cell r="P82">
            <v>9726643</v>
          </cell>
          <cell r="Q82">
            <v>10326389</v>
          </cell>
          <cell r="R82">
            <v>11765702</v>
          </cell>
          <cell r="S82">
            <v>11746722</v>
          </cell>
          <cell r="T82">
            <v>12859290</v>
          </cell>
          <cell r="U82">
            <v>11532684</v>
          </cell>
          <cell r="V82">
            <v>10310652</v>
          </cell>
          <cell r="W82">
            <v>10529812</v>
          </cell>
          <cell r="X82">
            <v>9569279</v>
          </cell>
          <cell r="Y82">
            <v>10867825</v>
          </cell>
          <cell r="Z82">
            <v>11502641</v>
          </cell>
          <cell r="AA82">
            <v>10460478</v>
          </cell>
          <cell r="AB82">
            <v>9303074</v>
          </cell>
          <cell r="AC82">
            <v>9700373</v>
          </cell>
          <cell r="AD82">
            <v>12499345</v>
          </cell>
          <cell r="AE82">
            <v>12291084</v>
          </cell>
          <cell r="AF82">
            <v>12484312</v>
          </cell>
          <cell r="AG82">
            <v>10393265</v>
          </cell>
          <cell r="AI82">
            <v>11250682</v>
          </cell>
        </row>
        <row r="83">
          <cell r="I83">
            <v>13880115</v>
          </cell>
          <cell r="J83">
            <v>11816405</v>
          </cell>
          <cell r="K83">
            <v>12011206</v>
          </cell>
          <cell r="L83">
            <v>12420417</v>
          </cell>
          <cell r="M83">
            <v>12844592</v>
          </cell>
          <cell r="N83">
            <v>14517364</v>
          </cell>
          <cell r="O83">
            <v>13034824</v>
          </cell>
          <cell r="P83">
            <v>11024906</v>
          </cell>
          <cell r="Q83">
            <v>10962806</v>
          </cell>
          <cell r="R83">
            <v>13735719</v>
          </cell>
          <cell r="S83">
            <v>12568925</v>
          </cell>
          <cell r="T83">
            <v>14791005</v>
          </cell>
          <cell r="U83">
            <v>12547919</v>
          </cell>
          <cell r="V83">
            <v>11627094</v>
          </cell>
          <cell r="W83">
            <v>11109037</v>
          </cell>
          <cell r="X83">
            <v>10261577</v>
          </cell>
          <cell r="Y83">
            <v>11214270</v>
          </cell>
          <cell r="Z83">
            <v>12375824</v>
          </cell>
          <cell r="AA83">
            <v>10559392</v>
          </cell>
          <cell r="AB83">
            <v>9866351</v>
          </cell>
          <cell r="AC83">
            <v>9941936</v>
          </cell>
          <cell r="AD83">
            <v>12315996</v>
          </cell>
          <cell r="AE83">
            <v>12092258</v>
          </cell>
          <cell r="AF83">
            <v>12928889</v>
          </cell>
          <cell r="AG83">
            <v>10688883</v>
          </cell>
          <cell r="AI83">
            <v>11816405</v>
          </cell>
        </row>
        <row r="84">
          <cell r="I84">
            <v>17828165</v>
          </cell>
          <cell r="J84">
            <v>14886202</v>
          </cell>
          <cell r="K84">
            <v>15367082</v>
          </cell>
          <cell r="L84">
            <v>16060098</v>
          </cell>
          <cell r="M84">
            <v>17157931</v>
          </cell>
          <cell r="N84">
            <v>18686513</v>
          </cell>
          <cell r="O84">
            <v>16522781</v>
          </cell>
          <cell r="P84">
            <v>13136695</v>
          </cell>
          <cell r="Q84">
            <v>13591677</v>
          </cell>
          <cell r="R84">
            <v>17112471</v>
          </cell>
          <cell r="S84">
            <v>16385307</v>
          </cell>
          <cell r="T84">
            <v>17856720</v>
          </cell>
          <cell r="U84">
            <v>16383445</v>
          </cell>
          <cell r="V84">
            <v>14124514</v>
          </cell>
          <cell r="W84">
            <v>14203820</v>
          </cell>
          <cell r="X84">
            <v>13223007</v>
          </cell>
          <cell r="Y84">
            <v>14953582</v>
          </cell>
          <cell r="Z84">
            <v>16253438</v>
          </cell>
          <cell r="AA84">
            <v>14305101</v>
          </cell>
          <cell r="AB84">
            <v>12510604</v>
          </cell>
          <cell r="AC84">
            <v>13309531</v>
          </cell>
          <cell r="AD84">
            <v>17260235</v>
          </cell>
          <cell r="AE84">
            <v>15659604</v>
          </cell>
          <cell r="AF84">
            <v>17003546</v>
          </cell>
          <cell r="AG84">
            <v>14462783</v>
          </cell>
          <cell r="AI84">
            <v>14886202</v>
          </cell>
        </row>
        <row r="85">
          <cell r="I85">
            <v>15199160</v>
          </cell>
          <cell r="J85">
            <v>13384116</v>
          </cell>
          <cell r="K85">
            <v>13448243</v>
          </cell>
          <cell r="L85">
            <v>13876734</v>
          </cell>
          <cell r="M85">
            <v>14540833</v>
          </cell>
          <cell r="N85">
            <v>16205283</v>
          </cell>
          <cell r="O85">
            <v>15024727</v>
          </cell>
          <cell r="P85">
            <v>11633014</v>
          </cell>
          <cell r="Q85">
            <v>11801116</v>
          </cell>
          <cell r="R85">
            <v>14162376</v>
          </cell>
          <cell r="S85">
            <v>13796796</v>
          </cell>
          <cell r="T85">
            <v>15081311</v>
          </cell>
          <cell r="U85">
            <v>13474594</v>
          </cell>
          <cell r="V85">
            <v>12520550</v>
          </cell>
          <cell r="W85">
            <v>12411367</v>
          </cell>
          <cell r="X85">
            <v>11358273</v>
          </cell>
          <cell r="Y85">
            <v>14783651</v>
          </cell>
          <cell r="Z85">
            <v>13843804</v>
          </cell>
          <cell r="AA85">
            <v>13398461</v>
          </cell>
          <cell r="AB85">
            <v>11917121</v>
          </cell>
          <cell r="AC85">
            <v>12030657</v>
          </cell>
          <cell r="AD85">
            <v>15412800</v>
          </cell>
          <cell r="AE85">
            <v>14646668</v>
          </cell>
          <cell r="AF85">
            <v>15509002</v>
          </cell>
          <cell r="AG85">
            <v>13651740</v>
          </cell>
          <cell r="AI85">
            <v>13384116</v>
          </cell>
        </row>
        <row r="86">
          <cell r="I86">
            <v>17286826</v>
          </cell>
          <cell r="J86">
            <v>14629532</v>
          </cell>
          <cell r="K86">
            <v>14595926</v>
          </cell>
          <cell r="L86">
            <v>15616996</v>
          </cell>
          <cell r="M86">
            <v>16188800</v>
          </cell>
          <cell r="N86">
            <v>16848931</v>
          </cell>
          <cell r="O86">
            <v>16540559</v>
          </cell>
          <cell r="P86">
            <v>11643065</v>
          </cell>
          <cell r="Q86">
            <v>12718202</v>
          </cell>
          <cell r="R86">
            <v>14567610</v>
          </cell>
          <cell r="S86">
            <v>13880986</v>
          </cell>
          <cell r="T86">
            <v>15652871</v>
          </cell>
          <cell r="U86">
            <v>13934215</v>
          </cell>
          <cell r="V86">
            <v>12898049</v>
          </cell>
          <cell r="W86">
            <v>13100761</v>
          </cell>
          <cell r="X86">
            <v>12276492</v>
          </cell>
          <cell r="Y86">
            <v>13253358</v>
          </cell>
          <cell r="Z86">
            <v>14425768</v>
          </cell>
          <cell r="AA86">
            <v>13989320</v>
          </cell>
          <cell r="AB86">
            <v>11125627</v>
          </cell>
          <cell r="AC86">
            <v>11714434</v>
          </cell>
          <cell r="AD86">
            <v>14378481</v>
          </cell>
          <cell r="AE86">
            <v>14965375</v>
          </cell>
          <cell r="AF86">
            <v>14796339</v>
          </cell>
          <cell r="AG86">
            <v>12670830</v>
          </cell>
          <cell r="AI86">
            <v>14629532</v>
          </cell>
        </row>
        <row r="87">
          <cell r="I87">
            <v>11632438</v>
          </cell>
          <cell r="J87">
            <v>9817828</v>
          </cell>
          <cell r="K87">
            <v>9817006</v>
          </cell>
          <cell r="L87">
            <v>10427906</v>
          </cell>
          <cell r="M87">
            <v>10520438</v>
          </cell>
          <cell r="N87">
            <v>10992928</v>
          </cell>
          <cell r="O87">
            <v>11558323</v>
          </cell>
          <cell r="P87">
            <v>7773245</v>
          </cell>
          <cell r="Q87">
            <v>8279381</v>
          </cell>
          <cell r="R87">
            <v>9636274</v>
          </cell>
          <cell r="S87">
            <v>9730477</v>
          </cell>
          <cell r="T87">
            <v>10526599</v>
          </cell>
          <cell r="U87">
            <v>9566735</v>
          </cell>
          <cell r="V87">
            <v>8750334</v>
          </cell>
          <cell r="W87">
            <v>9188990</v>
          </cell>
          <cell r="X87">
            <v>8488358</v>
          </cell>
          <cell r="Y87">
            <v>9543324</v>
          </cell>
          <cell r="Z87">
            <v>10017348</v>
          </cell>
          <cell r="AA87">
            <v>9977153</v>
          </cell>
          <cell r="AB87">
            <v>7915727</v>
          </cell>
          <cell r="AC87">
            <v>8257960</v>
          </cell>
          <cell r="AD87">
            <v>10174619</v>
          </cell>
          <cell r="AE87">
            <v>10575656</v>
          </cell>
          <cell r="AF87">
            <v>11889996</v>
          </cell>
          <cell r="AG87">
            <v>9922986</v>
          </cell>
          <cell r="AI87">
            <v>9817828</v>
          </cell>
        </row>
        <row r="88">
          <cell r="I88">
            <v>13912536</v>
          </cell>
          <cell r="J88">
            <v>10978821</v>
          </cell>
          <cell r="K88">
            <v>10589345</v>
          </cell>
          <cell r="L88">
            <v>12493799</v>
          </cell>
          <cell r="M88">
            <v>11842745</v>
          </cell>
          <cell r="N88">
            <v>11657365</v>
          </cell>
          <cell r="O88">
            <v>12696546</v>
          </cell>
          <cell r="P88">
            <v>9010763</v>
          </cell>
          <cell r="Q88">
            <v>8948520</v>
          </cell>
          <cell r="R88">
            <v>10989558</v>
          </cell>
          <cell r="S88">
            <v>10678936</v>
          </cell>
          <cell r="T88">
            <v>11982318</v>
          </cell>
          <cell r="U88">
            <v>10469228</v>
          </cell>
          <cell r="V88">
            <v>9798944</v>
          </cell>
          <cell r="W88">
            <v>9473997</v>
          </cell>
          <cell r="X88">
            <v>8938861</v>
          </cell>
          <cell r="Y88">
            <v>9664153</v>
          </cell>
          <cell r="Z88">
            <v>10317053</v>
          </cell>
          <cell r="AA88">
            <v>10421916</v>
          </cell>
          <cell r="AB88">
            <v>8908567</v>
          </cell>
          <cell r="AC88">
            <v>8832699</v>
          </cell>
          <cell r="AD88">
            <v>9469469</v>
          </cell>
          <cell r="AE88">
            <v>10276268</v>
          </cell>
          <cell r="AF88">
            <v>10541507</v>
          </cell>
          <cell r="AG88">
            <v>8722184</v>
          </cell>
          <cell r="AI88">
            <v>10978821</v>
          </cell>
        </row>
        <row r="89">
          <cell r="I89">
            <v>23256359</v>
          </cell>
          <cell r="J89">
            <v>19182573</v>
          </cell>
          <cell r="K89">
            <v>18079745</v>
          </cell>
          <cell r="L89">
            <v>21096628</v>
          </cell>
          <cell r="M89">
            <v>19775539</v>
          </cell>
          <cell r="N89">
            <v>20814467</v>
          </cell>
          <cell r="O89">
            <v>22963192</v>
          </cell>
          <cell r="P89">
            <v>17271249</v>
          </cell>
          <cell r="Q89">
            <v>17306117</v>
          </cell>
          <cell r="R89">
            <v>19816218</v>
          </cell>
          <cell r="S89">
            <v>19061832</v>
          </cell>
          <cell r="T89">
            <v>20721757</v>
          </cell>
          <cell r="U89">
            <v>20161622</v>
          </cell>
          <cell r="V89">
            <v>18719620</v>
          </cell>
          <cell r="W89">
            <v>17345107</v>
          </cell>
          <cell r="X89">
            <v>18669576</v>
          </cell>
          <cell r="Y89">
            <v>18260413</v>
          </cell>
          <cell r="Z89">
            <v>20744156</v>
          </cell>
          <cell r="AA89">
            <v>22782570</v>
          </cell>
          <cell r="AB89">
            <v>14884217</v>
          </cell>
          <cell r="AC89">
            <v>15687201</v>
          </cell>
          <cell r="AD89">
            <v>20240014</v>
          </cell>
          <cell r="AE89">
            <v>20811052</v>
          </cell>
          <cell r="AF89">
            <v>23082162</v>
          </cell>
          <cell r="AG89">
            <v>17615292</v>
          </cell>
          <cell r="AI89">
            <v>19182573</v>
          </cell>
        </row>
        <row r="91">
          <cell r="I91">
            <v>159412772</v>
          </cell>
          <cell r="J91">
            <v>159241719</v>
          </cell>
          <cell r="K91">
            <v>150847810</v>
          </cell>
          <cell r="L91">
            <v>155584159</v>
          </cell>
          <cell r="M91">
            <v>144215451</v>
          </cell>
          <cell r="N91">
            <v>150630150</v>
          </cell>
          <cell r="O91">
            <v>159488635</v>
          </cell>
          <cell r="P91">
            <v>151053083</v>
          </cell>
          <cell r="Q91">
            <v>149517279</v>
          </cell>
          <cell r="R91">
            <v>160490503</v>
          </cell>
          <cell r="S91">
            <v>157094598</v>
          </cell>
          <cell r="T91">
            <v>149874792</v>
          </cell>
          <cell r="U91">
            <v>156947830</v>
          </cell>
          <cell r="V91">
            <v>145483172</v>
          </cell>
          <cell r="W91">
            <v>139236532</v>
          </cell>
          <cell r="X91">
            <v>139073456</v>
          </cell>
          <cell r="Y91">
            <v>131086983</v>
          </cell>
          <cell r="Z91">
            <v>142697998</v>
          </cell>
          <cell r="AA91">
            <v>142484899</v>
          </cell>
          <cell r="AB91">
            <v>129148122</v>
          </cell>
          <cell r="AC91">
            <v>138629351</v>
          </cell>
          <cell r="AD91">
            <v>142182896</v>
          </cell>
          <cell r="AE91">
            <v>128286409</v>
          </cell>
          <cell r="AF91">
            <v>133356478</v>
          </cell>
          <cell r="AG91">
            <v>139468217</v>
          </cell>
          <cell r="AI91">
            <v>159241719</v>
          </cell>
        </row>
        <row r="92">
          <cell r="I92">
            <v>5698460</v>
          </cell>
          <cell r="J92">
            <v>5062300</v>
          </cell>
          <cell r="K92">
            <v>4988649</v>
          </cell>
          <cell r="L92">
            <v>5356691</v>
          </cell>
          <cell r="M92">
            <v>5195170</v>
          </cell>
          <cell r="N92">
            <v>5381919</v>
          </cell>
          <cell r="O92">
            <v>5679280</v>
          </cell>
          <cell r="P92">
            <v>5109677</v>
          </cell>
          <cell r="Q92">
            <v>6822791</v>
          </cell>
          <cell r="R92">
            <v>6335890</v>
          </cell>
          <cell r="S92">
            <v>7321232</v>
          </cell>
          <cell r="T92">
            <v>6869128</v>
          </cell>
          <cell r="U92">
            <v>6421617</v>
          </cell>
          <cell r="V92">
            <v>5747073</v>
          </cell>
          <cell r="W92">
            <v>5341548</v>
          </cell>
          <cell r="X92">
            <v>5499221</v>
          </cell>
          <cell r="Y92">
            <v>5853884</v>
          </cell>
          <cell r="Z92">
            <v>5775540</v>
          </cell>
          <cell r="AA92">
            <v>6091053</v>
          </cell>
          <cell r="AB92">
            <v>5611697</v>
          </cell>
          <cell r="AC92">
            <v>10846603</v>
          </cell>
          <cell r="AD92">
            <v>11581085</v>
          </cell>
          <cell r="AE92">
            <v>11874703</v>
          </cell>
          <cell r="AF92">
            <v>10142134</v>
          </cell>
          <cell r="AG92">
            <v>9708784</v>
          </cell>
          <cell r="AI92">
            <v>5062300</v>
          </cell>
        </row>
        <row r="93">
          <cell r="I93">
            <v>9144217</v>
          </cell>
          <cell r="J93">
            <v>9308795</v>
          </cell>
          <cell r="K93">
            <v>9784621</v>
          </cell>
          <cell r="L93">
            <v>9101109</v>
          </cell>
          <cell r="M93">
            <v>8270142</v>
          </cell>
          <cell r="N93">
            <v>8835409</v>
          </cell>
          <cell r="O93">
            <v>8346439</v>
          </cell>
          <cell r="P93">
            <v>8746197</v>
          </cell>
          <cell r="Q93">
            <v>9295315</v>
          </cell>
          <cell r="R93">
            <v>8849344</v>
          </cell>
          <cell r="S93">
            <v>9114320</v>
          </cell>
          <cell r="T93">
            <v>9094651</v>
          </cell>
          <cell r="U93">
            <v>8915237</v>
          </cell>
          <cell r="V93">
            <v>9320652</v>
          </cell>
          <cell r="W93">
            <v>9177887</v>
          </cell>
          <cell r="X93">
            <v>8290997</v>
          </cell>
          <cell r="Y93">
            <v>8940479</v>
          </cell>
          <cell r="Z93">
            <v>8665673</v>
          </cell>
          <cell r="AA93">
            <v>9058264</v>
          </cell>
          <cell r="AB93">
            <v>8599346</v>
          </cell>
          <cell r="AC93">
            <v>4431410</v>
          </cell>
          <cell r="AD93">
            <v>4626681</v>
          </cell>
          <cell r="AE93">
            <v>4375042</v>
          </cell>
          <cell r="AF93">
            <v>4830381</v>
          </cell>
          <cell r="AG93">
            <v>4736127</v>
          </cell>
          <cell r="AI93">
            <v>9308795</v>
          </cell>
        </row>
        <row r="94">
          <cell r="I94">
            <v>29046926</v>
          </cell>
          <cell r="J94">
            <v>27329813</v>
          </cell>
          <cell r="K94">
            <v>30376836</v>
          </cell>
          <cell r="L94">
            <v>28422876</v>
          </cell>
          <cell r="M94">
            <v>27005519</v>
          </cell>
          <cell r="N94">
            <v>25469205</v>
          </cell>
          <cell r="O94">
            <v>26418659</v>
          </cell>
          <cell r="P94">
            <v>27156736</v>
          </cell>
          <cell r="Q94">
            <v>31313278</v>
          </cell>
          <cell r="R94">
            <v>29589647</v>
          </cell>
          <cell r="S94">
            <v>29407184</v>
          </cell>
          <cell r="T94">
            <v>27512120</v>
          </cell>
          <cell r="U94">
            <v>31153213</v>
          </cell>
          <cell r="V94">
            <v>28670090</v>
          </cell>
          <cell r="W94">
            <v>30661646</v>
          </cell>
          <cell r="X94">
            <v>27725250</v>
          </cell>
          <cell r="Y94">
            <v>26746435</v>
          </cell>
          <cell r="Z94">
            <v>25499882</v>
          </cell>
          <cell r="AA94">
            <v>29388353</v>
          </cell>
          <cell r="AB94">
            <v>24693829</v>
          </cell>
          <cell r="AC94">
            <v>27899888</v>
          </cell>
          <cell r="AD94">
            <v>28533783</v>
          </cell>
          <cell r="AE94">
            <v>25656276</v>
          </cell>
          <cell r="AF94">
            <v>29376810</v>
          </cell>
          <cell r="AG94">
            <v>26930127</v>
          </cell>
          <cell r="AI94">
            <v>27329813</v>
          </cell>
        </row>
        <row r="95">
          <cell r="I95">
            <v>8114880</v>
          </cell>
          <cell r="J95">
            <v>7388858</v>
          </cell>
          <cell r="K95">
            <v>7093324</v>
          </cell>
          <cell r="L95">
            <v>7817902</v>
          </cell>
          <cell r="M95">
            <v>6695581</v>
          </cell>
          <cell r="N95">
            <v>7051385</v>
          </cell>
          <cell r="O95">
            <v>7125168</v>
          </cell>
          <cell r="P95">
            <v>7098270</v>
          </cell>
          <cell r="Q95">
            <v>7213132</v>
          </cell>
          <cell r="R95">
            <v>7800891</v>
          </cell>
          <cell r="S95">
            <v>7061869</v>
          </cell>
          <cell r="T95">
            <v>7846285</v>
          </cell>
          <cell r="U95">
            <v>7223965</v>
          </cell>
          <cell r="V95">
            <v>7261073</v>
          </cell>
          <cell r="W95">
            <v>6854166</v>
          </cell>
          <cell r="X95">
            <v>6680282</v>
          </cell>
          <cell r="Y95">
            <v>6400028</v>
          </cell>
          <cell r="Z95">
            <v>5633471</v>
          </cell>
          <cell r="AA95">
            <v>6149996</v>
          </cell>
          <cell r="AB95">
            <v>6200426</v>
          </cell>
          <cell r="AC95">
            <v>6134361</v>
          </cell>
          <cell r="AD95">
            <v>6863857</v>
          </cell>
          <cell r="AE95">
            <v>6336393</v>
          </cell>
          <cell r="AF95">
            <v>6733379</v>
          </cell>
          <cell r="AG95">
            <v>6260407</v>
          </cell>
          <cell r="AI95">
            <v>7388858</v>
          </cell>
        </row>
        <row r="96">
          <cell r="I96">
            <v>14187102</v>
          </cell>
          <cell r="J96">
            <v>13667988</v>
          </cell>
          <cell r="K96">
            <v>13257947</v>
          </cell>
          <cell r="L96">
            <v>14067001</v>
          </cell>
          <cell r="M96">
            <v>12169684</v>
          </cell>
          <cell r="N96">
            <v>12200299</v>
          </cell>
          <cell r="O96">
            <v>12442886</v>
          </cell>
          <cell r="P96">
            <v>5017322</v>
          </cell>
          <cell r="Q96">
            <v>5617228</v>
          </cell>
          <cell r="R96">
            <v>5798540</v>
          </cell>
          <cell r="S96">
            <v>5536042</v>
          </cell>
          <cell r="T96">
            <v>5418640</v>
          </cell>
          <cell r="U96">
            <v>5346337</v>
          </cell>
          <cell r="V96">
            <v>5366271</v>
          </cell>
          <cell r="W96">
            <v>5083131</v>
          </cell>
          <cell r="X96">
            <v>6542635</v>
          </cell>
          <cell r="Y96">
            <v>7058470</v>
          </cell>
          <cell r="Z96">
            <v>6766710</v>
          </cell>
          <cell r="AA96">
            <v>6566968</v>
          </cell>
          <cell r="AB96">
            <v>6671837</v>
          </cell>
          <cell r="AC96">
            <v>6879014</v>
          </cell>
          <cell r="AD96">
            <v>7312327</v>
          </cell>
          <cell r="AE96">
            <v>6962144</v>
          </cell>
          <cell r="AF96">
            <v>6857796</v>
          </cell>
          <cell r="AG96">
            <v>6877838</v>
          </cell>
          <cell r="AI96">
            <v>13667988</v>
          </cell>
        </row>
        <row r="97">
          <cell r="I97">
            <v>10352448</v>
          </cell>
          <cell r="J97">
            <v>10225369</v>
          </cell>
          <cell r="K97">
            <v>10296235</v>
          </cell>
          <cell r="L97">
            <v>9145332</v>
          </cell>
          <cell r="M97">
            <v>9357741</v>
          </cell>
          <cell r="N97">
            <v>9344084</v>
          </cell>
          <cell r="O97">
            <v>8978920</v>
          </cell>
          <cell r="P97">
            <v>16108542</v>
          </cell>
          <cell r="Q97">
            <v>17776797</v>
          </cell>
          <cell r="R97">
            <v>17143256</v>
          </cell>
          <cell r="S97">
            <v>15843734</v>
          </cell>
          <cell r="T97">
            <v>18266069</v>
          </cell>
          <cell r="U97">
            <v>17526561</v>
          </cell>
          <cell r="V97">
            <v>16499200</v>
          </cell>
          <cell r="W97">
            <v>17064942</v>
          </cell>
          <cell r="X97">
            <v>15345735</v>
          </cell>
          <cell r="Y97">
            <v>16091112</v>
          </cell>
          <cell r="Z97">
            <v>15321094</v>
          </cell>
          <cell r="AA97">
            <v>17018061</v>
          </cell>
          <cell r="AB97">
            <v>15618837</v>
          </cell>
          <cell r="AC97">
            <v>15787689</v>
          </cell>
          <cell r="AD97">
            <v>17263662</v>
          </cell>
          <cell r="AE97">
            <v>17786101</v>
          </cell>
          <cell r="AF97">
            <v>15745037</v>
          </cell>
          <cell r="AG97">
            <v>16932271</v>
          </cell>
          <cell r="AI97">
            <v>10225369</v>
          </cell>
        </row>
        <row r="98">
          <cell r="I98">
            <v>7522258</v>
          </cell>
          <cell r="J98">
            <v>7510678</v>
          </cell>
          <cell r="K98">
            <v>8108700</v>
          </cell>
          <cell r="L98">
            <v>8031688</v>
          </cell>
          <cell r="M98">
            <v>7726240</v>
          </cell>
          <cell r="N98">
            <v>8074230</v>
          </cell>
          <cell r="O98">
            <v>7927594</v>
          </cell>
          <cell r="P98">
            <v>7383234</v>
          </cell>
          <cell r="Q98">
            <v>8250854</v>
          </cell>
          <cell r="R98">
            <v>8107396</v>
          </cell>
          <cell r="S98">
            <v>7985336</v>
          </cell>
          <cell r="T98">
            <v>8521226</v>
          </cell>
          <cell r="U98">
            <v>7156426</v>
          </cell>
          <cell r="V98">
            <v>7124713</v>
          </cell>
          <cell r="W98">
            <v>7905243</v>
          </cell>
          <cell r="X98">
            <v>6821323</v>
          </cell>
          <cell r="Y98">
            <v>6865646</v>
          </cell>
          <cell r="Z98">
            <v>7369556</v>
          </cell>
          <cell r="AA98">
            <v>7095419</v>
          </cell>
          <cell r="AB98">
            <v>8025879</v>
          </cell>
          <cell r="AC98">
            <v>7710444</v>
          </cell>
          <cell r="AD98">
            <v>8077640</v>
          </cell>
          <cell r="AE98">
            <v>8775678</v>
          </cell>
          <cell r="AF98">
            <v>7212642</v>
          </cell>
          <cell r="AG98">
            <v>7397647</v>
          </cell>
          <cell r="AI98">
            <v>7510678</v>
          </cell>
        </row>
        <row r="99">
          <cell r="I99">
            <v>8945431</v>
          </cell>
          <cell r="J99">
            <v>8835717</v>
          </cell>
          <cell r="K99">
            <v>9023749</v>
          </cell>
          <cell r="L99">
            <v>9178595</v>
          </cell>
          <cell r="M99">
            <v>8751994</v>
          </cell>
          <cell r="N99">
            <v>9174266</v>
          </cell>
          <cell r="O99">
            <v>8931424</v>
          </cell>
          <cell r="P99">
            <v>8762308</v>
          </cell>
          <cell r="Q99">
            <v>9894260</v>
          </cell>
          <cell r="R99">
            <v>10122589</v>
          </cell>
          <cell r="S99">
            <v>9829263</v>
          </cell>
          <cell r="T99">
            <v>10950524</v>
          </cell>
          <cell r="U99">
            <v>9630036</v>
          </cell>
          <cell r="V99">
            <v>9139923</v>
          </cell>
          <cell r="W99">
            <v>9979334</v>
          </cell>
          <cell r="X99">
            <v>8533520</v>
          </cell>
          <cell r="Y99">
            <v>8648964</v>
          </cell>
          <cell r="Z99">
            <v>8851622</v>
          </cell>
          <cell r="AA99">
            <v>8855462</v>
          </cell>
          <cell r="AB99">
            <v>9153127</v>
          </cell>
          <cell r="AC99">
            <v>9111747</v>
          </cell>
          <cell r="AD99">
            <v>9061567</v>
          </cell>
          <cell r="AE99">
            <v>8936205</v>
          </cell>
          <cell r="AF99">
            <v>8211018</v>
          </cell>
          <cell r="AG99">
            <v>8408575</v>
          </cell>
          <cell r="AI99">
            <v>8835717</v>
          </cell>
        </row>
        <row r="100">
          <cell r="I100">
            <v>9982492</v>
          </cell>
          <cell r="J100">
            <v>9559641</v>
          </cell>
          <cell r="K100">
            <v>10111191</v>
          </cell>
          <cell r="L100">
            <v>9471496</v>
          </cell>
          <cell r="M100">
            <v>9237686</v>
          </cell>
          <cell r="N100">
            <v>8885323</v>
          </cell>
          <cell r="O100">
            <v>9387124</v>
          </cell>
          <cell r="P100">
            <v>9235964</v>
          </cell>
          <cell r="Q100">
            <v>10112763</v>
          </cell>
          <cell r="R100">
            <v>10481908</v>
          </cell>
          <cell r="S100">
            <v>10241429</v>
          </cell>
          <cell r="T100">
            <v>10372308</v>
          </cell>
          <cell r="U100">
            <v>9844441</v>
          </cell>
          <cell r="V100">
            <v>9698695</v>
          </cell>
          <cell r="W100">
            <v>10010404</v>
          </cell>
          <cell r="X100">
            <v>9872551</v>
          </cell>
          <cell r="Y100">
            <v>9530449</v>
          </cell>
          <cell r="Z100">
            <v>9428882</v>
          </cell>
          <cell r="AA100">
            <v>9499837</v>
          </cell>
          <cell r="AB100">
            <v>10053119</v>
          </cell>
          <cell r="AC100">
            <v>9476741</v>
          </cell>
          <cell r="AD100">
            <v>11544864</v>
          </cell>
          <cell r="AE100">
            <v>10934364</v>
          </cell>
          <cell r="AF100">
            <v>10487279</v>
          </cell>
          <cell r="AG100">
            <v>10489731</v>
          </cell>
          <cell r="AI100">
            <v>9559641</v>
          </cell>
        </row>
        <row r="101">
          <cell r="I101">
            <v>4151207</v>
          </cell>
          <cell r="J101">
            <v>3978007</v>
          </cell>
          <cell r="K101">
            <v>3891739</v>
          </cell>
          <cell r="L101">
            <v>3863386</v>
          </cell>
          <cell r="M101">
            <v>3979013</v>
          </cell>
          <cell r="N101">
            <v>4071255</v>
          </cell>
          <cell r="O101">
            <v>4117396</v>
          </cell>
          <cell r="P101">
            <v>3724682</v>
          </cell>
          <cell r="Q101">
            <v>6330260</v>
          </cell>
          <cell r="R101">
            <v>6110202</v>
          </cell>
          <cell r="S101">
            <v>5256623</v>
          </cell>
          <cell r="T101">
            <v>7102821</v>
          </cell>
          <cell r="U101">
            <v>6376513</v>
          </cell>
          <cell r="V101">
            <v>6541735</v>
          </cell>
          <cell r="W101">
            <v>6638361</v>
          </cell>
          <cell r="X101">
            <v>5884601</v>
          </cell>
          <cell r="Y101">
            <v>6233359</v>
          </cell>
          <cell r="Z101">
            <v>5997528</v>
          </cell>
          <cell r="AA101">
            <v>6168659</v>
          </cell>
          <cell r="AB101">
            <v>5870957</v>
          </cell>
          <cell r="AC101">
            <v>6527278</v>
          </cell>
          <cell r="AD101">
            <v>6509088</v>
          </cell>
          <cell r="AE101">
            <v>5097299</v>
          </cell>
          <cell r="AF101">
            <v>6945850</v>
          </cell>
          <cell r="AG101">
            <v>6750680</v>
          </cell>
          <cell r="AI101">
            <v>3978007</v>
          </cell>
        </row>
        <row r="102">
          <cell r="I102">
            <v>20354843</v>
          </cell>
          <cell r="J102">
            <v>16224547</v>
          </cell>
          <cell r="K102">
            <v>16914078</v>
          </cell>
          <cell r="L102">
            <v>16524546</v>
          </cell>
          <cell r="M102">
            <v>15359324</v>
          </cell>
          <cell r="N102">
            <v>16269105</v>
          </cell>
          <cell r="O102">
            <v>16418724</v>
          </cell>
          <cell r="P102">
            <v>15034367</v>
          </cell>
          <cell r="Q102">
            <v>17510650</v>
          </cell>
          <cell r="R102">
            <v>16993375</v>
          </cell>
          <cell r="S102">
            <v>16471349</v>
          </cell>
          <cell r="T102">
            <v>19253684</v>
          </cell>
          <cell r="U102">
            <v>16798071</v>
          </cell>
          <cell r="V102">
            <v>17257706</v>
          </cell>
          <cell r="W102">
            <v>15850809</v>
          </cell>
          <cell r="X102">
            <v>14052406</v>
          </cell>
          <cell r="Y102">
            <v>15039012</v>
          </cell>
          <cell r="Z102">
            <v>13677784</v>
          </cell>
          <cell r="AA102">
            <v>16188783</v>
          </cell>
          <cell r="AB102">
            <v>14783300</v>
          </cell>
          <cell r="AC102">
            <v>16327357</v>
          </cell>
          <cell r="AD102">
            <v>18163253</v>
          </cell>
          <cell r="AE102">
            <v>17370901</v>
          </cell>
          <cell r="AF102">
            <v>16741621</v>
          </cell>
          <cell r="AG102">
            <v>16208876</v>
          </cell>
          <cell r="AI102">
            <v>16224547</v>
          </cell>
        </row>
        <row r="103">
          <cell r="I103">
            <v>3590286</v>
          </cell>
          <cell r="J103">
            <v>3381496</v>
          </cell>
          <cell r="K103">
            <v>3918879</v>
          </cell>
          <cell r="L103">
            <v>3680997</v>
          </cell>
          <cell r="M103">
            <v>3648293</v>
          </cell>
          <cell r="N103">
            <v>3139226</v>
          </cell>
          <cell r="O103">
            <v>4204532</v>
          </cell>
          <cell r="P103">
            <v>3667802</v>
          </cell>
          <cell r="Q103">
            <v>3966290</v>
          </cell>
          <cell r="R103">
            <v>4759110</v>
          </cell>
          <cell r="S103">
            <v>4370521</v>
          </cell>
          <cell r="T103">
            <v>4650055</v>
          </cell>
          <cell r="U103">
            <v>4182770</v>
          </cell>
          <cell r="V103">
            <v>4333287</v>
          </cell>
          <cell r="W103">
            <v>4423346</v>
          </cell>
          <cell r="X103">
            <v>3858845</v>
          </cell>
          <cell r="Y103">
            <v>4042319</v>
          </cell>
          <cell r="Z103">
            <v>3907258</v>
          </cell>
          <cell r="AA103">
            <v>4645614</v>
          </cell>
          <cell r="AB103">
            <v>3830289</v>
          </cell>
          <cell r="AC103">
            <v>4609763</v>
          </cell>
          <cell r="AD103">
            <v>4582156</v>
          </cell>
          <cell r="AE103">
            <v>5178567</v>
          </cell>
          <cell r="AF103">
            <v>4819719</v>
          </cell>
          <cell r="AG103">
            <v>4459134</v>
          </cell>
          <cell r="AI103">
            <v>3381496</v>
          </cell>
        </row>
        <row r="104">
          <cell r="I104">
            <v>22044135</v>
          </cell>
          <cell r="J104">
            <v>19560228</v>
          </cell>
          <cell r="K104">
            <v>20238958</v>
          </cell>
          <cell r="L104">
            <v>20325863</v>
          </cell>
          <cell r="M104">
            <v>19249020</v>
          </cell>
          <cell r="N104">
            <v>21617974</v>
          </cell>
          <cell r="O104">
            <v>21511647</v>
          </cell>
          <cell r="P104">
            <v>20602367</v>
          </cell>
          <cell r="Q104">
            <v>18539052</v>
          </cell>
          <cell r="R104">
            <v>21622404</v>
          </cell>
          <cell r="S104">
            <v>19881179</v>
          </cell>
          <cell r="T104">
            <v>20774822</v>
          </cell>
          <cell r="U104">
            <v>19666518</v>
          </cell>
          <cell r="V104">
            <v>19853481</v>
          </cell>
          <cell r="W104">
            <v>19917519</v>
          </cell>
          <cell r="X104">
            <v>18681830</v>
          </cell>
          <cell r="Y104">
            <v>17472039</v>
          </cell>
          <cell r="Z104">
            <v>19401260</v>
          </cell>
          <cell r="AA104">
            <v>19425811</v>
          </cell>
          <cell r="AB104">
            <v>19235099</v>
          </cell>
          <cell r="AC104">
            <v>19747869</v>
          </cell>
          <cell r="AD104">
            <v>20682652</v>
          </cell>
          <cell r="AE104">
            <v>19270390</v>
          </cell>
          <cell r="AF104">
            <v>18629672</v>
          </cell>
          <cell r="AG104">
            <v>18902100</v>
          </cell>
          <cell r="AI104">
            <v>19560228</v>
          </cell>
        </row>
        <row r="105">
          <cell r="I105">
            <v>15695354</v>
          </cell>
          <cell r="J105">
            <v>14480788</v>
          </cell>
          <cell r="K105">
            <v>14223041</v>
          </cell>
          <cell r="L105">
            <v>14369028</v>
          </cell>
          <cell r="M105">
            <v>14668420</v>
          </cell>
          <cell r="N105">
            <v>15383781</v>
          </cell>
          <cell r="O105">
            <v>13325023</v>
          </cell>
          <cell r="P105">
            <v>14518613</v>
          </cell>
          <cell r="Q105">
            <v>14140557</v>
          </cell>
          <cell r="R105">
            <v>14471428</v>
          </cell>
          <cell r="S105">
            <v>14844720</v>
          </cell>
          <cell r="T105">
            <v>16232184</v>
          </cell>
          <cell r="U105">
            <v>13565932</v>
          </cell>
          <cell r="V105">
            <v>14325256</v>
          </cell>
          <cell r="W105">
            <v>14935696</v>
          </cell>
          <cell r="X105">
            <v>12778338</v>
          </cell>
          <cell r="Y105">
            <v>13408550</v>
          </cell>
          <cell r="Z105">
            <v>13881086</v>
          </cell>
          <cell r="AA105">
            <v>13475351</v>
          </cell>
          <cell r="AB105">
            <v>13039843</v>
          </cell>
          <cell r="AC105">
            <v>13361453</v>
          </cell>
          <cell r="AD105">
            <v>14571068</v>
          </cell>
          <cell r="AE105">
            <v>12307807</v>
          </cell>
          <cell r="AF105">
            <v>14550820</v>
          </cell>
          <cell r="AG105">
            <v>11848749</v>
          </cell>
          <cell r="AI105">
            <v>14480788</v>
          </cell>
        </row>
        <row r="106">
          <cell r="I106">
            <v>21856062</v>
          </cell>
          <cell r="J106">
            <v>21930133</v>
          </cell>
          <cell r="K106">
            <v>19797388</v>
          </cell>
          <cell r="L106">
            <v>20735090</v>
          </cell>
          <cell r="M106">
            <v>22073181</v>
          </cell>
          <cell r="N106">
            <v>22816648</v>
          </cell>
          <cell r="O106">
            <v>23515101</v>
          </cell>
          <cell r="P106">
            <v>21728918</v>
          </cell>
          <cell r="Q106">
            <v>22978778</v>
          </cell>
          <cell r="R106">
            <v>26191259</v>
          </cell>
          <cell r="S106">
            <v>27891020</v>
          </cell>
          <cell r="T106">
            <v>26201750</v>
          </cell>
          <cell r="U106">
            <v>25604194</v>
          </cell>
          <cell r="V106">
            <v>25556988</v>
          </cell>
          <cell r="W106">
            <v>24465368</v>
          </cell>
          <cell r="X106">
            <v>23968906</v>
          </cell>
          <cell r="Y106">
            <v>24836340</v>
          </cell>
          <cell r="Z106">
            <v>24030034</v>
          </cell>
          <cell r="AA106">
            <v>26345831</v>
          </cell>
          <cell r="AB106">
            <v>22298251</v>
          </cell>
          <cell r="AC106">
            <v>23883943</v>
          </cell>
          <cell r="AD106">
            <v>26228579</v>
          </cell>
          <cell r="AE106">
            <v>24920141</v>
          </cell>
          <cell r="AF106">
            <v>22894067</v>
          </cell>
          <cell r="AG106">
            <v>22502483</v>
          </cell>
          <cell r="AI106">
            <v>21930133</v>
          </cell>
        </row>
        <row r="107">
          <cell r="I107">
            <v>21584704</v>
          </cell>
          <cell r="J107">
            <v>20196378</v>
          </cell>
          <cell r="K107">
            <v>20260751</v>
          </cell>
          <cell r="L107">
            <v>19298924</v>
          </cell>
          <cell r="M107">
            <v>18281790</v>
          </cell>
          <cell r="N107">
            <v>19778911</v>
          </cell>
          <cell r="O107">
            <v>18591678</v>
          </cell>
          <cell r="P107">
            <v>19145075</v>
          </cell>
          <cell r="Q107">
            <v>19632899</v>
          </cell>
          <cell r="R107">
            <v>21583027</v>
          </cell>
          <cell r="S107">
            <v>20893778</v>
          </cell>
          <cell r="T107">
            <v>21019619</v>
          </cell>
          <cell r="U107">
            <v>20269807</v>
          </cell>
          <cell r="V107">
            <v>20095838</v>
          </cell>
          <cell r="W107">
            <v>21791976</v>
          </cell>
          <cell r="X107">
            <v>19222246</v>
          </cell>
          <cell r="Y107">
            <v>19686956</v>
          </cell>
          <cell r="Z107">
            <v>19204584</v>
          </cell>
          <cell r="AA107">
            <v>19421011</v>
          </cell>
          <cell r="AB107">
            <v>20264359</v>
          </cell>
          <cell r="AC107">
            <v>19780329</v>
          </cell>
          <cell r="AD107">
            <v>22232015</v>
          </cell>
          <cell r="AE107">
            <v>21178535</v>
          </cell>
          <cell r="AF107">
            <v>21298183</v>
          </cell>
          <cell r="AG107">
            <v>19306489</v>
          </cell>
          <cell r="AI107">
            <v>20196378</v>
          </cell>
        </row>
        <row r="108">
          <cell r="I108">
            <v>17282747</v>
          </cell>
          <cell r="J108">
            <v>15558820</v>
          </cell>
          <cell r="K108">
            <v>16051240</v>
          </cell>
          <cell r="L108">
            <v>15596962</v>
          </cell>
          <cell r="M108">
            <v>15986736</v>
          </cell>
          <cell r="N108">
            <v>16548649</v>
          </cell>
          <cell r="O108">
            <v>15613923</v>
          </cell>
          <cell r="P108">
            <v>14447624</v>
          </cell>
          <cell r="Q108">
            <v>17384515</v>
          </cell>
          <cell r="R108">
            <v>15436703</v>
          </cell>
          <cell r="S108">
            <v>16128608</v>
          </cell>
          <cell r="T108">
            <v>15397810</v>
          </cell>
          <cell r="U108">
            <v>15264143</v>
          </cell>
          <cell r="V108">
            <v>15859544</v>
          </cell>
          <cell r="W108">
            <v>16018091</v>
          </cell>
          <cell r="X108">
            <v>14833091</v>
          </cell>
          <cell r="Y108">
            <v>14708477</v>
          </cell>
          <cell r="Z108">
            <v>14011490</v>
          </cell>
          <cell r="AA108">
            <v>15032111</v>
          </cell>
          <cell r="AB108">
            <v>14138119</v>
          </cell>
          <cell r="AC108">
            <v>14162950</v>
          </cell>
          <cell r="AD108">
            <v>16582493</v>
          </cell>
          <cell r="AE108">
            <v>16073289</v>
          </cell>
          <cell r="AF108">
            <v>15441424</v>
          </cell>
          <cell r="AG108">
            <v>15451052</v>
          </cell>
          <cell r="AI108">
            <v>15558820</v>
          </cell>
        </row>
        <row r="109">
          <cell r="I109">
            <v>16150038</v>
          </cell>
          <cell r="J109">
            <v>17043901</v>
          </cell>
          <cell r="K109">
            <v>16010141</v>
          </cell>
          <cell r="L109">
            <v>17942372</v>
          </cell>
          <cell r="M109">
            <v>15889032</v>
          </cell>
          <cell r="N109">
            <v>15309989</v>
          </cell>
          <cell r="O109">
            <v>17803062</v>
          </cell>
          <cell r="P109">
            <v>15945174</v>
          </cell>
          <cell r="Q109">
            <v>16936052</v>
          </cell>
          <cell r="R109">
            <v>18104768</v>
          </cell>
          <cell r="S109">
            <v>16326629</v>
          </cell>
          <cell r="T109">
            <v>16179032</v>
          </cell>
          <cell r="U109">
            <v>18229379</v>
          </cell>
          <cell r="V109">
            <v>16290769</v>
          </cell>
          <cell r="W109">
            <v>15854723</v>
          </cell>
          <cell r="X109">
            <v>17354584</v>
          </cell>
          <cell r="Y109">
            <v>17460321</v>
          </cell>
          <cell r="Z109">
            <v>12635760</v>
          </cell>
          <cell r="AA109">
            <v>15099454</v>
          </cell>
          <cell r="AB109">
            <v>16076974</v>
          </cell>
          <cell r="AC109">
            <v>16773173</v>
          </cell>
          <cell r="AD109">
            <v>16128830</v>
          </cell>
          <cell r="AE109">
            <v>14293082</v>
          </cell>
          <cell r="AF109">
            <v>13463146</v>
          </cell>
          <cell r="AG109">
            <v>13543053</v>
          </cell>
          <cell r="AI109">
            <v>17043901</v>
          </cell>
        </row>
        <row r="110">
          <cell r="I110">
            <v>90418380</v>
          </cell>
          <cell r="J110">
            <v>24674504</v>
          </cell>
          <cell r="K110">
            <v>58687257</v>
          </cell>
          <cell r="L110">
            <v>73930800</v>
          </cell>
          <cell r="M110">
            <v>49040089</v>
          </cell>
          <cell r="N110">
            <v>59858927</v>
          </cell>
          <cell r="O110">
            <v>63555720</v>
          </cell>
          <cell r="P110">
            <v>49600294</v>
          </cell>
          <cell r="Q110">
            <v>60465479</v>
          </cell>
          <cell r="R110">
            <v>59012761</v>
          </cell>
          <cell r="S110">
            <v>59248827</v>
          </cell>
          <cell r="T110">
            <v>62052857</v>
          </cell>
          <cell r="U110">
            <v>61790296</v>
          </cell>
          <cell r="V110">
            <v>56809222</v>
          </cell>
          <cell r="W110">
            <v>60479755</v>
          </cell>
          <cell r="X110">
            <v>58660799</v>
          </cell>
          <cell r="Y110">
            <v>55799767</v>
          </cell>
          <cell r="Z110">
            <v>62349523</v>
          </cell>
          <cell r="AA110">
            <v>57410373</v>
          </cell>
          <cell r="AB110">
            <v>59994545</v>
          </cell>
          <cell r="AC110">
            <v>67558668</v>
          </cell>
          <cell r="AD110">
            <v>48323715</v>
          </cell>
          <cell r="AE110">
            <v>56376595</v>
          </cell>
          <cell r="AF110">
            <v>67592302</v>
          </cell>
          <cell r="AG110">
            <v>48504495</v>
          </cell>
          <cell r="AI110">
            <v>24674504</v>
          </cell>
        </row>
        <row r="112">
          <cell r="I112">
            <v>2542301</v>
          </cell>
          <cell r="J112">
            <v>2229705</v>
          </cell>
          <cell r="K112">
            <v>2593165</v>
          </cell>
          <cell r="L112">
            <v>2602188</v>
          </cell>
          <cell r="M112">
            <v>2450693</v>
          </cell>
          <cell r="N112">
            <v>2686341</v>
          </cell>
          <cell r="O112">
            <v>2693346</v>
          </cell>
          <cell r="P112">
            <v>2506345</v>
          </cell>
          <cell r="Q112">
            <v>2323628</v>
          </cell>
          <cell r="R112">
            <v>2238860</v>
          </cell>
          <cell r="S112">
            <v>2370260</v>
          </cell>
          <cell r="T112">
            <v>2232856</v>
          </cell>
          <cell r="U112">
            <v>2298807</v>
          </cell>
          <cell r="V112">
            <v>2460061</v>
          </cell>
          <cell r="W112">
            <v>2398368</v>
          </cell>
          <cell r="X112">
            <v>2507317</v>
          </cell>
          <cell r="Y112">
            <v>2023072</v>
          </cell>
          <cell r="Z112">
            <v>2330949</v>
          </cell>
          <cell r="AA112">
            <v>2223011</v>
          </cell>
          <cell r="AB112">
            <v>2152188</v>
          </cell>
          <cell r="AC112">
            <v>2024185</v>
          </cell>
          <cell r="AD112">
            <v>1967667</v>
          </cell>
          <cell r="AE112">
            <v>1970107</v>
          </cell>
          <cell r="AF112">
            <v>1985811</v>
          </cell>
          <cell r="AG112">
            <v>1791903</v>
          </cell>
          <cell r="AI112">
            <v>2229705</v>
          </cell>
        </row>
        <row r="113">
          <cell r="I113">
            <v>3140</v>
          </cell>
          <cell r="J113">
            <v>4021</v>
          </cell>
          <cell r="K113">
            <v>6440</v>
          </cell>
          <cell r="L113">
            <v>8091</v>
          </cell>
          <cell r="M113">
            <v>7256</v>
          </cell>
          <cell r="N113">
            <v>9507</v>
          </cell>
          <cell r="O113">
            <v>4394</v>
          </cell>
          <cell r="P113">
            <v>4802</v>
          </cell>
          <cell r="Q113">
            <v>3811</v>
          </cell>
          <cell r="R113">
            <v>3572</v>
          </cell>
          <cell r="S113">
            <v>3865</v>
          </cell>
          <cell r="T113">
            <v>3222</v>
          </cell>
          <cell r="U113">
            <v>3075</v>
          </cell>
          <cell r="V113">
            <v>4665</v>
          </cell>
          <cell r="W113">
            <v>211967</v>
          </cell>
          <cell r="X113">
            <v>241300</v>
          </cell>
          <cell r="Y113">
            <v>248283</v>
          </cell>
          <cell r="Z113">
            <v>236369</v>
          </cell>
          <cell r="AA113">
            <v>245171</v>
          </cell>
          <cell r="AB113">
            <v>282716</v>
          </cell>
          <cell r="AC113">
            <v>276481</v>
          </cell>
          <cell r="AD113">
            <v>258701</v>
          </cell>
          <cell r="AE113">
            <v>264506</v>
          </cell>
          <cell r="AF113">
            <v>282947</v>
          </cell>
          <cell r="AG113">
            <v>269993</v>
          </cell>
          <cell r="AI113">
            <v>4021</v>
          </cell>
        </row>
        <row r="114">
          <cell r="I114">
            <v>2263922</v>
          </cell>
          <cell r="J114">
            <v>2146490</v>
          </cell>
          <cell r="K114">
            <v>2506245</v>
          </cell>
          <cell r="L114">
            <v>2520669</v>
          </cell>
          <cell r="M114">
            <v>2197609</v>
          </cell>
          <cell r="N114">
            <v>2255681</v>
          </cell>
          <cell r="O114">
            <v>2213856</v>
          </cell>
          <cell r="P114">
            <v>2092031</v>
          </cell>
          <cell r="Q114">
            <v>2242525</v>
          </cell>
          <cell r="R114">
            <v>2017670</v>
          </cell>
          <cell r="S114">
            <v>1812703</v>
          </cell>
          <cell r="T114">
            <v>2111872</v>
          </cell>
          <cell r="U114">
            <v>1959879</v>
          </cell>
          <cell r="V114">
            <v>2855144</v>
          </cell>
          <cell r="W114">
            <v>2258176</v>
          </cell>
          <cell r="X114">
            <v>2372620</v>
          </cell>
          <cell r="Y114">
            <v>2394495</v>
          </cell>
          <cell r="Z114">
            <v>2267023</v>
          </cell>
          <cell r="AA114">
            <v>2169477</v>
          </cell>
          <cell r="AB114">
            <v>1997748</v>
          </cell>
          <cell r="AC114">
            <v>1858383</v>
          </cell>
          <cell r="AD114">
            <v>1840742</v>
          </cell>
          <cell r="AE114">
            <v>1899817</v>
          </cell>
          <cell r="AF114">
            <v>1760199</v>
          </cell>
          <cell r="AG114">
            <v>1890250</v>
          </cell>
          <cell r="AI114">
            <v>2146490</v>
          </cell>
        </row>
        <row r="115">
          <cell r="I115">
            <v>530178</v>
          </cell>
          <cell r="J115">
            <v>521000</v>
          </cell>
          <cell r="K115">
            <v>579400</v>
          </cell>
          <cell r="L115">
            <v>528200</v>
          </cell>
          <cell r="M115">
            <v>548600</v>
          </cell>
          <cell r="N115">
            <v>615800</v>
          </cell>
          <cell r="O115">
            <v>551800</v>
          </cell>
          <cell r="P115">
            <v>507800</v>
          </cell>
          <cell r="Q115">
            <v>558800</v>
          </cell>
          <cell r="R115">
            <v>558200</v>
          </cell>
          <cell r="S115">
            <v>409200</v>
          </cell>
          <cell r="T115">
            <v>552800</v>
          </cell>
          <cell r="U115">
            <v>423600</v>
          </cell>
          <cell r="V115">
            <v>539000</v>
          </cell>
          <cell r="W115">
            <v>883945</v>
          </cell>
          <cell r="X115">
            <v>840469</v>
          </cell>
          <cell r="Y115">
            <v>980749</v>
          </cell>
          <cell r="Z115">
            <v>1024709</v>
          </cell>
          <cell r="AA115">
            <v>899899</v>
          </cell>
          <cell r="AB115">
            <v>836984</v>
          </cell>
          <cell r="AC115">
            <v>823192</v>
          </cell>
          <cell r="AD115">
            <v>822209</v>
          </cell>
          <cell r="AE115">
            <v>902303</v>
          </cell>
          <cell r="AF115">
            <v>875170</v>
          </cell>
          <cell r="AG115">
            <v>1538620</v>
          </cell>
          <cell r="AI115">
            <v>521000</v>
          </cell>
        </row>
        <row r="116">
          <cell r="I116">
            <v>6721905</v>
          </cell>
          <cell r="J116">
            <v>6856938</v>
          </cell>
          <cell r="K116">
            <v>6987922</v>
          </cell>
          <cell r="L116">
            <v>7176359</v>
          </cell>
          <cell r="M116">
            <v>6747192</v>
          </cell>
          <cell r="N116">
            <v>6929743</v>
          </cell>
          <cell r="O116">
            <v>7376029</v>
          </cell>
          <cell r="P116">
            <v>6518186</v>
          </cell>
          <cell r="Q116">
            <v>5629976</v>
          </cell>
          <cell r="R116">
            <v>5537091</v>
          </cell>
          <cell r="S116">
            <v>5028373</v>
          </cell>
          <cell r="T116">
            <v>1263233</v>
          </cell>
          <cell r="U116">
            <v>1345827</v>
          </cell>
          <cell r="V116">
            <v>1342348</v>
          </cell>
          <cell r="W116">
            <v>1435618</v>
          </cell>
          <cell r="X116">
            <v>1488026</v>
          </cell>
          <cell r="Y116">
            <v>1752142</v>
          </cell>
          <cell r="Z116">
            <v>1749168</v>
          </cell>
          <cell r="AA116">
            <v>1704172</v>
          </cell>
          <cell r="AB116">
            <v>1540360</v>
          </cell>
          <cell r="AC116">
            <v>1485152</v>
          </cell>
          <cell r="AD116">
            <v>1362133</v>
          </cell>
          <cell r="AE116">
            <v>1506128</v>
          </cell>
          <cell r="AF116">
            <v>1369304</v>
          </cell>
          <cell r="AG116">
            <v>1548116</v>
          </cell>
          <cell r="AI116">
            <v>6856938</v>
          </cell>
        </row>
        <row r="117">
          <cell r="I117">
            <v>6322891</v>
          </cell>
          <cell r="J117">
            <v>6860995</v>
          </cell>
          <cell r="K117">
            <v>7544975</v>
          </cell>
          <cell r="L117">
            <v>7539743</v>
          </cell>
          <cell r="M117">
            <v>8350788</v>
          </cell>
          <cell r="N117">
            <v>6010773</v>
          </cell>
          <cell r="O117">
            <v>7687505</v>
          </cell>
          <cell r="P117">
            <v>6612872</v>
          </cell>
          <cell r="Q117">
            <v>6232669</v>
          </cell>
          <cell r="R117">
            <v>6391373</v>
          </cell>
          <cell r="S117">
            <v>6072188</v>
          </cell>
          <cell r="T117">
            <v>5152175</v>
          </cell>
          <cell r="U117">
            <v>5894154</v>
          </cell>
          <cell r="V117">
            <v>5829164</v>
          </cell>
          <cell r="W117">
            <v>5823734</v>
          </cell>
          <cell r="X117">
            <v>3662139</v>
          </cell>
          <cell r="Y117">
            <v>6417399</v>
          </cell>
          <cell r="Z117">
            <v>5333716</v>
          </cell>
          <cell r="AA117">
            <v>5421721</v>
          </cell>
          <cell r="AB117">
            <v>5850269</v>
          </cell>
          <cell r="AC117">
            <v>5160123</v>
          </cell>
          <cell r="AD117">
            <v>4905229</v>
          </cell>
          <cell r="AE117">
            <v>5407980</v>
          </cell>
          <cell r="AF117">
            <v>3630781</v>
          </cell>
          <cell r="AG117">
            <v>6151242</v>
          </cell>
          <cell r="AI117">
            <v>6860995</v>
          </cell>
        </row>
        <row r="118">
          <cell r="I118">
            <v>293303</v>
          </cell>
          <cell r="J118">
            <v>322505</v>
          </cell>
          <cell r="K118">
            <v>377357</v>
          </cell>
          <cell r="L118">
            <v>404746</v>
          </cell>
          <cell r="M118">
            <v>406355</v>
          </cell>
          <cell r="N118">
            <v>448233</v>
          </cell>
          <cell r="O118">
            <v>230371</v>
          </cell>
          <cell r="P118">
            <v>189657</v>
          </cell>
          <cell r="Q118">
            <v>159658</v>
          </cell>
          <cell r="R118">
            <v>188091</v>
          </cell>
          <cell r="S118">
            <v>188352</v>
          </cell>
          <cell r="T118">
            <v>218335</v>
          </cell>
          <cell r="U118">
            <v>215820</v>
          </cell>
          <cell r="V118">
            <v>220765</v>
          </cell>
          <cell r="W118">
            <v>174866</v>
          </cell>
          <cell r="X118">
            <v>151459</v>
          </cell>
          <cell r="Y118">
            <v>94962</v>
          </cell>
          <cell r="Z118">
            <v>195944</v>
          </cell>
          <cell r="AA118">
            <v>117229</v>
          </cell>
          <cell r="AB118">
            <v>111239</v>
          </cell>
          <cell r="AC118">
            <v>108068</v>
          </cell>
          <cell r="AD118">
            <v>105251</v>
          </cell>
          <cell r="AE118">
            <v>135299</v>
          </cell>
          <cell r="AF118">
            <v>162341</v>
          </cell>
          <cell r="AG118">
            <v>166084</v>
          </cell>
          <cell r="AI118">
            <v>322505</v>
          </cell>
        </row>
        <row r="119">
          <cell r="I119">
            <v>3168848</v>
          </cell>
          <cell r="J119">
            <v>3639620</v>
          </cell>
          <cell r="K119">
            <v>3364394</v>
          </cell>
          <cell r="L119">
            <v>3495381</v>
          </cell>
          <cell r="M119">
            <v>3512129</v>
          </cell>
          <cell r="N119">
            <v>3215562</v>
          </cell>
          <cell r="O119">
            <v>2986763</v>
          </cell>
          <cell r="P119">
            <v>2865984</v>
          </cell>
          <cell r="Q119">
            <v>2052083</v>
          </cell>
          <cell r="R119">
            <v>2191292</v>
          </cell>
          <cell r="S119">
            <v>2465633</v>
          </cell>
          <cell r="T119">
            <v>5442145</v>
          </cell>
          <cell r="U119">
            <v>7359808</v>
          </cell>
          <cell r="V119">
            <v>5353896</v>
          </cell>
          <cell r="W119">
            <v>2903838</v>
          </cell>
          <cell r="X119">
            <v>2377679</v>
          </cell>
          <cell r="Y119">
            <v>2498730</v>
          </cell>
          <cell r="Z119">
            <v>2724980</v>
          </cell>
          <cell r="AA119">
            <v>2534203</v>
          </cell>
          <cell r="AB119">
            <v>2487164</v>
          </cell>
          <cell r="AC119">
            <v>2429094</v>
          </cell>
          <cell r="AD119">
            <v>2425994</v>
          </cell>
          <cell r="AE119">
            <v>2464670</v>
          </cell>
          <cell r="AF119">
            <v>1180302</v>
          </cell>
          <cell r="AG119">
            <v>2068226</v>
          </cell>
          <cell r="AI119">
            <v>3639620</v>
          </cell>
        </row>
        <row r="120">
          <cell r="I120">
            <v>275654</v>
          </cell>
          <cell r="J120">
            <v>280099</v>
          </cell>
          <cell r="K120">
            <v>319486</v>
          </cell>
          <cell r="L120">
            <v>351290</v>
          </cell>
          <cell r="M120">
            <v>385940</v>
          </cell>
          <cell r="N120">
            <v>383423</v>
          </cell>
          <cell r="O120">
            <v>363249</v>
          </cell>
          <cell r="P120">
            <v>286975</v>
          </cell>
          <cell r="Q120">
            <v>287088</v>
          </cell>
          <cell r="R120">
            <v>288034</v>
          </cell>
          <cell r="S120">
            <v>309357</v>
          </cell>
          <cell r="T120">
            <v>786338</v>
          </cell>
          <cell r="U120">
            <v>1094445</v>
          </cell>
          <cell r="V120">
            <v>775039</v>
          </cell>
          <cell r="W120">
            <v>533911</v>
          </cell>
          <cell r="X120">
            <v>797372</v>
          </cell>
          <cell r="Y120">
            <v>1023212</v>
          </cell>
          <cell r="Z120">
            <v>1088323</v>
          </cell>
          <cell r="AA120">
            <v>833460</v>
          </cell>
          <cell r="AB120">
            <v>742657</v>
          </cell>
          <cell r="AC120">
            <v>796163</v>
          </cell>
          <cell r="AD120">
            <v>711610</v>
          </cell>
          <cell r="AE120">
            <v>733975</v>
          </cell>
          <cell r="AF120">
            <v>911070</v>
          </cell>
          <cell r="AG120">
            <v>930471</v>
          </cell>
          <cell r="AI120">
            <v>280099</v>
          </cell>
        </row>
        <row r="121">
          <cell r="I121">
            <v>1302183</v>
          </cell>
          <cell r="J121">
            <v>1379642</v>
          </cell>
          <cell r="K121">
            <v>1452952</v>
          </cell>
          <cell r="L121">
            <v>1502289</v>
          </cell>
          <cell r="M121">
            <v>1490630</v>
          </cell>
          <cell r="N121">
            <v>1487802</v>
          </cell>
          <cell r="O121">
            <v>1390257</v>
          </cell>
          <cell r="P121">
            <v>1008298</v>
          </cell>
          <cell r="Q121">
            <v>1079247</v>
          </cell>
          <cell r="R121">
            <v>890037</v>
          </cell>
          <cell r="S121">
            <v>1205833</v>
          </cell>
          <cell r="T121">
            <v>971298</v>
          </cell>
          <cell r="U121">
            <v>1141211</v>
          </cell>
          <cell r="V121">
            <v>1344532</v>
          </cell>
          <cell r="W121">
            <v>1526287</v>
          </cell>
          <cell r="X121">
            <v>1572724</v>
          </cell>
          <cell r="Y121">
            <v>1520612</v>
          </cell>
          <cell r="Z121">
            <v>1753708</v>
          </cell>
          <cell r="AA121">
            <v>1696027</v>
          </cell>
          <cell r="AB121">
            <v>1550585</v>
          </cell>
          <cell r="AC121">
            <v>1278856</v>
          </cell>
          <cell r="AD121">
            <v>1403363</v>
          </cell>
          <cell r="AE121">
            <v>1386447</v>
          </cell>
          <cell r="AF121">
            <v>1329703</v>
          </cell>
          <cell r="AG121">
            <v>1328668</v>
          </cell>
          <cell r="AI121">
            <v>1379642</v>
          </cell>
        </row>
        <row r="122">
          <cell r="I122">
            <v>1884542</v>
          </cell>
          <cell r="J122">
            <v>1909867</v>
          </cell>
          <cell r="K122">
            <v>1819612</v>
          </cell>
          <cell r="L122">
            <v>2128272</v>
          </cell>
          <cell r="M122">
            <v>1676495</v>
          </cell>
          <cell r="N122">
            <v>1778704</v>
          </cell>
          <cell r="O122">
            <v>1654389</v>
          </cell>
          <cell r="P122">
            <v>1740177</v>
          </cell>
          <cell r="Q122">
            <v>1706420</v>
          </cell>
          <cell r="R122">
            <v>1818289</v>
          </cell>
          <cell r="S122">
            <v>1668187</v>
          </cell>
          <cell r="T122">
            <v>1715522</v>
          </cell>
          <cell r="U122">
            <v>1849074</v>
          </cell>
          <cell r="V122">
            <v>1147472</v>
          </cell>
          <cell r="W122">
            <v>240354</v>
          </cell>
          <cell r="X122">
            <v>296978</v>
          </cell>
          <cell r="Y122">
            <v>295372</v>
          </cell>
          <cell r="Z122">
            <v>341350</v>
          </cell>
          <cell r="AA122">
            <v>319787</v>
          </cell>
          <cell r="AB122">
            <v>332401</v>
          </cell>
          <cell r="AC122">
            <v>373280</v>
          </cell>
          <cell r="AD122">
            <v>472546</v>
          </cell>
          <cell r="AE122">
            <v>419014</v>
          </cell>
          <cell r="AF122">
            <v>431747</v>
          </cell>
          <cell r="AG122">
            <v>439388</v>
          </cell>
          <cell r="AI122">
            <v>1909867</v>
          </cell>
        </row>
        <row r="123">
          <cell r="I123">
            <v>3306995</v>
          </cell>
          <cell r="J123">
            <v>3648878</v>
          </cell>
          <cell r="K123">
            <v>3667273</v>
          </cell>
          <cell r="L123">
            <v>3499380</v>
          </cell>
          <cell r="M123">
            <v>3694775</v>
          </cell>
          <cell r="N123">
            <v>4694199</v>
          </cell>
          <cell r="O123">
            <v>2599279</v>
          </cell>
          <cell r="P123">
            <v>2576821</v>
          </cell>
          <cell r="Q123">
            <v>2191031</v>
          </cell>
          <cell r="R123">
            <v>2197654</v>
          </cell>
          <cell r="S123">
            <v>2041553</v>
          </cell>
          <cell r="T123">
            <v>1528516</v>
          </cell>
          <cell r="U123">
            <v>1767246</v>
          </cell>
          <cell r="V123">
            <v>1880620</v>
          </cell>
          <cell r="W123">
            <v>2459442</v>
          </cell>
          <cell r="X123">
            <v>2539113</v>
          </cell>
          <cell r="Y123">
            <v>2911173</v>
          </cell>
          <cell r="Z123">
            <v>3140628</v>
          </cell>
          <cell r="AA123">
            <v>2888202</v>
          </cell>
          <cell r="AB123">
            <v>2194030</v>
          </cell>
          <cell r="AC123">
            <v>1980476</v>
          </cell>
          <cell r="AD123">
            <v>2315939</v>
          </cell>
          <cell r="AE123">
            <v>2144621</v>
          </cell>
          <cell r="AF123">
            <v>2023710</v>
          </cell>
          <cell r="AG123">
            <v>2976275</v>
          </cell>
          <cell r="AI123">
            <v>3648878</v>
          </cell>
        </row>
        <row r="124">
          <cell r="I124">
            <v>94390</v>
          </cell>
          <cell r="J124">
            <v>71122</v>
          </cell>
          <cell r="K124">
            <v>115792</v>
          </cell>
          <cell r="L124">
            <v>48384</v>
          </cell>
          <cell r="M124">
            <v>29258</v>
          </cell>
          <cell r="N124">
            <v>28714</v>
          </cell>
          <cell r="O124">
            <v>71522</v>
          </cell>
          <cell r="P124">
            <v>66905</v>
          </cell>
          <cell r="Q124">
            <v>63667</v>
          </cell>
          <cell r="R124">
            <v>74041</v>
          </cell>
          <cell r="S124">
            <v>76911</v>
          </cell>
          <cell r="T124">
            <v>80593</v>
          </cell>
          <cell r="U124">
            <v>90785</v>
          </cell>
          <cell r="V124">
            <v>80705</v>
          </cell>
          <cell r="W124">
            <v>5979326</v>
          </cell>
          <cell r="X124">
            <v>4993646</v>
          </cell>
          <cell r="Y124">
            <v>5532134</v>
          </cell>
          <cell r="Z124">
            <v>5640755</v>
          </cell>
          <cell r="AA124">
            <v>5385948</v>
          </cell>
          <cell r="AB124">
            <v>4918336</v>
          </cell>
          <cell r="AC124">
            <v>4508825</v>
          </cell>
          <cell r="AD124">
            <v>4047306</v>
          </cell>
          <cell r="AE124">
            <v>4319925</v>
          </cell>
          <cell r="AF124">
            <v>4255538</v>
          </cell>
          <cell r="AG124">
            <v>4311447</v>
          </cell>
          <cell r="AI124">
            <v>71122</v>
          </cell>
        </row>
        <row r="125">
          <cell r="I125">
            <v>6198117</v>
          </cell>
          <cell r="J125">
            <v>5664220</v>
          </cell>
          <cell r="K125">
            <v>5907339</v>
          </cell>
          <cell r="L125">
            <v>6391210</v>
          </cell>
          <cell r="M125">
            <v>5992204</v>
          </cell>
          <cell r="N125">
            <v>6960970</v>
          </cell>
          <cell r="O125">
            <v>6195852</v>
          </cell>
          <cell r="P125">
            <v>4968386</v>
          </cell>
          <cell r="Q125">
            <v>4991722</v>
          </cell>
          <cell r="R125">
            <v>5527974</v>
          </cell>
          <cell r="S125">
            <v>4923070</v>
          </cell>
          <cell r="T125">
            <v>364632</v>
          </cell>
          <cell r="U125">
            <v>415215</v>
          </cell>
          <cell r="V125">
            <v>527099</v>
          </cell>
          <cell r="W125">
            <v>74962</v>
          </cell>
          <cell r="X125">
            <v>75641</v>
          </cell>
          <cell r="Y125">
            <v>67683</v>
          </cell>
          <cell r="Z125">
            <v>55992</v>
          </cell>
          <cell r="AA125">
            <v>81569</v>
          </cell>
          <cell r="AB125">
            <v>93455</v>
          </cell>
          <cell r="AC125">
            <v>110049</v>
          </cell>
          <cell r="AD125">
            <v>92532</v>
          </cell>
          <cell r="AE125">
            <v>108402</v>
          </cell>
          <cell r="AF125">
            <v>101132</v>
          </cell>
          <cell r="AG125">
            <v>31163</v>
          </cell>
          <cell r="AI125">
            <v>5664220</v>
          </cell>
        </row>
        <row r="126">
          <cell r="I126">
            <v>317894</v>
          </cell>
          <cell r="J126">
            <v>373115</v>
          </cell>
          <cell r="K126">
            <v>296502</v>
          </cell>
          <cell r="L126">
            <v>217702</v>
          </cell>
          <cell r="M126">
            <v>220321</v>
          </cell>
          <cell r="N126">
            <v>148230</v>
          </cell>
          <cell r="O126">
            <v>309423</v>
          </cell>
          <cell r="P126">
            <v>341083</v>
          </cell>
          <cell r="Q126">
            <v>367715</v>
          </cell>
          <cell r="R126">
            <v>367667</v>
          </cell>
          <cell r="S126">
            <v>451108</v>
          </cell>
          <cell r="T126">
            <v>5221190</v>
          </cell>
          <cell r="U126">
            <v>5936135</v>
          </cell>
          <cell r="V126">
            <v>6059595</v>
          </cell>
          <cell r="W126">
            <v>543480</v>
          </cell>
          <cell r="X126">
            <v>452737</v>
          </cell>
          <cell r="Y126">
            <v>710353</v>
          </cell>
          <cell r="Z126">
            <v>1124271</v>
          </cell>
          <cell r="AA126">
            <v>1821056</v>
          </cell>
          <cell r="AB126">
            <v>1967944</v>
          </cell>
          <cell r="AC126">
            <v>1992587</v>
          </cell>
          <cell r="AD126">
            <v>2137568</v>
          </cell>
          <cell r="AE126">
            <v>1534540</v>
          </cell>
          <cell r="AF126">
            <v>812973</v>
          </cell>
          <cell r="AG126">
            <v>1189330</v>
          </cell>
          <cell r="AI126">
            <v>373115</v>
          </cell>
        </row>
        <row r="127">
          <cell r="I127">
            <v>0</v>
          </cell>
          <cell r="J127">
            <v>0</v>
          </cell>
          <cell r="K127">
            <v>0</v>
          </cell>
          <cell r="L127">
            <v>0</v>
          </cell>
          <cell r="M127">
            <v>0</v>
          </cell>
          <cell r="N127">
            <v>0</v>
          </cell>
          <cell r="O127">
            <v>9600</v>
          </cell>
          <cell r="P127">
            <v>57600</v>
          </cell>
          <cell r="Q127">
            <v>41280</v>
          </cell>
          <cell r="R127">
            <v>50880</v>
          </cell>
          <cell r="S127">
            <v>46080</v>
          </cell>
          <cell r="T127">
            <v>40325</v>
          </cell>
          <cell r="U127">
            <v>55755</v>
          </cell>
          <cell r="V127">
            <v>61444</v>
          </cell>
          <cell r="W127">
            <v>4230675</v>
          </cell>
          <cell r="X127">
            <v>4222181</v>
          </cell>
          <cell r="Y127">
            <v>3859260</v>
          </cell>
          <cell r="Z127">
            <v>4493648</v>
          </cell>
          <cell r="AA127">
            <v>3672729</v>
          </cell>
          <cell r="AB127">
            <v>3473985</v>
          </cell>
          <cell r="AC127">
            <v>3964823</v>
          </cell>
          <cell r="AD127">
            <v>3650278</v>
          </cell>
          <cell r="AE127">
            <v>3663335</v>
          </cell>
          <cell r="AF127">
            <v>6604632</v>
          </cell>
          <cell r="AG127">
            <v>274450</v>
          </cell>
          <cell r="AI127">
            <v>0</v>
          </cell>
        </row>
        <row r="128">
          <cell r="I128">
            <v>839440</v>
          </cell>
          <cell r="J128">
            <v>759151</v>
          </cell>
          <cell r="K128">
            <v>915482</v>
          </cell>
          <cell r="L128">
            <v>1088196</v>
          </cell>
          <cell r="M128">
            <v>1011191</v>
          </cell>
          <cell r="N128">
            <v>1051764</v>
          </cell>
          <cell r="O128">
            <v>1119664</v>
          </cell>
          <cell r="P128">
            <v>1014672</v>
          </cell>
          <cell r="Q128">
            <v>893681</v>
          </cell>
          <cell r="R128">
            <v>945609</v>
          </cell>
          <cell r="S128">
            <v>959230</v>
          </cell>
          <cell r="T128">
            <v>985694</v>
          </cell>
          <cell r="U128">
            <v>916755</v>
          </cell>
          <cell r="V128">
            <v>885938</v>
          </cell>
          <cell r="W128">
            <v>2182201</v>
          </cell>
          <cell r="X128">
            <v>2027640</v>
          </cell>
          <cell r="Y128">
            <v>1809535</v>
          </cell>
          <cell r="Z128">
            <v>1997935</v>
          </cell>
          <cell r="AA128">
            <v>2098009</v>
          </cell>
          <cell r="AB128">
            <v>1504386</v>
          </cell>
          <cell r="AC128">
            <v>1528563</v>
          </cell>
          <cell r="AD128">
            <v>1597090</v>
          </cell>
          <cell r="AE128">
            <v>1432161</v>
          </cell>
          <cell r="AF128">
            <v>1322944</v>
          </cell>
          <cell r="AG128">
            <v>1456409</v>
          </cell>
          <cell r="AI128">
            <v>759151</v>
          </cell>
        </row>
        <row r="129">
          <cell r="I129">
            <v>764203</v>
          </cell>
          <cell r="J129">
            <v>696676</v>
          </cell>
          <cell r="K129">
            <v>749224</v>
          </cell>
          <cell r="L129">
            <v>666924</v>
          </cell>
          <cell r="M129">
            <v>618981</v>
          </cell>
          <cell r="N129">
            <v>508489</v>
          </cell>
          <cell r="O129">
            <v>708831</v>
          </cell>
          <cell r="P129">
            <v>586678</v>
          </cell>
          <cell r="Q129">
            <v>593151</v>
          </cell>
          <cell r="R129">
            <v>596384</v>
          </cell>
          <cell r="S129">
            <v>680620</v>
          </cell>
          <cell r="T129">
            <v>736640</v>
          </cell>
          <cell r="U129">
            <v>699030</v>
          </cell>
          <cell r="V129">
            <v>647935</v>
          </cell>
          <cell r="W129">
            <v>827681</v>
          </cell>
          <cell r="X129">
            <v>757735</v>
          </cell>
          <cell r="Y129">
            <v>676869</v>
          </cell>
          <cell r="Z129">
            <v>619822</v>
          </cell>
          <cell r="AA129">
            <v>780901</v>
          </cell>
          <cell r="AB129">
            <v>704177</v>
          </cell>
          <cell r="AC129">
            <v>646224</v>
          </cell>
          <cell r="AD129">
            <v>712088</v>
          </cell>
          <cell r="AE129">
            <v>644615</v>
          </cell>
          <cell r="AF129">
            <v>621494</v>
          </cell>
          <cell r="AG129">
            <v>696110</v>
          </cell>
          <cell r="AI129">
            <v>696676</v>
          </cell>
        </row>
        <row r="130">
          <cell r="I130">
            <v>4954646</v>
          </cell>
          <cell r="J130">
            <v>5022002</v>
          </cell>
          <cell r="K130">
            <v>4648411</v>
          </cell>
          <cell r="L130">
            <v>6249089</v>
          </cell>
          <cell r="M130">
            <v>5172569</v>
          </cell>
          <cell r="N130">
            <v>5133459</v>
          </cell>
          <cell r="O130">
            <v>5407416</v>
          </cell>
          <cell r="P130">
            <v>4581293</v>
          </cell>
          <cell r="Q130">
            <v>4067853</v>
          </cell>
          <cell r="R130">
            <v>4295767</v>
          </cell>
          <cell r="S130">
            <v>4523975</v>
          </cell>
          <cell r="T130">
            <v>3793540</v>
          </cell>
          <cell r="U130">
            <v>3969915</v>
          </cell>
          <cell r="V130">
            <v>3611630</v>
          </cell>
          <cell r="W130">
            <v>5492141</v>
          </cell>
          <cell r="X130">
            <v>5883869</v>
          </cell>
          <cell r="Y130">
            <v>6050493</v>
          </cell>
          <cell r="Z130">
            <v>7117629</v>
          </cell>
          <cell r="AA130">
            <v>5589245</v>
          </cell>
          <cell r="AB130">
            <v>5507688</v>
          </cell>
          <cell r="AC130">
            <v>5536590</v>
          </cell>
          <cell r="AD130">
            <v>4834037</v>
          </cell>
          <cell r="AE130">
            <v>4546614</v>
          </cell>
          <cell r="AF130">
            <v>4384091</v>
          </cell>
          <cell r="AG130">
            <v>4563216</v>
          </cell>
          <cell r="AI130">
            <v>5022002</v>
          </cell>
        </row>
        <row r="131">
          <cell r="I131">
            <v>4112140</v>
          </cell>
          <cell r="J131">
            <v>3996739</v>
          </cell>
          <cell r="K131">
            <v>4096862</v>
          </cell>
          <cell r="L131">
            <v>5127672</v>
          </cell>
          <cell r="M131">
            <v>4335467</v>
          </cell>
          <cell r="N131">
            <v>4384882</v>
          </cell>
          <cell r="O131">
            <v>4405477</v>
          </cell>
          <cell r="P131">
            <v>3619729</v>
          </cell>
          <cell r="Q131">
            <v>3150957</v>
          </cell>
          <cell r="R131">
            <v>2655924</v>
          </cell>
          <cell r="S131">
            <v>2827709</v>
          </cell>
          <cell r="T131">
            <v>2828816</v>
          </cell>
          <cell r="U131">
            <v>2582397</v>
          </cell>
          <cell r="V131">
            <v>2791430</v>
          </cell>
          <cell r="W131">
            <v>3543799</v>
          </cell>
          <cell r="X131">
            <v>5736705</v>
          </cell>
          <cell r="Y131">
            <v>1784545</v>
          </cell>
          <cell r="Z131">
            <v>5319564</v>
          </cell>
          <cell r="AA131">
            <v>4283119</v>
          </cell>
          <cell r="AB131">
            <v>3444871</v>
          </cell>
          <cell r="AC131">
            <v>3070084</v>
          </cell>
          <cell r="AD131">
            <v>3479749</v>
          </cell>
          <cell r="AE131">
            <v>2821275</v>
          </cell>
          <cell r="AF131">
            <v>2863701</v>
          </cell>
          <cell r="AG131">
            <v>3832878</v>
          </cell>
          <cell r="AI131">
            <v>3996739</v>
          </cell>
        </row>
        <row r="133">
          <cell r="I133">
            <v>51840</v>
          </cell>
          <cell r="J133">
            <v>54731</v>
          </cell>
          <cell r="K133">
            <v>60463</v>
          </cell>
          <cell r="L133">
            <v>71443</v>
          </cell>
          <cell r="M133">
            <v>74425</v>
          </cell>
          <cell r="N133">
            <v>85840</v>
          </cell>
          <cell r="O133">
            <v>90178</v>
          </cell>
          <cell r="P133">
            <v>83441</v>
          </cell>
          <cell r="Q133">
            <v>83692</v>
          </cell>
          <cell r="R133">
            <v>80637</v>
          </cell>
          <cell r="S133">
            <v>81080</v>
          </cell>
          <cell r="T133">
            <v>72006</v>
          </cell>
          <cell r="U133">
            <v>70821</v>
          </cell>
          <cell r="V133">
            <v>73983</v>
          </cell>
          <cell r="W133">
            <v>74576</v>
          </cell>
          <cell r="X133">
            <v>80686</v>
          </cell>
          <cell r="Y133">
            <v>81563</v>
          </cell>
          <cell r="Z133">
            <v>93789</v>
          </cell>
          <cell r="AA133">
            <v>92941</v>
          </cell>
          <cell r="AB133">
            <v>85772</v>
          </cell>
          <cell r="AC133">
            <v>85433</v>
          </cell>
          <cell r="AD133">
            <v>81863</v>
          </cell>
          <cell r="AE133">
            <v>79609</v>
          </cell>
          <cell r="AF133">
            <v>72137</v>
          </cell>
          <cell r="AG133">
            <v>70042</v>
          </cell>
          <cell r="AI133">
            <v>54731</v>
          </cell>
        </row>
        <row r="134">
          <cell r="I134">
            <v>197867</v>
          </cell>
          <cell r="J134">
            <v>209609</v>
          </cell>
          <cell r="K134">
            <v>228923</v>
          </cell>
          <cell r="L134">
            <v>259078</v>
          </cell>
          <cell r="M134">
            <v>258995</v>
          </cell>
          <cell r="N134">
            <v>310435</v>
          </cell>
          <cell r="O134">
            <v>301521</v>
          </cell>
          <cell r="P134">
            <v>279108</v>
          </cell>
          <cell r="Q134">
            <v>281121</v>
          </cell>
          <cell r="R134">
            <v>255393</v>
          </cell>
          <cell r="S134">
            <v>245164</v>
          </cell>
          <cell r="T134">
            <v>238039</v>
          </cell>
          <cell r="U134">
            <v>218798</v>
          </cell>
          <cell r="V134">
            <v>221818</v>
          </cell>
          <cell r="W134">
            <v>228731</v>
          </cell>
          <cell r="X134">
            <v>266709</v>
          </cell>
          <cell r="Y134">
            <v>276146</v>
          </cell>
          <cell r="Z134">
            <v>310023</v>
          </cell>
          <cell r="AA134">
            <v>305717</v>
          </cell>
          <cell r="AB134">
            <v>284140</v>
          </cell>
          <cell r="AC134">
            <v>279026</v>
          </cell>
          <cell r="AD134">
            <v>259327</v>
          </cell>
          <cell r="AE134">
            <v>289286</v>
          </cell>
          <cell r="AF134">
            <v>229109</v>
          </cell>
          <cell r="AG134">
            <v>205479</v>
          </cell>
          <cell r="AI134">
            <v>209609</v>
          </cell>
        </row>
        <row r="135">
          <cell r="I135">
            <v>64352</v>
          </cell>
          <cell r="J135">
            <v>68064</v>
          </cell>
          <cell r="K135">
            <v>75372</v>
          </cell>
          <cell r="L135">
            <v>83194</v>
          </cell>
          <cell r="M135">
            <v>79151</v>
          </cell>
          <cell r="N135">
            <v>104058</v>
          </cell>
          <cell r="O135">
            <v>103770</v>
          </cell>
          <cell r="P135">
            <v>97365</v>
          </cell>
          <cell r="Q135">
            <v>95465</v>
          </cell>
          <cell r="R135">
            <v>86992</v>
          </cell>
          <cell r="S135">
            <v>99437</v>
          </cell>
          <cell r="T135">
            <v>90530</v>
          </cell>
          <cell r="U135">
            <v>71168</v>
          </cell>
          <cell r="V135">
            <v>74673</v>
          </cell>
          <cell r="W135">
            <v>75220</v>
          </cell>
          <cell r="X135">
            <v>81471</v>
          </cell>
          <cell r="Y135">
            <v>84600</v>
          </cell>
          <cell r="Z135">
            <v>96797</v>
          </cell>
          <cell r="AA135">
            <v>92124</v>
          </cell>
          <cell r="AB135">
            <v>82162</v>
          </cell>
          <cell r="AC135">
            <v>85497</v>
          </cell>
          <cell r="AD135">
            <v>78406</v>
          </cell>
          <cell r="AE135">
            <v>75059</v>
          </cell>
          <cell r="AF135">
            <v>72244</v>
          </cell>
          <cell r="AG135">
            <v>69493</v>
          </cell>
          <cell r="AI135">
            <v>68064</v>
          </cell>
        </row>
        <row r="136">
          <cell r="I136">
            <v>63872</v>
          </cell>
          <cell r="J136">
            <v>66927</v>
          </cell>
          <cell r="K136">
            <v>77152</v>
          </cell>
          <cell r="L136">
            <v>90454</v>
          </cell>
          <cell r="M136">
            <v>90609</v>
          </cell>
          <cell r="N136">
            <v>111599</v>
          </cell>
          <cell r="O136">
            <v>105826</v>
          </cell>
          <cell r="P136">
            <v>101384</v>
          </cell>
          <cell r="Q136">
            <v>98637</v>
          </cell>
          <cell r="R136">
            <v>91228</v>
          </cell>
          <cell r="S136">
            <v>90680</v>
          </cell>
          <cell r="T136">
            <v>86220</v>
          </cell>
          <cell r="U136">
            <v>85138</v>
          </cell>
          <cell r="V136">
            <v>79943</v>
          </cell>
          <cell r="W136">
            <v>83897</v>
          </cell>
          <cell r="X136">
            <v>88782</v>
          </cell>
          <cell r="Y136">
            <v>87031</v>
          </cell>
          <cell r="Z136">
            <v>103948</v>
          </cell>
          <cell r="AA136">
            <v>100083</v>
          </cell>
          <cell r="AB136">
            <v>96267</v>
          </cell>
          <cell r="AC136">
            <v>95746</v>
          </cell>
          <cell r="AD136">
            <v>88625</v>
          </cell>
          <cell r="AE136">
            <v>86094</v>
          </cell>
          <cell r="AF136">
            <v>90182</v>
          </cell>
          <cell r="AG136">
            <v>82585</v>
          </cell>
          <cell r="AI136">
            <v>66927</v>
          </cell>
        </row>
        <row r="137">
          <cell r="I137">
            <v>161062</v>
          </cell>
          <cell r="J137">
            <v>177477</v>
          </cell>
          <cell r="K137">
            <v>195583</v>
          </cell>
          <cell r="L137">
            <v>223339</v>
          </cell>
          <cell r="M137">
            <v>227046</v>
          </cell>
          <cell r="N137">
            <v>267585</v>
          </cell>
          <cell r="O137">
            <v>272655</v>
          </cell>
          <cell r="P137">
            <v>248446</v>
          </cell>
          <cell r="Q137">
            <v>240289</v>
          </cell>
          <cell r="R137">
            <v>211662</v>
          </cell>
          <cell r="S137">
            <v>199080</v>
          </cell>
          <cell r="T137">
            <v>189948</v>
          </cell>
          <cell r="U137">
            <v>180745</v>
          </cell>
          <cell r="V137">
            <v>198675</v>
          </cell>
          <cell r="W137">
            <v>206638</v>
          </cell>
          <cell r="X137">
            <v>229885</v>
          </cell>
          <cell r="Y137">
            <v>230381</v>
          </cell>
          <cell r="Z137">
            <v>266720</v>
          </cell>
          <cell r="AA137">
            <v>271320</v>
          </cell>
          <cell r="AB137">
            <v>251779</v>
          </cell>
          <cell r="AC137">
            <v>239883</v>
          </cell>
          <cell r="AD137">
            <v>216631</v>
          </cell>
          <cell r="AE137">
            <v>218799</v>
          </cell>
          <cell r="AF137">
            <v>223117</v>
          </cell>
          <cell r="AG137">
            <v>184947</v>
          </cell>
          <cell r="AI137">
            <v>177477</v>
          </cell>
        </row>
        <row r="138">
          <cell r="I138">
            <v>142134</v>
          </cell>
          <cell r="J138">
            <v>150846</v>
          </cell>
          <cell r="K138">
            <v>164721</v>
          </cell>
          <cell r="L138">
            <v>188472</v>
          </cell>
          <cell r="M138">
            <v>194872</v>
          </cell>
          <cell r="N138">
            <v>226673</v>
          </cell>
          <cell r="O138">
            <v>217567</v>
          </cell>
          <cell r="P138">
            <v>195987</v>
          </cell>
          <cell r="Q138">
            <v>187429</v>
          </cell>
          <cell r="R138">
            <v>167356</v>
          </cell>
          <cell r="S138">
            <v>156406</v>
          </cell>
          <cell r="T138">
            <v>148433</v>
          </cell>
          <cell r="U138">
            <v>140074</v>
          </cell>
          <cell r="V138">
            <v>154796</v>
          </cell>
          <cell r="W138">
            <v>163045</v>
          </cell>
          <cell r="X138">
            <v>171650</v>
          </cell>
          <cell r="Y138">
            <v>173158</v>
          </cell>
          <cell r="Z138">
            <v>210735</v>
          </cell>
          <cell r="AA138">
            <v>199541</v>
          </cell>
          <cell r="AB138">
            <v>178456</v>
          </cell>
          <cell r="AC138">
            <v>168780</v>
          </cell>
          <cell r="AD138">
            <v>158119</v>
          </cell>
          <cell r="AE138">
            <v>149333</v>
          </cell>
          <cell r="AF138">
            <v>142013</v>
          </cell>
          <cell r="AG138">
            <v>137691</v>
          </cell>
          <cell r="AI138">
            <v>150846</v>
          </cell>
        </row>
        <row r="139">
          <cell r="I139">
            <v>154142</v>
          </cell>
          <cell r="J139">
            <v>167110</v>
          </cell>
          <cell r="K139">
            <v>182754</v>
          </cell>
          <cell r="L139">
            <v>211519</v>
          </cell>
          <cell r="M139">
            <v>213528</v>
          </cell>
          <cell r="N139">
            <v>255963</v>
          </cell>
          <cell r="O139">
            <v>279709</v>
          </cell>
          <cell r="P139">
            <v>246533</v>
          </cell>
          <cell r="Q139">
            <v>235623</v>
          </cell>
          <cell r="R139">
            <v>210018</v>
          </cell>
          <cell r="S139">
            <v>196753</v>
          </cell>
          <cell r="T139">
            <v>182589</v>
          </cell>
          <cell r="U139">
            <v>172333</v>
          </cell>
          <cell r="V139">
            <v>187003</v>
          </cell>
          <cell r="W139">
            <v>224924</v>
          </cell>
          <cell r="X139">
            <v>252350</v>
          </cell>
          <cell r="Y139">
            <v>252350</v>
          </cell>
          <cell r="Z139">
            <v>297135</v>
          </cell>
          <cell r="AA139">
            <v>297598</v>
          </cell>
          <cell r="AB139">
            <v>276281</v>
          </cell>
          <cell r="AC139">
            <v>264099</v>
          </cell>
          <cell r="AD139">
            <v>239317</v>
          </cell>
          <cell r="AE139">
            <v>222878</v>
          </cell>
          <cell r="AF139">
            <v>210065</v>
          </cell>
          <cell r="AG139">
            <v>215002</v>
          </cell>
          <cell r="AI139">
            <v>167110</v>
          </cell>
        </row>
        <row r="140">
          <cell r="I140">
            <v>33093</v>
          </cell>
          <cell r="J140">
            <v>36312</v>
          </cell>
          <cell r="K140">
            <v>44199</v>
          </cell>
          <cell r="L140">
            <v>49375</v>
          </cell>
          <cell r="M140">
            <v>43881</v>
          </cell>
          <cell r="N140">
            <v>57230</v>
          </cell>
          <cell r="O140">
            <v>57896</v>
          </cell>
          <cell r="P140">
            <v>67290</v>
          </cell>
          <cell r="Q140">
            <v>71472</v>
          </cell>
          <cell r="R140">
            <v>62271</v>
          </cell>
          <cell r="S140">
            <v>56430</v>
          </cell>
          <cell r="T140">
            <v>48481</v>
          </cell>
          <cell r="U140">
            <v>46217</v>
          </cell>
          <cell r="V140">
            <v>64429</v>
          </cell>
          <cell r="W140">
            <v>75977</v>
          </cell>
          <cell r="X140">
            <v>78509</v>
          </cell>
          <cell r="Y140">
            <v>49883</v>
          </cell>
          <cell r="Z140">
            <v>126145</v>
          </cell>
          <cell r="AA140">
            <v>93831</v>
          </cell>
          <cell r="AB140">
            <v>91665</v>
          </cell>
          <cell r="AC140">
            <v>92764</v>
          </cell>
          <cell r="AD140">
            <v>82391</v>
          </cell>
          <cell r="AE140">
            <v>76402</v>
          </cell>
          <cell r="AF140">
            <v>75600</v>
          </cell>
          <cell r="AG140">
            <v>71947</v>
          </cell>
          <cell r="AI140">
            <v>36312</v>
          </cell>
        </row>
        <row r="141">
          <cell r="I141">
            <v>154029</v>
          </cell>
          <cell r="J141">
            <v>168650</v>
          </cell>
          <cell r="K141">
            <v>183325</v>
          </cell>
          <cell r="L141">
            <v>213167</v>
          </cell>
          <cell r="M141">
            <v>213132</v>
          </cell>
          <cell r="N141">
            <v>259091</v>
          </cell>
          <cell r="O141">
            <v>262745</v>
          </cell>
          <cell r="P141">
            <v>239602</v>
          </cell>
          <cell r="Q141">
            <v>227380</v>
          </cell>
          <cell r="R141">
            <v>204463</v>
          </cell>
          <cell r="S141">
            <v>191448</v>
          </cell>
          <cell r="T141">
            <v>181255</v>
          </cell>
          <cell r="U141">
            <v>169773</v>
          </cell>
          <cell r="V141">
            <v>181024</v>
          </cell>
          <cell r="W141">
            <v>195785</v>
          </cell>
          <cell r="X141">
            <v>209572</v>
          </cell>
          <cell r="Y141">
            <v>210024</v>
          </cell>
          <cell r="Z141">
            <v>252511</v>
          </cell>
          <cell r="AA141">
            <v>258859</v>
          </cell>
          <cell r="AB141">
            <v>230790</v>
          </cell>
          <cell r="AC141">
            <v>221548</v>
          </cell>
          <cell r="AD141">
            <v>196865</v>
          </cell>
          <cell r="AE141">
            <v>184056</v>
          </cell>
          <cell r="AF141">
            <v>172883</v>
          </cell>
          <cell r="AG141">
            <v>164000</v>
          </cell>
          <cell r="AI141">
            <v>168650</v>
          </cell>
        </row>
        <row r="142">
          <cell r="I142">
            <v>75702</v>
          </cell>
          <cell r="J142">
            <v>83998</v>
          </cell>
          <cell r="K142">
            <v>93345</v>
          </cell>
          <cell r="L142">
            <v>107951</v>
          </cell>
          <cell r="M142">
            <v>115786</v>
          </cell>
          <cell r="N142">
            <v>147159</v>
          </cell>
          <cell r="O142">
            <v>138847</v>
          </cell>
          <cell r="P142">
            <v>128438</v>
          </cell>
          <cell r="Q142">
            <v>123581</v>
          </cell>
          <cell r="R142">
            <v>110921</v>
          </cell>
          <cell r="S142">
            <v>103384</v>
          </cell>
          <cell r="T142">
            <v>91803</v>
          </cell>
          <cell r="U142">
            <v>93758</v>
          </cell>
          <cell r="V142">
            <v>93903</v>
          </cell>
          <cell r="W142">
            <v>118718</v>
          </cell>
          <cell r="X142">
            <v>127243</v>
          </cell>
          <cell r="Y142">
            <v>128644</v>
          </cell>
          <cell r="Z142">
            <v>155000</v>
          </cell>
          <cell r="AA142">
            <v>158008</v>
          </cell>
          <cell r="AB142">
            <v>137181</v>
          </cell>
          <cell r="AC142">
            <v>138560</v>
          </cell>
          <cell r="AD142">
            <v>121141</v>
          </cell>
          <cell r="AE142">
            <v>111339</v>
          </cell>
          <cell r="AF142">
            <v>109872</v>
          </cell>
          <cell r="AG142">
            <v>106461</v>
          </cell>
          <cell r="AI142">
            <v>83998</v>
          </cell>
        </row>
        <row r="143">
          <cell r="I143">
            <v>201496</v>
          </cell>
          <cell r="J143">
            <v>217310</v>
          </cell>
          <cell r="K143">
            <v>235266</v>
          </cell>
          <cell r="L143">
            <v>273353</v>
          </cell>
          <cell r="M143">
            <v>275196</v>
          </cell>
          <cell r="N143">
            <v>321265</v>
          </cell>
          <cell r="O143">
            <v>328727</v>
          </cell>
          <cell r="P143">
            <v>307385</v>
          </cell>
          <cell r="Q143">
            <v>293101</v>
          </cell>
          <cell r="R143">
            <v>256161</v>
          </cell>
          <cell r="S143">
            <v>240912</v>
          </cell>
          <cell r="T143">
            <v>222588</v>
          </cell>
          <cell r="U143">
            <v>212762</v>
          </cell>
          <cell r="V143">
            <v>215455</v>
          </cell>
          <cell r="W143">
            <v>230936</v>
          </cell>
          <cell r="X143">
            <v>259340</v>
          </cell>
          <cell r="Y143">
            <v>257729</v>
          </cell>
          <cell r="Z143">
            <v>303776</v>
          </cell>
          <cell r="AA143">
            <v>303557</v>
          </cell>
          <cell r="AB143">
            <v>286297</v>
          </cell>
          <cell r="AC143">
            <v>275928</v>
          </cell>
          <cell r="AD143">
            <v>251260</v>
          </cell>
          <cell r="AE143">
            <v>232661</v>
          </cell>
          <cell r="AF143">
            <v>218485</v>
          </cell>
          <cell r="AG143">
            <v>209366</v>
          </cell>
          <cell r="AI143">
            <v>217310</v>
          </cell>
        </row>
        <row r="144">
          <cell r="I144">
            <v>134515</v>
          </cell>
          <cell r="J144">
            <v>140512</v>
          </cell>
          <cell r="K144">
            <v>162131</v>
          </cell>
          <cell r="L144">
            <v>179362</v>
          </cell>
          <cell r="M144">
            <v>187859</v>
          </cell>
          <cell r="N144">
            <v>228507</v>
          </cell>
          <cell r="O144">
            <v>228247</v>
          </cell>
          <cell r="P144">
            <v>189268</v>
          </cell>
          <cell r="Q144">
            <v>181278</v>
          </cell>
          <cell r="R144">
            <v>163823</v>
          </cell>
          <cell r="S144">
            <v>150974</v>
          </cell>
          <cell r="T144">
            <v>148026</v>
          </cell>
          <cell r="U144">
            <v>135973</v>
          </cell>
          <cell r="V144">
            <v>148848</v>
          </cell>
          <cell r="W144">
            <v>162671</v>
          </cell>
          <cell r="X144">
            <v>174269</v>
          </cell>
          <cell r="Y144">
            <v>178493</v>
          </cell>
          <cell r="Z144">
            <v>212668</v>
          </cell>
          <cell r="AA144">
            <v>209622</v>
          </cell>
          <cell r="AB144">
            <v>189550</v>
          </cell>
          <cell r="AC144">
            <v>177669</v>
          </cell>
          <cell r="AD144">
            <v>165338</v>
          </cell>
          <cell r="AE144">
            <v>150644</v>
          </cell>
          <cell r="AF144">
            <v>135528</v>
          </cell>
          <cell r="AG144">
            <v>144150</v>
          </cell>
          <cell r="AI144">
            <v>140512</v>
          </cell>
        </row>
        <row r="145">
          <cell r="I145">
            <v>66124</v>
          </cell>
          <cell r="J145">
            <v>69075</v>
          </cell>
          <cell r="K145">
            <v>79486</v>
          </cell>
          <cell r="L145">
            <v>95273</v>
          </cell>
          <cell r="M145">
            <v>97221</v>
          </cell>
          <cell r="N145">
            <v>116638</v>
          </cell>
          <cell r="O145">
            <v>114429</v>
          </cell>
          <cell r="P145">
            <v>107038</v>
          </cell>
          <cell r="Q145">
            <v>100397</v>
          </cell>
          <cell r="R145">
            <v>92146</v>
          </cell>
          <cell r="S145">
            <v>86607</v>
          </cell>
          <cell r="T145">
            <v>83800</v>
          </cell>
          <cell r="U145">
            <v>77159</v>
          </cell>
          <cell r="V145">
            <v>76478</v>
          </cell>
          <cell r="W145">
            <v>89032</v>
          </cell>
          <cell r="X145">
            <v>98160</v>
          </cell>
          <cell r="Y145">
            <v>98190</v>
          </cell>
          <cell r="Z145">
            <v>117940</v>
          </cell>
          <cell r="AA145">
            <v>119996</v>
          </cell>
          <cell r="AB145">
            <v>111412</v>
          </cell>
          <cell r="AC145">
            <v>108491</v>
          </cell>
          <cell r="AD145">
            <v>95608</v>
          </cell>
          <cell r="AE145">
            <v>90275</v>
          </cell>
          <cell r="AF145">
            <v>83105</v>
          </cell>
          <cell r="AG145">
            <v>82916</v>
          </cell>
          <cell r="AI145">
            <v>69075</v>
          </cell>
        </row>
        <row r="146">
          <cell r="I146">
            <v>54557</v>
          </cell>
          <cell r="J146">
            <v>58478</v>
          </cell>
          <cell r="K146">
            <v>64517</v>
          </cell>
          <cell r="L146">
            <v>76665</v>
          </cell>
          <cell r="M146">
            <v>82498</v>
          </cell>
          <cell r="N146">
            <v>95826</v>
          </cell>
          <cell r="O146">
            <v>97893</v>
          </cell>
          <cell r="P146">
            <v>108163</v>
          </cell>
          <cell r="Q146">
            <v>97136</v>
          </cell>
          <cell r="R146">
            <v>88088</v>
          </cell>
          <cell r="S146">
            <v>82618</v>
          </cell>
          <cell r="T146">
            <v>95536</v>
          </cell>
          <cell r="U146">
            <v>89890</v>
          </cell>
          <cell r="V146">
            <v>104687</v>
          </cell>
          <cell r="W146">
            <v>88767</v>
          </cell>
          <cell r="X146">
            <v>95868</v>
          </cell>
          <cell r="Y146">
            <v>97119</v>
          </cell>
          <cell r="Z146">
            <v>128525</v>
          </cell>
          <cell r="AA146">
            <v>115422</v>
          </cell>
          <cell r="AB146">
            <v>111344</v>
          </cell>
          <cell r="AC146">
            <v>104910</v>
          </cell>
          <cell r="AD146">
            <v>94460</v>
          </cell>
          <cell r="AE146">
            <v>83277</v>
          </cell>
          <cell r="AF146">
            <v>82063</v>
          </cell>
          <cell r="AG146">
            <v>76306</v>
          </cell>
          <cell r="AI146">
            <v>58478</v>
          </cell>
        </row>
        <row r="147">
          <cell r="I147">
            <v>139093</v>
          </cell>
          <cell r="J147">
            <v>158356</v>
          </cell>
          <cell r="K147">
            <v>169127</v>
          </cell>
          <cell r="L147">
            <v>192001</v>
          </cell>
          <cell r="M147">
            <v>194422</v>
          </cell>
          <cell r="N147">
            <v>237274</v>
          </cell>
          <cell r="O147">
            <v>238705</v>
          </cell>
          <cell r="P147">
            <v>221369</v>
          </cell>
          <cell r="Q147">
            <v>214591</v>
          </cell>
          <cell r="R147">
            <v>193222</v>
          </cell>
          <cell r="S147">
            <v>179592</v>
          </cell>
          <cell r="T147">
            <v>145565</v>
          </cell>
          <cell r="U147">
            <v>136642</v>
          </cell>
          <cell r="V147">
            <v>149334</v>
          </cell>
          <cell r="W147">
            <v>158932</v>
          </cell>
          <cell r="X147">
            <v>184693</v>
          </cell>
          <cell r="Y147">
            <v>183907</v>
          </cell>
          <cell r="Z147">
            <v>224936</v>
          </cell>
          <cell r="AA147">
            <v>224603</v>
          </cell>
          <cell r="AB147">
            <v>210582</v>
          </cell>
          <cell r="AC147">
            <v>212548</v>
          </cell>
          <cell r="AD147">
            <v>184376</v>
          </cell>
          <cell r="AE147">
            <v>170175</v>
          </cell>
          <cell r="AF147">
            <v>161706</v>
          </cell>
          <cell r="AG147">
            <v>154248</v>
          </cell>
          <cell r="AI147">
            <v>158356</v>
          </cell>
        </row>
        <row r="148">
          <cell r="I148">
            <v>122441</v>
          </cell>
          <cell r="J148">
            <v>129015</v>
          </cell>
          <cell r="K148">
            <v>140359</v>
          </cell>
          <cell r="L148">
            <v>161519</v>
          </cell>
          <cell r="M148">
            <v>166645</v>
          </cell>
          <cell r="N148">
            <v>174243</v>
          </cell>
          <cell r="O148">
            <v>191176</v>
          </cell>
          <cell r="P148">
            <v>171394</v>
          </cell>
          <cell r="Q148">
            <v>165699</v>
          </cell>
          <cell r="R148">
            <v>155885</v>
          </cell>
          <cell r="S148">
            <v>143958</v>
          </cell>
          <cell r="T148">
            <v>144483</v>
          </cell>
          <cell r="U148">
            <v>138294</v>
          </cell>
          <cell r="V148">
            <v>140850</v>
          </cell>
          <cell r="W148">
            <v>131093</v>
          </cell>
          <cell r="X148">
            <v>140220</v>
          </cell>
          <cell r="Y148">
            <v>140172</v>
          </cell>
          <cell r="Z148">
            <v>165452</v>
          </cell>
          <cell r="AA148">
            <v>168225</v>
          </cell>
          <cell r="AB148">
            <v>156096</v>
          </cell>
          <cell r="AC148">
            <v>151352</v>
          </cell>
          <cell r="AD148">
            <v>147991</v>
          </cell>
          <cell r="AE148">
            <v>136349</v>
          </cell>
          <cell r="AF148">
            <v>128961</v>
          </cell>
          <cell r="AG148">
            <v>122389</v>
          </cell>
          <cell r="AI148">
            <v>129015</v>
          </cell>
        </row>
        <row r="149">
          <cell r="I149">
            <v>1010040</v>
          </cell>
          <cell r="J149">
            <v>1109196</v>
          </cell>
          <cell r="K149">
            <v>1181260</v>
          </cell>
          <cell r="L149">
            <v>1359674</v>
          </cell>
          <cell r="M149">
            <v>1362543</v>
          </cell>
          <cell r="N149">
            <v>1635038</v>
          </cell>
          <cell r="O149">
            <v>1634781</v>
          </cell>
          <cell r="P149">
            <v>1516939</v>
          </cell>
          <cell r="Q149">
            <v>1440604</v>
          </cell>
          <cell r="R149">
            <v>1266280</v>
          </cell>
          <cell r="S149">
            <v>1174498</v>
          </cell>
          <cell r="T149">
            <v>1074752</v>
          </cell>
          <cell r="U149">
            <v>1021241</v>
          </cell>
          <cell r="V149">
            <v>1088996</v>
          </cell>
          <cell r="W149">
            <v>1176355</v>
          </cell>
          <cell r="X149">
            <v>1361559</v>
          </cell>
          <cell r="Y149">
            <v>1316329</v>
          </cell>
          <cell r="Z149">
            <v>1580861</v>
          </cell>
          <cell r="AA149">
            <v>1588903</v>
          </cell>
          <cell r="AB149">
            <v>1477659</v>
          </cell>
          <cell r="AC149">
            <v>1404445</v>
          </cell>
          <cell r="AD149">
            <v>1239827</v>
          </cell>
          <cell r="AE149">
            <v>1145728</v>
          </cell>
          <cell r="AF149">
            <v>1050435</v>
          </cell>
          <cell r="AG149">
            <v>990022</v>
          </cell>
          <cell r="AI149">
            <v>1109196</v>
          </cell>
        </row>
        <row r="150">
          <cell r="I150">
            <v>188654</v>
          </cell>
          <cell r="J150">
            <v>189418</v>
          </cell>
          <cell r="K150">
            <v>217701</v>
          </cell>
          <cell r="L150">
            <v>215870</v>
          </cell>
          <cell r="M150">
            <v>233226</v>
          </cell>
          <cell r="N150">
            <v>274210</v>
          </cell>
          <cell r="O150">
            <v>281875</v>
          </cell>
          <cell r="P150">
            <v>255245</v>
          </cell>
          <cell r="Q150">
            <v>243062</v>
          </cell>
          <cell r="R150">
            <v>227584</v>
          </cell>
          <cell r="S150">
            <v>227100</v>
          </cell>
          <cell r="T150">
            <v>198298</v>
          </cell>
          <cell r="U150">
            <v>205823</v>
          </cell>
          <cell r="V150">
            <v>180897</v>
          </cell>
          <cell r="W150">
            <v>204689</v>
          </cell>
          <cell r="X150">
            <v>225163</v>
          </cell>
          <cell r="Y150">
            <v>228177</v>
          </cell>
          <cell r="Z150">
            <v>262337</v>
          </cell>
          <cell r="AA150">
            <v>275071</v>
          </cell>
          <cell r="AB150">
            <v>248813</v>
          </cell>
          <cell r="AC150">
            <v>239092</v>
          </cell>
          <cell r="AD150">
            <v>231056</v>
          </cell>
          <cell r="AE150">
            <v>219728</v>
          </cell>
          <cell r="AF150">
            <v>208444</v>
          </cell>
          <cell r="AG150">
            <v>191922</v>
          </cell>
          <cell r="AI150">
            <v>189418</v>
          </cell>
        </row>
        <row r="151">
          <cell r="I151">
            <v>116522</v>
          </cell>
          <cell r="J151">
            <v>120168</v>
          </cell>
          <cell r="K151">
            <v>127204</v>
          </cell>
          <cell r="L151">
            <v>151158</v>
          </cell>
          <cell r="M151">
            <v>152174</v>
          </cell>
          <cell r="N151">
            <v>178936</v>
          </cell>
          <cell r="O151">
            <v>186571</v>
          </cell>
          <cell r="P151">
            <v>170698</v>
          </cell>
          <cell r="Q151">
            <v>161489</v>
          </cell>
          <cell r="R151">
            <v>148262</v>
          </cell>
          <cell r="S151">
            <v>137143</v>
          </cell>
          <cell r="T151">
            <v>134055</v>
          </cell>
          <cell r="U151">
            <v>123460</v>
          </cell>
          <cell r="V151">
            <v>132295</v>
          </cell>
          <cell r="W151">
            <v>135465</v>
          </cell>
          <cell r="X151">
            <v>151661</v>
          </cell>
          <cell r="Y151">
            <v>153412</v>
          </cell>
          <cell r="Z151">
            <v>175946</v>
          </cell>
          <cell r="AA151">
            <v>180625</v>
          </cell>
          <cell r="AB151">
            <v>162800</v>
          </cell>
          <cell r="AC151">
            <v>160302</v>
          </cell>
          <cell r="AD151">
            <v>124386</v>
          </cell>
          <cell r="AE151">
            <v>117590</v>
          </cell>
          <cell r="AF151">
            <v>114311</v>
          </cell>
          <cell r="AG151">
            <v>105225</v>
          </cell>
          <cell r="AI151">
            <v>120168</v>
          </cell>
        </row>
        <row r="152">
          <cell r="I152">
            <v>332647</v>
          </cell>
          <cell r="J152">
            <v>303947</v>
          </cell>
          <cell r="K152">
            <v>308239</v>
          </cell>
          <cell r="L152">
            <v>354813</v>
          </cell>
          <cell r="M152">
            <v>342566</v>
          </cell>
          <cell r="N152">
            <v>364766</v>
          </cell>
          <cell r="O152">
            <v>419854</v>
          </cell>
          <cell r="P152">
            <v>354839</v>
          </cell>
          <cell r="Q152">
            <v>355111</v>
          </cell>
          <cell r="R152">
            <v>361986</v>
          </cell>
          <cell r="S152">
            <v>333434</v>
          </cell>
          <cell r="T152">
            <v>348302</v>
          </cell>
          <cell r="U152">
            <v>305880</v>
          </cell>
          <cell r="V152">
            <v>350635</v>
          </cell>
          <cell r="W152">
            <v>333879</v>
          </cell>
          <cell r="X152">
            <v>378204</v>
          </cell>
          <cell r="Y152">
            <v>336881</v>
          </cell>
          <cell r="Z152">
            <v>412876</v>
          </cell>
          <cell r="AA152">
            <v>390414</v>
          </cell>
          <cell r="AB152">
            <v>385291</v>
          </cell>
          <cell r="AC152">
            <v>355411</v>
          </cell>
          <cell r="AD152">
            <v>381855</v>
          </cell>
          <cell r="AE152">
            <v>355342</v>
          </cell>
          <cell r="AF152">
            <v>349561</v>
          </cell>
          <cell r="AG152">
            <v>347886</v>
          </cell>
          <cell r="AI152">
            <v>303947</v>
          </cell>
        </row>
        <row r="154">
          <cell r="I154">
            <v>3780806</v>
          </cell>
          <cell r="J154">
            <v>3477899</v>
          </cell>
          <cell r="K154">
            <v>3500925</v>
          </cell>
          <cell r="L154">
            <v>3613253</v>
          </cell>
          <cell r="M154">
            <v>3375876</v>
          </cell>
          <cell r="N154">
            <v>3918112</v>
          </cell>
          <cell r="O154">
            <v>3700105</v>
          </cell>
          <cell r="P154">
            <v>3567181</v>
          </cell>
          <cell r="Q154">
            <v>4305288</v>
          </cell>
          <cell r="R154">
            <v>4521243</v>
          </cell>
          <cell r="S154">
            <v>4405699</v>
          </cell>
          <cell r="T154">
            <v>3794587</v>
          </cell>
          <cell r="U154">
            <v>4268623</v>
          </cell>
          <cell r="V154">
            <v>3375254</v>
          </cell>
          <cell r="W154">
            <v>2803023</v>
          </cell>
          <cell r="X154">
            <v>2558527</v>
          </cell>
          <cell r="Y154">
            <v>2717085</v>
          </cell>
          <cell r="Z154">
            <v>2744468</v>
          </cell>
          <cell r="AA154">
            <v>2422058</v>
          </cell>
          <cell r="AB154">
            <v>2119996</v>
          </cell>
          <cell r="AC154">
            <v>3157938</v>
          </cell>
          <cell r="AD154">
            <v>3532801</v>
          </cell>
          <cell r="AE154">
            <v>3041363</v>
          </cell>
          <cell r="AF154">
            <v>2500545</v>
          </cell>
          <cell r="AG154">
            <v>2861128</v>
          </cell>
          <cell r="AI154">
            <v>3477899</v>
          </cell>
        </row>
        <row r="155">
          <cell r="I155">
            <v>4599488</v>
          </cell>
          <cell r="J155">
            <v>4140032</v>
          </cell>
          <cell r="K155">
            <v>4503393</v>
          </cell>
          <cell r="L155">
            <v>4593853</v>
          </cell>
          <cell r="M155">
            <v>4786081</v>
          </cell>
          <cell r="N155">
            <v>5133669</v>
          </cell>
          <cell r="O155">
            <v>4437666</v>
          </cell>
          <cell r="P155">
            <v>4202018</v>
          </cell>
          <cell r="Q155">
            <v>4889609</v>
          </cell>
          <cell r="R155">
            <v>4815673</v>
          </cell>
          <cell r="S155">
            <v>4799127</v>
          </cell>
          <cell r="T155">
            <v>4381121</v>
          </cell>
          <cell r="U155">
            <v>4576532</v>
          </cell>
          <cell r="V155">
            <v>4172676</v>
          </cell>
          <cell r="W155">
            <v>3972596</v>
          </cell>
          <cell r="X155">
            <v>4484718</v>
          </cell>
          <cell r="Y155">
            <v>4862351</v>
          </cell>
          <cell r="Z155">
            <v>4950238</v>
          </cell>
          <cell r="AA155">
            <v>4369450</v>
          </cell>
          <cell r="AB155">
            <v>3936932</v>
          </cell>
          <cell r="AC155">
            <v>4575482</v>
          </cell>
          <cell r="AD155">
            <v>5379019</v>
          </cell>
          <cell r="AE155">
            <v>4775677</v>
          </cell>
          <cell r="AF155">
            <v>4304386</v>
          </cell>
          <cell r="AG155">
            <v>4466536</v>
          </cell>
          <cell r="AI155">
            <v>4140032</v>
          </cell>
        </row>
        <row r="156">
          <cell r="I156">
            <v>6375774</v>
          </cell>
          <cell r="J156">
            <v>5566114</v>
          </cell>
          <cell r="K156">
            <v>6221172</v>
          </cell>
          <cell r="L156">
            <v>5594161</v>
          </cell>
          <cell r="M156">
            <v>5993459</v>
          </cell>
          <cell r="N156">
            <v>6343503</v>
          </cell>
          <cell r="O156">
            <v>5780284</v>
          </cell>
          <cell r="P156">
            <v>5287111</v>
          </cell>
          <cell r="Q156">
            <v>6731077</v>
          </cell>
          <cell r="R156">
            <v>6141458</v>
          </cell>
          <cell r="S156">
            <v>6744235</v>
          </cell>
          <cell r="T156">
            <v>6161718</v>
          </cell>
          <cell r="U156">
            <v>6142484</v>
          </cell>
          <cell r="V156">
            <v>4948916</v>
          </cell>
          <cell r="W156">
            <v>5753325</v>
          </cell>
          <cell r="X156">
            <v>5568332</v>
          </cell>
          <cell r="Y156">
            <v>6019924</v>
          </cell>
          <cell r="Z156">
            <v>6300257</v>
          </cell>
          <cell r="AA156">
            <v>5645309</v>
          </cell>
          <cell r="AB156">
            <v>5270888</v>
          </cell>
          <cell r="AC156">
            <v>5694207</v>
          </cell>
          <cell r="AD156">
            <v>6991542</v>
          </cell>
          <cell r="AE156">
            <v>6683370</v>
          </cell>
          <cell r="AF156">
            <v>5941236</v>
          </cell>
          <cell r="AG156">
            <v>5535598</v>
          </cell>
          <cell r="AI156">
            <v>5566114</v>
          </cell>
        </row>
        <row r="157">
          <cell r="I157">
            <v>2754617</v>
          </cell>
          <cell r="J157">
            <v>2405411</v>
          </cell>
          <cell r="K157">
            <v>2728817</v>
          </cell>
          <cell r="L157">
            <v>2914803</v>
          </cell>
          <cell r="M157">
            <v>3048180</v>
          </cell>
          <cell r="N157">
            <v>3294328</v>
          </cell>
          <cell r="O157">
            <v>2716607</v>
          </cell>
          <cell r="P157">
            <v>2499653</v>
          </cell>
          <cell r="Q157">
            <v>3033797</v>
          </cell>
          <cell r="R157">
            <v>3188732</v>
          </cell>
          <cell r="S157">
            <v>3123032</v>
          </cell>
          <cell r="T157">
            <v>2954939</v>
          </cell>
          <cell r="U157">
            <v>3004960</v>
          </cell>
          <cell r="V157">
            <v>2402747</v>
          </cell>
          <cell r="W157">
            <v>2200435</v>
          </cell>
          <cell r="X157">
            <v>2479181</v>
          </cell>
          <cell r="Y157">
            <v>2791571</v>
          </cell>
          <cell r="Z157">
            <v>2738724</v>
          </cell>
          <cell r="AA157">
            <v>2390641</v>
          </cell>
          <cell r="AB157">
            <v>2016617</v>
          </cell>
          <cell r="AC157">
            <v>2665626</v>
          </cell>
          <cell r="AD157">
            <v>3512448</v>
          </cell>
          <cell r="AE157">
            <v>2777453</v>
          </cell>
          <cell r="AF157">
            <v>2771245</v>
          </cell>
          <cell r="AG157">
            <v>2525742</v>
          </cell>
          <cell r="AI157">
            <v>2405411</v>
          </cell>
        </row>
        <row r="158">
          <cell r="I158">
            <v>2303832</v>
          </cell>
          <cell r="J158">
            <v>2125476</v>
          </cell>
          <cell r="K158">
            <v>2546566</v>
          </cell>
          <cell r="L158">
            <v>2708087</v>
          </cell>
          <cell r="M158">
            <v>2799466</v>
          </cell>
          <cell r="N158">
            <v>2901572</v>
          </cell>
          <cell r="O158">
            <v>2494191</v>
          </cell>
          <cell r="P158">
            <v>1985034</v>
          </cell>
          <cell r="Q158">
            <v>2586258</v>
          </cell>
          <cell r="R158">
            <v>2626704</v>
          </cell>
          <cell r="S158">
            <v>2397839</v>
          </cell>
          <cell r="T158">
            <v>2437263</v>
          </cell>
          <cell r="U158">
            <v>2265992</v>
          </cell>
          <cell r="V158">
            <v>2006286</v>
          </cell>
          <cell r="W158">
            <v>2116638</v>
          </cell>
          <cell r="X158">
            <v>2155006</v>
          </cell>
          <cell r="Y158">
            <v>2429255</v>
          </cell>
          <cell r="Z158">
            <v>2701937</v>
          </cell>
          <cell r="AA158">
            <v>2261763</v>
          </cell>
          <cell r="AB158">
            <v>1990602</v>
          </cell>
          <cell r="AC158">
            <v>2256540</v>
          </cell>
          <cell r="AD158">
            <v>2839061</v>
          </cell>
          <cell r="AE158">
            <v>2412868</v>
          </cell>
          <cell r="AF158">
            <v>2450133</v>
          </cell>
          <cell r="AG158">
            <v>2147657</v>
          </cell>
          <cell r="AI158">
            <v>2125476</v>
          </cell>
        </row>
        <row r="159">
          <cell r="I159">
            <v>3805703</v>
          </cell>
          <cell r="J159">
            <v>3298199</v>
          </cell>
          <cell r="K159">
            <v>3646649</v>
          </cell>
          <cell r="L159">
            <v>3830387</v>
          </cell>
          <cell r="M159">
            <v>3925230</v>
          </cell>
          <cell r="N159">
            <v>4084927</v>
          </cell>
          <cell r="O159">
            <v>3809004</v>
          </cell>
          <cell r="P159">
            <v>3229698</v>
          </cell>
          <cell r="Q159">
            <v>3630554</v>
          </cell>
          <cell r="R159">
            <v>3181912</v>
          </cell>
          <cell r="S159">
            <v>3055075</v>
          </cell>
          <cell r="T159">
            <v>3504830</v>
          </cell>
          <cell r="U159">
            <v>3453457</v>
          </cell>
          <cell r="V159">
            <v>3089366</v>
          </cell>
          <cell r="W159">
            <v>2824178</v>
          </cell>
          <cell r="X159">
            <v>3425504</v>
          </cell>
          <cell r="Y159">
            <v>3838068</v>
          </cell>
          <cell r="Z159">
            <v>3882377</v>
          </cell>
          <cell r="AA159">
            <v>3442865</v>
          </cell>
          <cell r="AB159">
            <v>3179277</v>
          </cell>
          <cell r="AC159">
            <v>3359420</v>
          </cell>
          <cell r="AD159">
            <v>4686144</v>
          </cell>
          <cell r="AE159">
            <v>4114771</v>
          </cell>
          <cell r="AF159">
            <v>3757593</v>
          </cell>
          <cell r="AG159">
            <v>3634411</v>
          </cell>
          <cell r="AI159">
            <v>3298199</v>
          </cell>
        </row>
        <row r="160">
          <cell r="I160">
            <v>3173898</v>
          </cell>
          <cell r="J160">
            <v>3057409</v>
          </cell>
          <cell r="K160">
            <v>3154803</v>
          </cell>
          <cell r="L160">
            <v>3317080</v>
          </cell>
          <cell r="M160">
            <v>3395577</v>
          </cell>
          <cell r="N160">
            <v>3488540</v>
          </cell>
          <cell r="O160">
            <v>2817052</v>
          </cell>
          <cell r="P160">
            <v>2552589</v>
          </cell>
          <cell r="Q160">
            <v>2735781</v>
          </cell>
          <cell r="R160">
            <v>3815560</v>
          </cell>
          <cell r="S160">
            <v>3728761</v>
          </cell>
          <cell r="T160">
            <v>3901151</v>
          </cell>
          <cell r="U160">
            <v>3621403</v>
          </cell>
          <cell r="V160">
            <v>3335202</v>
          </cell>
          <cell r="W160">
            <v>3795759</v>
          </cell>
          <cell r="X160">
            <v>3842504</v>
          </cell>
          <cell r="Y160">
            <v>4386101</v>
          </cell>
          <cell r="Z160">
            <v>4515781</v>
          </cell>
          <cell r="AA160">
            <v>3974700</v>
          </cell>
          <cell r="AB160">
            <v>3256233</v>
          </cell>
          <cell r="AC160">
            <v>3457124</v>
          </cell>
          <cell r="AD160">
            <v>4346956</v>
          </cell>
          <cell r="AE160">
            <v>4247819</v>
          </cell>
          <cell r="AF160">
            <v>3949483</v>
          </cell>
          <cell r="AG160">
            <v>3475579</v>
          </cell>
          <cell r="AI160">
            <v>3057409</v>
          </cell>
        </row>
        <row r="161">
          <cell r="I161">
            <v>3436672</v>
          </cell>
          <cell r="J161">
            <v>3035707</v>
          </cell>
          <cell r="K161">
            <v>3311853</v>
          </cell>
          <cell r="L161">
            <v>3400532</v>
          </cell>
          <cell r="M161">
            <v>3419514</v>
          </cell>
          <cell r="N161">
            <v>3711138</v>
          </cell>
          <cell r="O161">
            <v>3181041</v>
          </cell>
          <cell r="P161">
            <v>3050009</v>
          </cell>
          <cell r="Q161">
            <v>3330454</v>
          </cell>
          <cell r="R161">
            <v>3978241</v>
          </cell>
          <cell r="S161">
            <v>3693278</v>
          </cell>
          <cell r="T161">
            <v>3828953</v>
          </cell>
          <cell r="U161">
            <v>3622887</v>
          </cell>
          <cell r="V161">
            <v>3100225</v>
          </cell>
          <cell r="W161">
            <v>3449670</v>
          </cell>
          <cell r="X161">
            <v>3530753</v>
          </cell>
          <cell r="Y161">
            <v>3933023</v>
          </cell>
          <cell r="Z161">
            <v>4202074</v>
          </cell>
          <cell r="AA161">
            <v>3700042</v>
          </cell>
          <cell r="AB161">
            <v>3109949</v>
          </cell>
          <cell r="AC161">
            <v>3349039</v>
          </cell>
          <cell r="AD161">
            <v>4318258</v>
          </cell>
          <cell r="AE161">
            <v>3758329</v>
          </cell>
          <cell r="AF161">
            <v>3837589</v>
          </cell>
          <cell r="AG161">
            <v>3243912</v>
          </cell>
          <cell r="AI161">
            <v>3035707</v>
          </cell>
        </row>
        <row r="162">
          <cell r="I162">
            <v>5577348</v>
          </cell>
          <cell r="J162">
            <v>5147512</v>
          </cell>
          <cell r="K162">
            <v>5269701</v>
          </cell>
          <cell r="L162">
            <v>5568209</v>
          </cell>
          <cell r="M162">
            <v>5612971</v>
          </cell>
          <cell r="N162">
            <v>6257274</v>
          </cell>
          <cell r="O162">
            <v>5270115</v>
          </cell>
          <cell r="P162">
            <v>5018877</v>
          </cell>
          <cell r="Q162">
            <v>5449481</v>
          </cell>
          <cell r="R162">
            <v>6238507</v>
          </cell>
          <cell r="S162">
            <v>5773875</v>
          </cell>
          <cell r="T162">
            <v>6312939</v>
          </cell>
          <cell r="U162">
            <v>6240474</v>
          </cell>
          <cell r="V162">
            <v>5092792</v>
          </cell>
          <cell r="W162">
            <v>5717618</v>
          </cell>
          <cell r="X162">
            <v>5371796</v>
          </cell>
          <cell r="Y162">
            <v>6045509</v>
          </cell>
          <cell r="Z162">
            <v>6560231</v>
          </cell>
          <cell r="AA162">
            <v>5725443</v>
          </cell>
          <cell r="AB162">
            <v>5052577</v>
          </cell>
          <cell r="AC162">
            <v>5596760</v>
          </cell>
          <cell r="AD162">
            <v>6754011</v>
          </cell>
          <cell r="AE162">
            <v>6377815</v>
          </cell>
          <cell r="AF162">
            <v>6099857</v>
          </cell>
          <cell r="AG162">
            <v>5659072</v>
          </cell>
          <cell r="AI162">
            <v>5147512</v>
          </cell>
        </row>
        <row r="163">
          <cell r="I163">
            <v>3821468</v>
          </cell>
          <cell r="J163">
            <v>3542372</v>
          </cell>
          <cell r="K163">
            <v>3387147</v>
          </cell>
          <cell r="L163">
            <v>3774940</v>
          </cell>
          <cell r="M163">
            <v>4651260</v>
          </cell>
          <cell r="N163">
            <v>4325400</v>
          </cell>
          <cell r="O163">
            <v>3707342</v>
          </cell>
          <cell r="P163">
            <v>3265219</v>
          </cell>
          <cell r="Q163">
            <v>3606983</v>
          </cell>
          <cell r="R163">
            <v>4385268</v>
          </cell>
          <cell r="S163">
            <v>3842605</v>
          </cell>
          <cell r="T163">
            <v>3957443</v>
          </cell>
          <cell r="U163">
            <v>4133222</v>
          </cell>
          <cell r="V163">
            <v>3667326</v>
          </cell>
          <cell r="W163">
            <v>3268302</v>
          </cell>
          <cell r="X163">
            <v>3405340</v>
          </cell>
          <cell r="Y163">
            <v>3758797</v>
          </cell>
          <cell r="Z163">
            <v>3942311</v>
          </cell>
          <cell r="AA163">
            <v>3469583</v>
          </cell>
          <cell r="AB163">
            <v>3127269</v>
          </cell>
          <cell r="AC163">
            <v>3436962</v>
          </cell>
          <cell r="AD163">
            <v>4599987</v>
          </cell>
          <cell r="AE163">
            <v>3963246</v>
          </cell>
          <cell r="AF163">
            <v>3830469</v>
          </cell>
          <cell r="AG163">
            <v>3471072</v>
          </cell>
          <cell r="AI163">
            <v>3542372</v>
          </cell>
        </row>
        <row r="164">
          <cell r="I164">
            <v>3266173</v>
          </cell>
          <cell r="J164">
            <v>3093334</v>
          </cell>
          <cell r="K164">
            <v>2955930</v>
          </cell>
          <cell r="L164">
            <v>3322223</v>
          </cell>
          <cell r="M164">
            <v>3481687</v>
          </cell>
          <cell r="N164">
            <v>3555922</v>
          </cell>
          <cell r="O164">
            <v>3268979</v>
          </cell>
          <cell r="P164">
            <v>2774440</v>
          </cell>
          <cell r="Q164">
            <v>2913579</v>
          </cell>
          <cell r="R164">
            <v>3483363</v>
          </cell>
          <cell r="S164">
            <v>3023275</v>
          </cell>
          <cell r="T164">
            <v>3196196</v>
          </cell>
          <cell r="U164">
            <v>3116832</v>
          </cell>
          <cell r="V164">
            <v>2957768</v>
          </cell>
          <cell r="W164">
            <v>2710575</v>
          </cell>
          <cell r="X164">
            <v>2827521</v>
          </cell>
          <cell r="Y164">
            <v>3199862</v>
          </cell>
          <cell r="Z164">
            <v>3219528</v>
          </cell>
          <cell r="AA164">
            <v>2897294</v>
          </cell>
          <cell r="AB164">
            <v>2731067</v>
          </cell>
          <cell r="AC164">
            <v>2521764</v>
          </cell>
          <cell r="AD164">
            <v>3406149</v>
          </cell>
          <cell r="AE164">
            <v>2659468</v>
          </cell>
          <cell r="AF164">
            <v>2763887</v>
          </cell>
          <cell r="AG164">
            <v>2631986</v>
          </cell>
          <cell r="AI164">
            <v>3093334</v>
          </cell>
        </row>
        <row r="165">
          <cell r="I165">
            <v>5063077</v>
          </cell>
          <cell r="J165">
            <v>4494785</v>
          </cell>
          <cell r="K165">
            <v>4401633</v>
          </cell>
          <cell r="L165">
            <v>4433908</v>
          </cell>
          <cell r="M165">
            <v>4697057</v>
          </cell>
          <cell r="N165">
            <v>4828527</v>
          </cell>
          <cell r="O165">
            <v>4561076</v>
          </cell>
          <cell r="P165">
            <v>4046733</v>
          </cell>
          <cell r="Q165">
            <v>4614576</v>
          </cell>
          <cell r="R165">
            <v>5601918</v>
          </cell>
          <cell r="S165">
            <v>5170684</v>
          </cell>
          <cell r="T165">
            <v>5633749</v>
          </cell>
          <cell r="U165">
            <v>5191428</v>
          </cell>
          <cell r="V165">
            <v>4672244</v>
          </cell>
          <cell r="W165">
            <v>4558449</v>
          </cell>
          <cell r="X165">
            <v>4182855</v>
          </cell>
          <cell r="Y165">
            <v>4610447</v>
          </cell>
          <cell r="Z165">
            <v>4963833</v>
          </cell>
          <cell r="AA165">
            <v>4448526</v>
          </cell>
          <cell r="AB165">
            <v>4313519</v>
          </cell>
          <cell r="AC165">
            <v>4378510</v>
          </cell>
          <cell r="AD165">
            <v>5783628</v>
          </cell>
          <cell r="AE165">
            <v>5588864</v>
          </cell>
          <cell r="AF165">
            <v>5461470</v>
          </cell>
          <cell r="AG165">
            <v>4771134</v>
          </cell>
          <cell r="AI165">
            <v>4494785</v>
          </cell>
        </row>
        <row r="166">
          <cell r="I166">
            <v>3522338</v>
          </cell>
          <cell r="J166">
            <v>3193635</v>
          </cell>
          <cell r="K166">
            <v>3096825</v>
          </cell>
          <cell r="L166">
            <v>3330443</v>
          </cell>
          <cell r="M166">
            <v>3447547</v>
          </cell>
          <cell r="N166">
            <v>3657931</v>
          </cell>
          <cell r="O166">
            <v>3250758</v>
          </cell>
          <cell r="P166">
            <v>3223328</v>
          </cell>
          <cell r="Q166">
            <v>3079054</v>
          </cell>
          <cell r="R166">
            <v>4395603</v>
          </cell>
          <cell r="S166">
            <v>3718688</v>
          </cell>
          <cell r="T166">
            <v>3985058</v>
          </cell>
          <cell r="U166">
            <v>3615117</v>
          </cell>
          <cell r="V166">
            <v>3317029</v>
          </cell>
          <cell r="W166">
            <v>3220370</v>
          </cell>
          <cell r="X166">
            <v>3210392</v>
          </cell>
          <cell r="Y166">
            <v>3586559</v>
          </cell>
          <cell r="Z166">
            <v>3834570</v>
          </cell>
          <cell r="AA166">
            <v>3625723</v>
          </cell>
          <cell r="AB166">
            <v>2958754</v>
          </cell>
          <cell r="AC166">
            <v>3099233</v>
          </cell>
          <cell r="AD166">
            <v>4480661</v>
          </cell>
          <cell r="AE166">
            <v>4046128</v>
          </cell>
          <cell r="AF166">
            <v>4114620</v>
          </cell>
          <cell r="AG166">
            <v>3299080</v>
          </cell>
          <cell r="AI166">
            <v>3193635</v>
          </cell>
        </row>
        <row r="167">
          <cell r="I167">
            <v>3290715</v>
          </cell>
          <cell r="J167">
            <v>3160023</v>
          </cell>
          <cell r="K167">
            <v>3166351</v>
          </cell>
          <cell r="L167">
            <v>3249371</v>
          </cell>
          <cell r="M167">
            <v>3461596</v>
          </cell>
          <cell r="N167">
            <v>3566533</v>
          </cell>
          <cell r="O167">
            <v>3436045</v>
          </cell>
          <cell r="P167">
            <v>3125847</v>
          </cell>
          <cell r="Q167">
            <v>3077601</v>
          </cell>
          <cell r="R167">
            <v>4125505</v>
          </cell>
          <cell r="S167">
            <v>3578087</v>
          </cell>
          <cell r="T167">
            <v>3400961</v>
          </cell>
          <cell r="U167">
            <v>3642181</v>
          </cell>
          <cell r="V167">
            <v>3276212</v>
          </cell>
          <cell r="W167">
            <v>3076578</v>
          </cell>
          <cell r="X167">
            <v>3051202</v>
          </cell>
          <cell r="Y167">
            <v>3401328</v>
          </cell>
          <cell r="Z167">
            <v>3707337</v>
          </cell>
          <cell r="AA167">
            <v>3237295</v>
          </cell>
          <cell r="AB167">
            <v>2910367</v>
          </cell>
          <cell r="AC167">
            <v>2797044</v>
          </cell>
          <cell r="AD167">
            <v>4062071</v>
          </cell>
          <cell r="AE167">
            <v>3506985</v>
          </cell>
          <cell r="AF167">
            <v>3188249</v>
          </cell>
          <cell r="AG167">
            <v>2805058</v>
          </cell>
          <cell r="AI167">
            <v>3160023</v>
          </cell>
        </row>
        <row r="168">
          <cell r="I168">
            <v>5271676</v>
          </cell>
          <cell r="J168">
            <v>4753449</v>
          </cell>
          <cell r="K168">
            <v>4702150</v>
          </cell>
          <cell r="L168">
            <v>4653395</v>
          </cell>
          <cell r="M168">
            <v>4961668</v>
          </cell>
          <cell r="N168">
            <v>5247200</v>
          </cell>
          <cell r="O168">
            <v>4688743</v>
          </cell>
          <cell r="P168">
            <v>4532799</v>
          </cell>
          <cell r="Q168">
            <v>4097078</v>
          </cell>
          <cell r="R168">
            <v>5253088</v>
          </cell>
          <cell r="S168">
            <v>4621543</v>
          </cell>
          <cell r="T168">
            <v>5097550</v>
          </cell>
          <cell r="U168">
            <v>5046922</v>
          </cell>
          <cell r="V168">
            <v>4683621</v>
          </cell>
          <cell r="W168">
            <v>4080780</v>
          </cell>
          <cell r="X168">
            <v>3846126</v>
          </cell>
          <cell r="Y168">
            <v>4099920</v>
          </cell>
          <cell r="Z168">
            <v>4486276</v>
          </cell>
          <cell r="AA168">
            <v>3973272</v>
          </cell>
          <cell r="AB168">
            <v>3525962</v>
          </cell>
          <cell r="AC168">
            <v>3668381</v>
          </cell>
          <cell r="AD168">
            <v>4743111</v>
          </cell>
          <cell r="AE168">
            <v>4237984</v>
          </cell>
          <cell r="AF168">
            <v>4128391</v>
          </cell>
          <cell r="AG168">
            <v>3642299</v>
          </cell>
          <cell r="AI168">
            <v>4753449</v>
          </cell>
        </row>
        <row r="169">
          <cell r="I169">
            <v>4754448</v>
          </cell>
          <cell r="J169">
            <v>4133156</v>
          </cell>
          <cell r="K169">
            <v>3955288</v>
          </cell>
          <cell r="L169">
            <v>4519150</v>
          </cell>
          <cell r="M169">
            <v>4706922</v>
          </cell>
          <cell r="N169">
            <v>5502880</v>
          </cell>
          <cell r="O169">
            <v>4584406</v>
          </cell>
          <cell r="P169">
            <v>3878477</v>
          </cell>
          <cell r="Q169">
            <v>4067383</v>
          </cell>
          <cell r="R169">
            <v>5125802</v>
          </cell>
          <cell r="S169">
            <v>4543236</v>
          </cell>
          <cell r="T169">
            <v>5022151</v>
          </cell>
          <cell r="U169">
            <v>4699041</v>
          </cell>
          <cell r="V169">
            <v>4672990</v>
          </cell>
          <cell r="W169">
            <v>4382532</v>
          </cell>
          <cell r="X169">
            <v>4217531</v>
          </cell>
          <cell r="Y169">
            <v>5187305</v>
          </cell>
          <cell r="Z169">
            <v>5677864</v>
          </cell>
          <cell r="AA169">
            <v>5217212</v>
          </cell>
          <cell r="AB169">
            <v>4072774</v>
          </cell>
          <cell r="AC169">
            <v>4100542</v>
          </cell>
          <cell r="AD169">
            <v>5182214</v>
          </cell>
          <cell r="AE169">
            <v>5168809</v>
          </cell>
          <cell r="AF169">
            <v>4878621</v>
          </cell>
          <cell r="AG169">
            <v>8003427</v>
          </cell>
          <cell r="AI169">
            <v>4133156</v>
          </cell>
        </row>
        <row r="170">
          <cell r="I170">
            <v>41361980</v>
          </cell>
          <cell r="J170">
            <v>30292659</v>
          </cell>
          <cell r="K170">
            <v>35196499</v>
          </cell>
          <cell r="L170">
            <v>29664705</v>
          </cell>
          <cell r="M170">
            <v>29192265</v>
          </cell>
          <cell r="N170">
            <v>32959276</v>
          </cell>
          <cell r="O170">
            <v>33143555</v>
          </cell>
          <cell r="P170">
            <v>32076377</v>
          </cell>
          <cell r="Q170">
            <v>36364397</v>
          </cell>
          <cell r="R170">
            <v>45714784</v>
          </cell>
          <cell r="S170">
            <v>37069394</v>
          </cell>
          <cell r="T170">
            <v>41657987</v>
          </cell>
          <cell r="U170">
            <v>39039149</v>
          </cell>
          <cell r="V170">
            <v>37546294</v>
          </cell>
          <cell r="W170">
            <v>33425631</v>
          </cell>
          <cell r="X170">
            <v>28095616</v>
          </cell>
          <cell r="Y170">
            <v>31183619</v>
          </cell>
          <cell r="Z170">
            <v>28692527</v>
          </cell>
          <cell r="AA170">
            <v>31100367</v>
          </cell>
          <cell r="AB170">
            <v>31303352</v>
          </cell>
          <cell r="AC170">
            <v>30408575</v>
          </cell>
          <cell r="AD170">
            <v>41202647</v>
          </cell>
          <cell r="AE170">
            <v>42739934</v>
          </cell>
          <cell r="AF170">
            <v>40093150</v>
          </cell>
          <cell r="AG170">
            <v>32463017</v>
          </cell>
          <cell r="AI170">
            <v>30292659</v>
          </cell>
        </row>
        <row r="171">
          <cell r="I171">
            <v>6941560</v>
          </cell>
          <cell r="J171">
            <v>5202480</v>
          </cell>
          <cell r="K171">
            <v>6261436</v>
          </cell>
          <cell r="L171">
            <v>5401399</v>
          </cell>
          <cell r="M171">
            <v>5353712</v>
          </cell>
          <cell r="N171">
            <v>5780401</v>
          </cell>
          <cell r="O171">
            <v>6034681</v>
          </cell>
          <cell r="P171">
            <v>5139312</v>
          </cell>
          <cell r="Q171">
            <v>7652250</v>
          </cell>
          <cell r="R171">
            <v>8369493</v>
          </cell>
          <cell r="S171">
            <v>7851041</v>
          </cell>
          <cell r="T171">
            <v>8368776</v>
          </cell>
          <cell r="U171">
            <v>7593514</v>
          </cell>
          <cell r="V171">
            <v>6087617</v>
          </cell>
          <cell r="W171">
            <v>6861480</v>
          </cell>
          <cell r="X171">
            <v>5743787</v>
          </cell>
          <cell r="Y171">
            <v>8802078</v>
          </cell>
          <cell r="Z171">
            <v>4144446</v>
          </cell>
          <cell r="AA171">
            <v>9299320</v>
          </cell>
          <cell r="AB171">
            <v>3798433</v>
          </cell>
          <cell r="AC171">
            <v>6601875</v>
          </cell>
          <cell r="AD171">
            <v>8007893</v>
          </cell>
          <cell r="AE171">
            <v>8352978</v>
          </cell>
          <cell r="AF171">
            <v>7015951</v>
          </cell>
          <cell r="AG171">
            <v>2726821</v>
          </cell>
          <cell r="AI171">
            <v>5202480</v>
          </cell>
        </row>
        <row r="172">
          <cell r="I172">
            <v>3428216</v>
          </cell>
          <cell r="J172">
            <v>3833243</v>
          </cell>
          <cell r="K172">
            <v>3703962</v>
          </cell>
          <cell r="L172">
            <v>4567616</v>
          </cell>
          <cell r="M172">
            <v>4141355</v>
          </cell>
          <cell r="N172">
            <v>4085233</v>
          </cell>
          <cell r="O172">
            <v>4208469</v>
          </cell>
          <cell r="P172">
            <v>4025090</v>
          </cell>
          <cell r="Q172">
            <v>4140702</v>
          </cell>
          <cell r="R172">
            <v>5081699</v>
          </cell>
          <cell r="S172">
            <v>4726003</v>
          </cell>
          <cell r="T172">
            <v>4722485</v>
          </cell>
          <cell r="U172">
            <v>4853853</v>
          </cell>
          <cell r="V172">
            <v>4523706</v>
          </cell>
          <cell r="W172">
            <v>4050039</v>
          </cell>
          <cell r="X172">
            <v>4109754</v>
          </cell>
          <cell r="Y172">
            <v>4236746</v>
          </cell>
          <cell r="Z172">
            <v>4600611</v>
          </cell>
          <cell r="AA172">
            <v>4794565</v>
          </cell>
          <cell r="AB172">
            <v>3651770</v>
          </cell>
          <cell r="AC172">
            <v>3859897</v>
          </cell>
          <cell r="AD172">
            <v>5024160</v>
          </cell>
          <cell r="AE172">
            <v>4434931</v>
          </cell>
          <cell r="AF172">
            <v>4534183</v>
          </cell>
          <cell r="AG172">
            <v>4215402</v>
          </cell>
          <cell r="AI172">
            <v>3833243</v>
          </cell>
        </row>
        <row r="173">
          <cell r="I173">
            <v>6385731</v>
          </cell>
          <cell r="J173">
            <v>5002697</v>
          </cell>
          <cell r="K173">
            <v>4634781</v>
          </cell>
          <cell r="L173">
            <v>5852843</v>
          </cell>
          <cell r="M173">
            <v>6002366</v>
          </cell>
          <cell r="N173">
            <v>5745454</v>
          </cell>
          <cell r="O173">
            <v>6423650</v>
          </cell>
          <cell r="P173">
            <v>4487063</v>
          </cell>
          <cell r="Q173">
            <v>4829527</v>
          </cell>
          <cell r="R173">
            <v>5308095</v>
          </cell>
          <cell r="S173">
            <v>5470540</v>
          </cell>
          <cell r="T173">
            <v>5784064</v>
          </cell>
          <cell r="U173">
            <v>5343752</v>
          </cell>
          <cell r="V173">
            <v>5116153</v>
          </cell>
          <cell r="W173">
            <v>4546773</v>
          </cell>
          <cell r="X173">
            <v>5011009</v>
          </cell>
          <cell r="Y173">
            <v>5422408</v>
          </cell>
          <cell r="Z173">
            <v>5899229</v>
          </cell>
          <cell r="AA173">
            <v>5717910</v>
          </cell>
          <cell r="AB173">
            <v>4489213</v>
          </cell>
          <cell r="AC173">
            <v>4206505</v>
          </cell>
          <cell r="AD173">
            <v>5668018</v>
          </cell>
          <cell r="AE173">
            <v>5650767</v>
          </cell>
          <cell r="AF173">
            <v>5676664</v>
          </cell>
          <cell r="AG173">
            <v>5343399</v>
          </cell>
          <cell r="AI173">
            <v>5002697</v>
          </cell>
        </row>
        <row r="175">
          <cell r="I175">
            <v>196377</v>
          </cell>
          <cell r="J175">
            <v>202622</v>
          </cell>
          <cell r="K175">
            <v>210090</v>
          </cell>
          <cell r="L175">
            <v>221678</v>
          </cell>
          <cell r="M175">
            <v>232669</v>
          </cell>
          <cell r="N175">
            <v>215159</v>
          </cell>
          <cell r="O175">
            <v>205993</v>
          </cell>
          <cell r="P175">
            <v>190603</v>
          </cell>
          <cell r="Q175">
            <v>206278</v>
          </cell>
          <cell r="R175">
            <v>211422</v>
          </cell>
          <cell r="S175">
            <v>202187</v>
          </cell>
          <cell r="T175">
            <v>204215</v>
          </cell>
          <cell r="U175">
            <v>199173</v>
          </cell>
          <cell r="V175">
            <v>193607</v>
          </cell>
          <cell r="W175">
            <v>192666</v>
          </cell>
          <cell r="X175">
            <v>209642</v>
          </cell>
          <cell r="Y175">
            <v>212304</v>
          </cell>
          <cell r="Z175">
            <v>234594</v>
          </cell>
          <cell r="AA175">
            <v>186176</v>
          </cell>
          <cell r="AB175">
            <v>179723</v>
          </cell>
          <cell r="AC175">
            <v>199047</v>
          </cell>
          <cell r="AD175">
            <v>197044</v>
          </cell>
          <cell r="AE175">
            <v>199324</v>
          </cell>
          <cell r="AF175">
            <v>186836</v>
          </cell>
          <cell r="AG175">
            <v>204048</v>
          </cell>
          <cell r="AI175">
            <v>202622</v>
          </cell>
        </row>
        <row r="176">
          <cell r="I176">
            <v>557885</v>
          </cell>
          <cell r="J176">
            <v>572367</v>
          </cell>
          <cell r="K176">
            <v>640463</v>
          </cell>
          <cell r="L176">
            <v>666808</v>
          </cell>
          <cell r="M176">
            <v>697514</v>
          </cell>
          <cell r="N176">
            <v>806248</v>
          </cell>
          <cell r="O176">
            <v>627722</v>
          </cell>
          <cell r="P176">
            <v>529068</v>
          </cell>
          <cell r="Q176">
            <v>495835</v>
          </cell>
          <cell r="R176">
            <v>501645</v>
          </cell>
          <cell r="S176">
            <v>563356</v>
          </cell>
          <cell r="T176">
            <v>516824</v>
          </cell>
          <cell r="U176">
            <v>551042</v>
          </cell>
          <cell r="V176">
            <v>609039</v>
          </cell>
          <cell r="W176">
            <v>568408</v>
          </cell>
          <cell r="X176">
            <v>626321</v>
          </cell>
          <cell r="Y176">
            <v>716643</v>
          </cell>
          <cell r="Z176">
            <v>757841</v>
          </cell>
          <cell r="AA176">
            <v>606805</v>
          </cell>
          <cell r="AB176">
            <v>486820</v>
          </cell>
          <cell r="AC176">
            <v>528339</v>
          </cell>
          <cell r="AD176">
            <v>494683</v>
          </cell>
          <cell r="AE176">
            <v>497949</v>
          </cell>
          <cell r="AF176">
            <v>516452</v>
          </cell>
          <cell r="AG176">
            <v>591750</v>
          </cell>
          <cell r="AI176">
            <v>572367</v>
          </cell>
        </row>
        <row r="177">
          <cell r="I177">
            <v>309405</v>
          </cell>
          <cell r="J177">
            <v>318972</v>
          </cell>
          <cell r="K177">
            <v>360377</v>
          </cell>
          <cell r="L177">
            <v>345103</v>
          </cell>
          <cell r="M177">
            <v>355602</v>
          </cell>
          <cell r="N177">
            <v>397876</v>
          </cell>
          <cell r="O177">
            <v>315962</v>
          </cell>
          <cell r="P177">
            <v>307907</v>
          </cell>
          <cell r="Q177">
            <v>337862</v>
          </cell>
          <cell r="R177">
            <v>314015</v>
          </cell>
          <cell r="S177">
            <v>334448</v>
          </cell>
          <cell r="T177">
            <v>323247</v>
          </cell>
          <cell r="U177">
            <v>323287</v>
          </cell>
          <cell r="V177">
            <v>317092</v>
          </cell>
          <cell r="W177">
            <v>435841</v>
          </cell>
          <cell r="X177">
            <v>434986</v>
          </cell>
          <cell r="Y177">
            <v>462582</v>
          </cell>
          <cell r="Z177">
            <v>507143</v>
          </cell>
          <cell r="AA177">
            <v>464696</v>
          </cell>
          <cell r="AB177">
            <v>383249</v>
          </cell>
          <cell r="AC177">
            <v>353830</v>
          </cell>
          <cell r="AD177">
            <v>462387</v>
          </cell>
          <cell r="AE177">
            <v>423182</v>
          </cell>
          <cell r="AF177">
            <v>451089</v>
          </cell>
          <cell r="AG177">
            <v>412193</v>
          </cell>
          <cell r="AI177">
            <v>318972</v>
          </cell>
        </row>
        <row r="178">
          <cell r="I178">
            <v>340168</v>
          </cell>
          <cell r="J178">
            <v>314355</v>
          </cell>
          <cell r="K178">
            <v>375761</v>
          </cell>
          <cell r="L178">
            <v>348304</v>
          </cell>
          <cell r="M178">
            <v>374091</v>
          </cell>
          <cell r="N178">
            <v>424373</v>
          </cell>
          <cell r="O178">
            <v>354567</v>
          </cell>
          <cell r="P178">
            <v>348025</v>
          </cell>
          <cell r="Q178">
            <v>350483</v>
          </cell>
          <cell r="R178">
            <v>351650</v>
          </cell>
          <cell r="S178">
            <v>383168</v>
          </cell>
          <cell r="T178">
            <v>355147</v>
          </cell>
          <cell r="U178">
            <v>347694</v>
          </cell>
          <cell r="V178">
            <v>369513</v>
          </cell>
          <cell r="W178">
            <v>389224</v>
          </cell>
          <cell r="X178">
            <v>407548</v>
          </cell>
          <cell r="Y178">
            <v>422572</v>
          </cell>
          <cell r="Z178">
            <v>454864</v>
          </cell>
          <cell r="AA178">
            <v>361685</v>
          </cell>
          <cell r="AB178">
            <v>370889</v>
          </cell>
          <cell r="AC178">
            <v>401358</v>
          </cell>
          <cell r="AD178">
            <v>375186</v>
          </cell>
          <cell r="AE178">
            <v>363379</v>
          </cell>
          <cell r="AF178">
            <v>399645</v>
          </cell>
          <cell r="AG178">
            <v>345613</v>
          </cell>
          <cell r="AI178">
            <v>314355</v>
          </cell>
        </row>
        <row r="179">
          <cell r="I179">
            <v>146720</v>
          </cell>
          <cell r="J179">
            <v>122599</v>
          </cell>
          <cell r="K179">
            <v>124435</v>
          </cell>
          <cell r="L179">
            <v>138412</v>
          </cell>
          <cell r="M179">
            <v>132564</v>
          </cell>
          <cell r="N179">
            <v>163159</v>
          </cell>
          <cell r="O179">
            <v>140374</v>
          </cell>
          <cell r="P179">
            <v>113270</v>
          </cell>
          <cell r="Q179">
            <v>140086</v>
          </cell>
          <cell r="R179">
            <v>127999</v>
          </cell>
          <cell r="S179">
            <v>130789</v>
          </cell>
          <cell r="T179">
            <v>133814</v>
          </cell>
          <cell r="U179">
            <v>139661</v>
          </cell>
          <cell r="V179">
            <v>134523</v>
          </cell>
          <cell r="W179">
            <v>141616</v>
          </cell>
          <cell r="X179">
            <v>134662</v>
          </cell>
          <cell r="Y179">
            <v>136909</v>
          </cell>
          <cell r="Z179">
            <v>165059</v>
          </cell>
          <cell r="AA179">
            <v>125435</v>
          </cell>
          <cell r="AB179">
            <v>119930</v>
          </cell>
          <cell r="AC179">
            <v>124206</v>
          </cell>
          <cell r="AD179">
            <v>141003</v>
          </cell>
          <cell r="AE179">
            <v>126399</v>
          </cell>
          <cell r="AF179">
            <v>131856</v>
          </cell>
          <cell r="AG179">
            <v>134816</v>
          </cell>
          <cell r="AI179">
            <v>122599</v>
          </cell>
        </row>
        <row r="180">
          <cell r="I180">
            <v>130294</v>
          </cell>
          <cell r="J180">
            <v>114725</v>
          </cell>
          <cell r="K180">
            <v>137817</v>
          </cell>
          <cell r="L180">
            <v>111087</v>
          </cell>
          <cell r="M180">
            <v>120615</v>
          </cell>
          <cell r="N180">
            <v>133824</v>
          </cell>
          <cell r="O180">
            <v>123603</v>
          </cell>
          <cell r="P180">
            <v>109683</v>
          </cell>
          <cell r="Q180">
            <v>113146</v>
          </cell>
          <cell r="R180">
            <v>116282</v>
          </cell>
          <cell r="S180">
            <v>119989</v>
          </cell>
          <cell r="T180">
            <v>118363</v>
          </cell>
          <cell r="U180">
            <v>109609</v>
          </cell>
          <cell r="V180">
            <v>111964</v>
          </cell>
          <cell r="W180">
            <v>99422</v>
          </cell>
          <cell r="X180">
            <v>114452</v>
          </cell>
          <cell r="Y180">
            <v>107802</v>
          </cell>
          <cell r="Z180">
            <v>124547</v>
          </cell>
          <cell r="AA180">
            <v>95224</v>
          </cell>
          <cell r="AB180">
            <v>96559</v>
          </cell>
          <cell r="AC180">
            <v>83987</v>
          </cell>
          <cell r="AD180">
            <v>88555</v>
          </cell>
          <cell r="AE180">
            <v>107282</v>
          </cell>
          <cell r="AF180">
            <v>89182</v>
          </cell>
          <cell r="AG180">
            <v>107997</v>
          </cell>
          <cell r="AI180">
            <v>114725</v>
          </cell>
        </row>
        <row r="181">
          <cell r="I181">
            <v>661605</v>
          </cell>
          <cell r="J181">
            <v>559829</v>
          </cell>
          <cell r="K181">
            <v>598647</v>
          </cell>
          <cell r="L181">
            <v>595369</v>
          </cell>
          <cell r="M181">
            <v>638022</v>
          </cell>
          <cell r="N181">
            <v>481254</v>
          </cell>
          <cell r="O181">
            <v>244414</v>
          </cell>
          <cell r="P181">
            <v>208983</v>
          </cell>
          <cell r="Q181">
            <v>217819</v>
          </cell>
          <cell r="R181">
            <v>261689</v>
          </cell>
          <cell r="S181">
            <v>236536</v>
          </cell>
          <cell r="T181">
            <v>243219</v>
          </cell>
          <cell r="U181">
            <v>244300</v>
          </cell>
          <cell r="V181">
            <v>226442</v>
          </cell>
          <cell r="W181">
            <v>243916</v>
          </cell>
          <cell r="X181">
            <v>245876</v>
          </cell>
          <cell r="Y181">
            <v>289714</v>
          </cell>
          <cell r="Z181">
            <v>298247</v>
          </cell>
          <cell r="AA181">
            <v>238779</v>
          </cell>
          <cell r="AB181">
            <v>221845</v>
          </cell>
          <cell r="AC181">
            <v>218239</v>
          </cell>
          <cell r="AD181">
            <v>255347</v>
          </cell>
          <cell r="AE181">
            <v>221816</v>
          </cell>
          <cell r="AF181">
            <v>244457</v>
          </cell>
          <cell r="AG181">
            <v>230003</v>
          </cell>
          <cell r="AI181">
            <v>559829</v>
          </cell>
        </row>
        <row r="182">
          <cell r="I182">
            <v>135397</v>
          </cell>
          <cell r="J182">
            <v>125684</v>
          </cell>
          <cell r="K182">
            <v>150483</v>
          </cell>
          <cell r="L182">
            <v>142787</v>
          </cell>
          <cell r="M182">
            <v>143240</v>
          </cell>
          <cell r="N182">
            <v>166182</v>
          </cell>
          <cell r="O182">
            <v>143312</v>
          </cell>
          <cell r="P182">
            <v>113795</v>
          </cell>
          <cell r="Q182">
            <v>170775</v>
          </cell>
          <cell r="R182">
            <v>148263</v>
          </cell>
          <cell r="S182">
            <v>137440</v>
          </cell>
          <cell r="T182">
            <v>149965</v>
          </cell>
          <cell r="U182">
            <v>136436</v>
          </cell>
          <cell r="V182">
            <v>150110</v>
          </cell>
          <cell r="W182">
            <v>155178</v>
          </cell>
          <cell r="X182">
            <v>153782</v>
          </cell>
          <cell r="Y182">
            <v>159372</v>
          </cell>
          <cell r="Z182">
            <v>189644</v>
          </cell>
          <cell r="AA182">
            <v>157472</v>
          </cell>
          <cell r="AB182">
            <v>146282</v>
          </cell>
          <cell r="AC182">
            <v>153173</v>
          </cell>
          <cell r="AD182">
            <v>42850</v>
          </cell>
          <cell r="AE182">
            <v>35084</v>
          </cell>
          <cell r="AF182">
            <v>41922</v>
          </cell>
          <cell r="AG182">
            <v>37594</v>
          </cell>
          <cell r="AI182">
            <v>125684</v>
          </cell>
        </row>
        <row r="183">
          <cell r="I183">
            <v>250121</v>
          </cell>
          <cell r="J183">
            <v>219247</v>
          </cell>
          <cell r="K183">
            <v>233107</v>
          </cell>
          <cell r="L183">
            <v>241469</v>
          </cell>
          <cell r="M183">
            <v>251838</v>
          </cell>
          <cell r="N183">
            <v>286856</v>
          </cell>
          <cell r="O183">
            <v>235662</v>
          </cell>
          <cell r="P183">
            <v>201354</v>
          </cell>
          <cell r="Q183">
            <v>224794</v>
          </cell>
          <cell r="R183">
            <v>234102</v>
          </cell>
          <cell r="S183">
            <v>223826</v>
          </cell>
          <cell r="T183">
            <v>271615</v>
          </cell>
          <cell r="U183">
            <v>238713</v>
          </cell>
          <cell r="V183">
            <v>227802</v>
          </cell>
          <cell r="W183">
            <v>295451</v>
          </cell>
          <cell r="X183">
            <v>284352</v>
          </cell>
          <cell r="Y183">
            <v>328096</v>
          </cell>
          <cell r="Z183">
            <v>353719</v>
          </cell>
          <cell r="AA183">
            <v>286234</v>
          </cell>
          <cell r="AB183">
            <v>466649</v>
          </cell>
          <cell r="AC183">
            <v>239475</v>
          </cell>
          <cell r="AD183">
            <v>645310</v>
          </cell>
          <cell r="AE183">
            <v>471844</v>
          </cell>
          <cell r="AF183">
            <v>720543</v>
          </cell>
          <cell r="AG183">
            <v>377437</v>
          </cell>
          <cell r="AI183">
            <v>219247</v>
          </cell>
        </row>
        <row r="184">
          <cell r="I184">
            <v>245625</v>
          </cell>
          <cell r="J184">
            <v>249462</v>
          </cell>
          <cell r="K184">
            <v>262176</v>
          </cell>
          <cell r="L184">
            <v>408713</v>
          </cell>
          <cell r="M184">
            <v>318053</v>
          </cell>
          <cell r="N184">
            <v>417283</v>
          </cell>
          <cell r="O184">
            <v>405198</v>
          </cell>
          <cell r="P184">
            <v>313707</v>
          </cell>
          <cell r="Q184">
            <v>593455</v>
          </cell>
          <cell r="R184">
            <v>334504</v>
          </cell>
          <cell r="S184">
            <v>611781</v>
          </cell>
          <cell r="T184">
            <v>536080</v>
          </cell>
          <cell r="U184">
            <v>390125</v>
          </cell>
          <cell r="V184">
            <v>340421</v>
          </cell>
          <cell r="W184">
            <v>198934</v>
          </cell>
          <cell r="X184">
            <v>203253</v>
          </cell>
          <cell r="Y184">
            <v>259960</v>
          </cell>
          <cell r="Z184">
            <v>249843</v>
          </cell>
          <cell r="AA184">
            <v>216971</v>
          </cell>
          <cell r="AB184">
            <v>149797</v>
          </cell>
          <cell r="AC184">
            <v>195415</v>
          </cell>
          <cell r="AD184">
            <v>191580</v>
          </cell>
          <cell r="AE184">
            <v>148138</v>
          </cell>
          <cell r="AF184">
            <v>161222</v>
          </cell>
          <cell r="AG184">
            <v>188381</v>
          </cell>
          <cell r="AI184">
            <v>249462</v>
          </cell>
        </row>
        <row r="185">
          <cell r="I185">
            <v>510842</v>
          </cell>
          <cell r="J185">
            <v>463113</v>
          </cell>
          <cell r="K185">
            <v>475246</v>
          </cell>
          <cell r="L185">
            <v>493071</v>
          </cell>
          <cell r="M185">
            <v>488713</v>
          </cell>
          <cell r="N185">
            <v>571766</v>
          </cell>
          <cell r="O185">
            <v>507418</v>
          </cell>
          <cell r="P185">
            <v>429739</v>
          </cell>
          <cell r="Q185">
            <v>459733</v>
          </cell>
          <cell r="R185">
            <v>492130</v>
          </cell>
          <cell r="S185">
            <v>476720</v>
          </cell>
          <cell r="T185">
            <v>522458</v>
          </cell>
          <cell r="U185">
            <v>492040</v>
          </cell>
          <cell r="V185">
            <v>469382</v>
          </cell>
          <cell r="W185">
            <v>524536</v>
          </cell>
          <cell r="X185">
            <v>469002</v>
          </cell>
          <cell r="Y185">
            <v>544693</v>
          </cell>
          <cell r="Z185">
            <v>571540</v>
          </cell>
          <cell r="AA185">
            <v>506535</v>
          </cell>
          <cell r="AB185">
            <v>440672</v>
          </cell>
          <cell r="AC185">
            <v>457528</v>
          </cell>
          <cell r="AD185">
            <v>511130</v>
          </cell>
          <cell r="AE185">
            <v>470819</v>
          </cell>
          <cell r="AF185">
            <v>522147</v>
          </cell>
          <cell r="AG185">
            <v>474099</v>
          </cell>
          <cell r="AI185">
            <v>463113</v>
          </cell>
        </row>
        <row r="186">
          <cell r="I186">
            <v>83193</v>
          </cell>
          <cell r="J186">
            <v>53923</v>
          </cell>
          <cell r="K186">
            <v>58028</v>
          </cell>
          <cell r="L186">
            <v>53762</v>
          </cell>
          <cell r="M186">
            <v>59052</v>
          </cell>
          <cell r="N186">
            <v>69130</v>
          </cell>
          <cell r="O186">
            <v>59084</v>
          </cell>
          <cell r="P186">
            <v>39418</v>
          </cell>
          <cell r="Q186">
            <v>40873</v>
          </cell>
          <cell r="R186">
            <v>42485</v>
          </cell>
          <cell r="S186">
            <v>43643</v>
          </cell>
          <cell r="T186">
            <v>51684</v>
          </cell>
          <cell r="U186">
            <v>48365</v>
          </cell>
          <cell r="V186">
            <v>50241</v>
          </cell>
          <cell r="W186">
            <v>50731</v>
          </cell>
          <cell r="X186">
            <v>49089</v>
          </cell>
          <cell r="Y186">
            <v>59923</v>
          </cell>
          <cell r="Z186">
            <v>56902</v>
          </cell>
          <cell r="AA186">
            <v>39829</v>
          </cell>
          <cell r="AB186">
            <v>34641</v>
          </cell>
          <cell r="AC186">
            <v>33087</v>
          </cell>
          <cell r="AD186">
            <v>38242</v>
          </cell>
          <cell r="AE186">
            <v>33786</v>
          </cell>
          <cell r="AF186">
            <v>39476</v>
          </cell>
          <cell r="AG186">
            <v>36756</v>
          </cell>
          <cell r="AI186">
            <v>53923</v>
          </cell>
        </row>
        <row r="187">
          <cell r="I187">
            <v>184191</v>
          </cell>
          <cell r="J187">
            <v>154690</v>
          </cell>
          <cell r="K187">
            <v>182307</v>
          </cell>
          <cell r="L187">
            <v>179458</v>
          </cell>
          <cell r="M187">
            <v>185640</v>
          </cell>
          <cell r="N187">
            <v>217412</v>
          </cell>
          <cell r="O187">
            <v>179457</v>
          </cell>
          <cell r="P187">
            <v>151673</v>
          </cell>
          <cell r="Q187">
            <v>162784</v>
          </cell>
          <cell r="R187">
            <v>166606</v>
          </cell>
          <cell r="S187">
            <v>154883</v>
          </cell>
          <cell r="T187">
            <v>177869</v>
          </cell>
          <cell r="U187">
            <v>175613</v>
          </cell>
          <cell r="V187">
            <v>175219</v>
          </cell>
          <cell r="W187">
            <v>168517</v>
          </cell>
          <cell r="X187">
            <v>164686</v>
          </cell>
          <cell r="Y187">
            <v>180729</v>
          </cell>
          <cell r="Z187">
            <v>202367</v>
          </cell>
          <cell r="AA187">
            <v>161935</v>
          </cell>
          <cell r="AB187">
            <v>140352</v>
          </cell>
          <cell r="AC187">
            <v>136551</v>
          </cell>
          <cell r="AD187">
            <v>137768</v>
          </cell>
          <cell r="AE187">
            <v>132535</v>
          </cell>
          <cell r="AF187">
            <v>142429</v>
          </cell>
          <cell r="AG187">
            <v>157363</v>
          </cell>
          <cell r="AI187">
            <v>154690</v>
          </cell>
        </row>
        <row r="188">
          <cell r="I188">
            <v>520945</v>
          </cell>
          <cell r="J188">
            <v>521096</v>
          </cell>
          <cell r="K188">
            <v>576500</v>
          </cell>
          <cell r="L188">
            <v>573442</v>
          </cell>
          <cell r="M188">
            <v>598878</v>
          </cell>
          <cell r="N188">
            <v>644492</v>
          </cell>
          <cell r="O188">
            <v>601424</v>
          </cell>
          <cell r="P188">
            <v>488536</v>
          </cell>
          <cell r="Q188">
            <v>474982</v>
          </cell>
          <cell r="R188">
            <v>446500</v>
          </cell>
          <cell r="S188">
            <v>515879</v>
          </cell>
          <cell r="T188">
            <v>524080</v>
          </cell>
          <cell r="U188">
            <v>465865</v>
          </cell>
          <cell r="V188">
            <v>509138</v>
          </cell>
          <cell r="W188">
            <v>527623</v>
          </cell>
          <cell r="X188">
            <v>531072</v>
          </cell>
          <cell r="Y188">
            <v>535318</v>
          </cell>
          <cell r="Z188">
            <v>591952</v>
          </cell>
          <cell r="AA188">
            <v>536078</v>
          </cell>
          <cell r="AB188">
            <v>423521</v>
          </cell>
          <cell r="AC188">
            <v>422593</v>
          </cell>
          <cell r="AD188">
            <v>504064</v>
          </cell>
          <cell r="AE188">
            <v>435668</v>
          </cell>
          <cell r="AF188">
            <v>504975</v>
          </cell>
          <cell r="AG188">
            <v>448440</v>
          </cell>
          <cell r="AI188">
            <v>521096</v>
          </cell>
        </row>
        <row r="189">
          <cell r="I189">
            <v>507026</v>
          </cell>
          <cell r="J189">
            <v>572125</v>
          </cell>
          <cell r="K189">
            <v>370657</v>
          </cell>
          <cell r="L189">
            <v>158100</v>
          </cell>
          <cell r="M189">
            <v>164911</v>
          </cell>
          <cell r="N189">
            <v>239667</v>
          </cell>
          <cell r="O189">
            <v>457411</v>
          </cell>
          <cell r="P189">
            <v>601624</v>
          </cell>
          <cell r="Q189">
            <v>546264</v>
          </cell>
          <cell r="R189">
            <v>612913</v>
          </cell>
          <cell r="S189">
            <v>535315</v>
          </cell>
          <cell r="T189">
            <v>556592</v>
          </cell>
          <cell r="U189">
            <v>623346</v>
          </cell>
          <cell r="V189">
            <v>554594</v>
          </cell>
          <cell r="W189">
            <v>721666</v>
          </cell>
          <cell r="X189">
            <v>455698</v>
          </cell>
          <cell r="Y189">
            <v>245024</v>
          </cell>
          <cell r="Z189">
            <v>451199</v>
          </cell>
          <cell r="AA189">
            <v>688939</v>
          </cell>
          <cell r="AB189">
            <v>589123</v>
          </cell>
          <cell r="AC189">
            <v>604240</v>
          </cell>
          <cell r="AD189">
            <v>660295</v>
          </cell>
          <cell r="AE189">
            <v>634088</v>
          </cell>
          <cell r="AF189">
            <v>603568</v>
          </cell>
          <cell r="AG189">
            <v>706323</v>
          </cell>
          <cell r="AI189">
            <v>572125</v>
          </cell>
        </row>
        <row r="190">
          <cell r="I190">
            <v>130509</v>
          </cell>
          <cell r="J190">
            <v>116922</v>
          </cell>
          <cell r="K190">
            <v>115208</v>
          </cell>
          <cell r="L190">
            <v>117515</v>
          </cell>
          <cell r="M190">
            <v>130442</v>
          </cell>
          <cell r="N190">
            <v>149210</v>
          </cell>
          <cell r="O190">
            <v>128193</v>
          </cell>
          <cell r="P190">
            <v>55489</v>
          </cell>
          <cell r="Q190">
            <v>70466</v>
          </cell>
          <cell r="R190">
            <v>72590</v>
          </cell>
          <cell r="S190">
            <v>78481</v>
          </cell>
          <cell r="T190">
            <v>83781</v>
          </cell>
          <cell r="U190">
            <v>87251</v>
          </cell>
          <cell r="V190">
            <v>77550</v>
          </cell>
          <cell r="W190">
            <v>94913</v>
          </cell>
          <cell r="X190">
            <v>88671</v>
          </cell>
          <cell r="Y190">
            <v>102889</v>
          </cell>
          <cell r="Z190">
            <v>122153</v>
          </cell>
          <cell r="AA190">
            <v>98481</v>
          </cell>
          <cell r="AB190">
            <v>82255</v>
          </cell>
          <cell r="AC190">
            <v>82261</v>
          </cell>
          <cell r="AD190">
            <v>93751</v>
          </cell>
          <cell r="AE190">
            <v>79702</v>
          </cell>
          <cell r="AF190">
            <v>87253</v>
          </cell>
          <cell r="AG190">
            <v>80902</v>
          </cell>
          <cell r="AI190">
            <v>116922</v>
          </cell>
        </row>
        <row r="191">
          <cell r="I191">
            <v>272225</v>
          </cell>
          <cell r="J191">
            <v>215932</v>
          </cell>
          <cell r="K191">
            <v>193662</v>
          </cell>
          <cell r="L191">
            <v>207842</v>
          </cell>
          <cell r="M191">
            <v>198895</v>
          </cell>
          <cell r="N191">
            <v>213502</v>
          </cell>
          <cell r="O191">
            <v>630988</v>
          </cell>
          <cell r="P191">
            <v>539930</v>
          </cell>
          <cell r="Q191">
            <v>552697</v>
          </cell>
          <cell r="R191">
            <v>577672</v>
          </cell>
          <cell r="S191">
            <v>583998</v>
          </cell>
          <cell r="T191">
            <v>614699</v>
          </cell>
          <cell r="U191">
            <v>573108</v>
          </cell>
          <cell r="V191">
            <v>562411</v>
          </cell>
          <cell r="W191">
            <v>618164</v>
          </cell>
          <cell r="X191">
            <v>549172</v>
          </cell>
          <cell r="Y191">
            <v>577272</v>
          </cell>
          <cell r="Z191">
            <v>644863</v>
          </cell>
          <cell r="AA191">
            <v>619394</v>
          </cell>
          <cell r="AB191">
            <v>524247</v>
          </cell>
          <cell r="AC191">
            <v>618307</v>
          </cell>
          <cell r="AD191">
            <v>770329</v>
          </cell>
          <cell r="AE191">
            <v>752612</v>
          </cell>
          <cell r="AF191">
            <v>778621</v>
          </cell>
          <cell r="AG191">
            <v>763814</v>
          </cell>
          <cell r="AI191">
            <v>215932</v>
          </cell>
        </row>
        <row r="192">
          <cell r="I192">
            <v>242610</v>
          </cell>
          <cell r="J192">
            <v>219094</v>
          </cell>
          <cell r="K192">
            <v>256806</v>
          </cell>
          <cell r="L192">
            <v>252304</v>
          </cell>
          <cell r="M192">
            <v>257007</v>
          </cell>
          <cell r="N192">
            <v>328871</v>
          </cell>
          <cell r="O192">
            <v>252315</v>
          </cell>
          <cell r="P192">
            <v>241173</v>
          </cell>
          <cell r="Q192">
            <v>281054</v>
          </cell>
          <cell r="R192">
            <v>306396</v>
          </cell>
          <cell r="S192">
            <v>278977</v>
          </cell>
          <cell r="T192">
            <v>325049</v>
          </cell>
          <cell r="U192">
            <v>294149</v>
          </cell>
          <cell r="V192">
            <v>281503</v>
          </cell>
          <cell r="W192">
            <v>301870</v>
          </cell>
          <cell r="X192">
            <v>277441</v>
          </cell>
          <cell r="Y192">
            <v>302947</v>
          </cell>
          <cell r="Z192">
            <v>315102</v>
          </cell>
          <cell r="AA192">
            <v>325996</v>
          </cell>
          <cell r="AB192">
            <v>277139</v>
          </cell>
          <cell r="AC192">
            <v>268336</v>
          </cell>
          <cell r="AD192">
            <v>289569</v>
          </cell>
          <cell r="AE192">
            <v>283282</v>
          </cell>
          <cell r="AF192">
            <v>320009</v>
          </cell>
          <cell r="AG192">
            <v>291981</v>
          </cell>
          <cell r="AI192">
            <v>219094</v>
          </cell>
        </row>
        <row r="193">
          <cell r="I193">
            <v>295894</v>
          </cell>
          <cell r="J193">
            <v>263312</v>
          </cell>
          <cell r="K193">
            <v>257808</v>
          </cell>
          <cell r="L193">
            <v>378431</v>
          </cell>
          <cell r="M193">
            <v>363438</v>
          </cell>
          <cell r="N193">
            <v>366602</v>
          </cell>
          <cell r="O193">
            <v>405017</v>
          </cell>
          <cell r="P193">
            <v>297053</v>
          </cell>
          <cell r="Q193">
            <v>330776</v>
          </cell>
          <cell r="R193">
            <v>367528</v>
          </cell>
          <cell r="S193">
            <v>324654</v>
          </cell>
          <cell r="T193">
            <v>377213</v>
          </cell>
          <cell r="U193">
            <v>331138</v>
          </cell>
          <cell r="V193">
            <v>324731</v>
          </cell>
          <cell r="W193">
            <v>347078</v>
          </cell>
          <cell r="X193">
            <v>333104</v>
          </cell>
          <cell r="Y193">
            <v>345553</v>
          </cell>
          <cell r="Z193">
            <v>346948</v>
          </cell>
          <cell r="AA193">
            <v>387871</v>
          </cell>
          <cell r="AB193">
            <v>303609</v>
          </cell>
          <cell r="AC193">
            <v>346022</v>
          </cell>
          <cell r="AD193">
            <v>372134</v>
          </cell>
          <cell r="AE193">
            <v>333766</v>
          </cell>
          <cell r="AF193">
            <v>439242</v>
          </cell>
          <cell r="AG193">
            <v>482635</v>
          </cell>
          <cell r="AI193">
            <v>263312</v>
          </cell>
        </row>
        <row r="194">
          <cell r="I194">
            <v>516424</v>
          </cell>
          <cell r="J194">
            <v>425361</v>
          </cell>
          <cell r="K194">
            <v>396133</v>
          </cell>
          <cell r="L194">
            <v>420612</v>
          </cell>
          <cell r="M194">
            <v>449843</v>
          </cell>
          <cell r="N194">
            <v>407574</v>
          </cell>
          <cell r="O194">
            <v>455465</v>
          </cell>
          <cell r="P194">
            <v>396920</v>
          </cell>
          <cell r="Q194">
            <v>401822</v>
          </cell>
          <cell r="R194">
            <v>458420</v>
          </cell>
          <cell r="S194">
            <v>403507</v>
          </cell>
          <cell r="T194">
            <v>383400</v>
          </cell>
          <cell r="U194">
            <v>429009</v>
          </cell>
          <cell r="V194">
            <v>395950</v>
          </cell>
          <cell r="W194">
            <v>355540</v>
          </cell>
          <cell r="X194">
            <v>421908</v>
          </cell>
          <cell r="Y194">
            <v>299058</v>
          </cell>
          <cell r="Z194">
            <v>375002</v>
          </cell>
          <cell r="AA194">
            <v>384231</v>
          </cell>
          <cell r="AB194">
            <v>350894</v>
          </cell>
          <cell r="AC194">
            <v>334624</v>
          </cell>
          <cell r="AD194">
            <v>363317</v>
          </cell>
          <cell r="AE194">
            <v>362990</v>
          </cell>
          <cell r="AF194">
            <v>354838</v>
          </cell>
          <cell r="AG194">
            <v>340595</v>
          </cell>
          <cell r="AI194">
            <v>425361</v>
          </cell>
        </row>
        <row r="196">
          <cell r="I196">
            <v>205112124</v>
          </cell>
          <cell r="J196">
            <v>202848316</v>
          </cell>
          <cell r="K196">
            <v>203989444</v>
          </cell>
          <cell r="L196">
            <v>210664463</v>
          </cell>
          <cell r="M196">
            <v>199665415</v>
          </cell>
          <cell r="N196">
            <v>214235837</v>
          </cell>
          <cell r="O196">
            <v>208908386</v>
          </cell>
          <cell r="P196">
            <v>193836458</v>
          </cell>
          <cell r="Q196">
            <v>200375192</v>
          </cell>
          <cell r="R196">
            <v>214162547</v>
          </cell>
          <cell r="S196">
            <v>216590814</v>
          </cell>
          <cell r="T196">
            <v>202276374</v>
          </cell>
          <cell r="U196">
            <v>207503184</v>
          </cell>
          <cell r="V196">
            <v>193534288</v>
          </cell>
          <cell r="W196">
            <v>186190487</v>
          </cell>
          <cell r="X196">
            <v>193247243</v>
          </cell>
          <cell r="Y196">
            <v>189329525</v>
          </cell>
          <cell r="Z196">
            <v>200981428</v>
          </cell>
          <cell r="AA196">
            <v>188617274</v>
          </cell>
          <cell r="AB196">
            <v>166610708</v>
          </cell>
          <cell r="AC196">
            <v>184433065</v>
          </cell>
          <cell r="AD196">
            <v>197180732</v>
          </cell>
          <cell r="AE196">
            <v>183361285</v>
          </cell>
          <cell r="AF196">
            <v>178217072</v>
          </cell>
          <cell r="AG196">
            <v>181634688</v>
          </cell>
          <cell r="AI196">
            <v>202848316</v>
          </cell>
        </row>
        <row r="197">
          <cell r="I197">
            <v>39922786</v>
          </cell>
          <cell r="J197">
            <v>37788267</v>
          </cell>
          <cell r="K197">
            <v>46631052</v>
          </cell>
          <cell r="L197">
            <v>48540260</v>
          </cell>
          <cell r="M197">
            <v>51937962</v>
          </cell>
          <cell r="N197">
            <v>57987314</v>
          </cell>
          <cell r="O197">
            <v>43603433</v>
          </cell>
          <cell r="P197">
            <v>36327112</v>
          </cell>
          <cell r="Q197">
            <v>44553502</v>
          </cell>
          <cell r="R197">
            <v>46413793</v>
          </cell>
          <cell r="S197">
            <v>53392729</v>
          </cell>
          <cell r="T197">
            <v>47322427</v>
          </cell>
          <cell r="U197">
            <v>44320363</v>
          </cell>
          <cell r="V197">
            <v>40684111</v>
          </cell>
          <cell r="W197">
            <v>41634918</v>
          </cell>
          <cell r="X197">
            <v>50758776</v>
          </cell>
          <cell r="Y197">
            <v>59108465</v>
          </cell>
          <cell r="Z197">
            <v>57838323</v>
          </cell>
          <cell r="AA197">
            <v>45686647</v>
          </cell>
          <cell r="AB197">
            <v>36506842</v>
          </cell>
          <cell r="AC197">
            <v>46571568</v>
          </cell>
          <cell r="AD197">
            <v>59429825</v>
          </cell>
          <cell r="AE197">
            <v>59479548</v>
          </cell>
          <cell r="AF197">
            <v>49127529</v>
          </cell>
          <cell r="AG197">
            <v>43406192</v>
          </cell>
          <cell r="AI197">
            <v>37788267</v>
          </cell>
        </row>
        <row r="198">
          <cell r="I198">
            <v>50268179</v>
          </cell>
          <cell r="J198">
            <v>47471168</v>
          </cell>
          <cell r="K198">
            <v>58327428</v>
          </cell>
          <cell r="L198">
            <v>58761143</v>
          </cell>
          <cell r="M198">
            <v>60827888</v>
          </cell>
          <cell r="N198">
            <v>66919610</v>
          </cell>
          <cell r="O198">
            <v>52009042</v>
          </cell>
          <cell r="P198">
            <v>45519262</v>
          </cell>
          <cell r="Q198">
            <v>53634992</v>
          </cell>
          <cell r="R198">
            <v>53855375</v>
          </cell>
          <cell r="S198">
            <v>61509285</v>
          </cell>
          <cell r="T198">
            <v>57070697</v>
          </cell>
          <cell r="U198">
            <v>53361394</v>
          </cell>
          <cell r="V198">
            <v>46866142</v>
          </cell>
          <cell r="W198">
            <v>50184833</v>
          </cell>
          <cell r="X198">
            <v>55125467</v>
          </cell>
          <cell r="Y198">
            <v>64509334</v>
          </cell>
          <cell r="Z198">
            <v>63845471</v>
          </cell>
          <cell r="AA198">
            <v>51919567</v>
          </cell>
          <cell r="AB198">
            <v>42590244</v>
          </cell>
          <cell r="AC198">
            <v>41760763</v>
          </cell>
          <cell r="AD198">
            <v>55078615</v>
          </cell>
          <cell r="AE198">
            <v>53827229</v>
          </cell>
          <cell r="AF198">
            <v>49159670</v>
          </cell>
          <cell r="AG198">
            <v>39928889</v>
          </cell>
          <cell r="AI198">
            <v>47471168</v>
          </cell>
        </row>
        <row r="199">
          <cell r="I199">
            <v>67522378</v>
          </cell>
          <cell r="J199">
            <v>61401542</v>
          </cell>
          <cell r="K199">
            <v>74292996</v>
          </cell>
          <cell r="L199">
            <v>74004622</v>
          </cell>
          <cell r="M199">
            <v>74759740</v>
          </cell>
          <cell r="N199">
            <v>78030507</v>
          </cell>
          <cell r="O199">
            <v>66543710</v>
          </cell>
          <cell r="P199">
            <v>60714492</v>
          </cell>
          <cell r="Q199">
            <v>70556771</v>
          </cell>
          <cell r="R199">
            <v>70964009</v>
          </cell>
          <cell r="S199">
            <v>75778441</v>
          </cell>
          <cell r="T199">
            <v>72127589</v>
          </cell>
          <cell r="U199">
            <v>71734448</v>
          </cell>
          <cell r="V199">
            <v>62906579</v>
          </cell>
          <cell r="W199">
            <v>68989949</v>
          </cell>
          <cell r="X199">
            <v>69676163</v>
          </cell>
          <cell r="Y199">
            <v>76910552</v>
          </cell>
          <cell r="Z199">
            <v>76897198</v>
          </cell>
          <cell r="AA199">
            <v>68919327</v>
          </cell>
          <cell r="AB199">
            <v>55772651</v>
          </cell>
          <cell r="AC199">
            <v>63174285</v>
          </cell>
          <cell r="AD199">
            <v>75929795</v>
          </cell>
          <cell r="AE199">
            <v>69633838</v>
          </cell>
          <cell r="AF199">
            <v>72835412</v>
          </cell>
          <cell r="AG199">
            <v>60068071</v>
          </cell>
          <cell r="AI199">
            <v>61401542</v>
          </cell>
        </row>
        <row r="200">
          <cell r="I200">
            <v>54436746</v>
          </cell>
          <cell r="J200">
            <v>49114835</v>
          </cell>
          <cell r="K200">
            <v>57674871</v>
          </cell>
          <cell r="L200">
            <v>63251380</v>
          </cell>
          <cell r="M200">
            <v>64482105</v>
          </cell>
          <cell r="N200">
            <v>68088946</v>
          </cell>
          <cell r="O200">
            <v>57750223</v>
          </cell>
          <cell r="P200">
            <v>47298301</v>
          </cell>
          <cell r="Q200">
            <v>52051521</v>
          </cell>
          <cell r="R200">
            <v>57793408</v>
          </cell>
          <cell r="S200">
            <v>58821847</v>
          </cell>
          <cell r="T200">
            <v>57450751</v>
          </cell>
          <cell r="U200">
            <v>51642803</v>
          </cell>
          <cell r="V200">
            <v>43628817</v>
          </cell>
          <cell r="W200">
            <v>51568350</v>
          </cell>
          <cell r="X200">
            <v>54952510</v>
          </cell>
          <cell r="Y200">
            <v>64836844</v>
          </cell>
          <cell r="Z200">
            <v>65739711</v>
          </cell>
          <cell r="AA200">
            <v>52207894</v>
          </cell>
          <cell r="AB200">
            <v>41973840</v>
          </cell>
          <cell r="AC200">
            <v>45521287</v>
          </cell>
          <cell r="AD200">
            <v>60870977</v>
          </cell>
          <cell r="AE200">
            <v>56016884</v>
          </cell>
          <cell r="AF200">
            <v>56291658</v>
          </cell>
          <cell r="AG200">
            <v>44942071</v>
          </cell>
          <cell r="AI200">
            <v>49114835</v>
          </cell>
        </row>
        <row r="201">
          <cell r="I201">
            <v>64029928</v>
          </cell>
          <cell r="J201">
            <v>58435310</v>
          </cell>
          <cell r="K201">
            <v>65479479</v>
          </cell>
          <cell r="L201">
            <v>70732769</v>
          </cell>
          <cell r="M201">
            <v>73001855</v>
          </cell>
          <cell r="N201">
            <v>73918974</v>
          </cell>
          <cell r="O201">
            <v>64750133</v>
          </cell>
          <cell r="P201">
            <v>46953785</v>
          </cell>
          <cell r="Q201">
            <v>52226919</v>
          </cell>
          <cell r="R201">
            <v>57118689</v>
          </cell>
          <cell r="S201">
            <v>59853812</v>
          </cell>
          <cell r="T201">
            <v>60820774</v>
          </cell>
          <cell r="U201">
            <v>55074978</v>
          </cell>
          <cell r="V201">
            <v>48744801</v>
          </cell>
          <cell r="W201">
            <v>51806556</v>
          </cell>
          <cell r="X201">
            <v>54689388</v>
          </cell>
          <cell r="Y201">
            <v>68752527</v>
          </cell>
          <cell r="Z201">
            <v>69245557</v>
          </cell>
          <cell r="AA201">
            <v>57420951</v>
          </cell>
          <cell r="AB201">
            <v>47881384</v>
          </cell>
          <cell r="AC201">
            <v>49503009</v>
          </cell>
          <cell r="AD201">
            <v>65255627</v>
          </cell>
          <cell r="AE201">
            <v>59846576</v>
          </cell>
          <cell r="AF201">
            <v>58668927</v>
          </cell>
          <cell r="AG201">
            <v>50061515</v>
          </cell>
          <cell r="AI201">
            <v>58435310</v>
          </cell>
        </row>
        <row r="202">
          <cell r="I202">
            <v>60089205</v>
          </cell>
          <cell r="J202">
            <v>54786404</v>
          </cell>
          <cell r="K202">
            <v>61699975</v>
          </cell>
          <cell r="L202">
            <v>63937314</v>
          </cell>
          <cell r="M202">
            <v>68462985</v>
          </cell>
          <cell r="N202">
            <v>72541095</v>
          </cell>
          <cell r="O202">
            <v>58809153</v>
          </cell>
          <cell r="P202">
            <v>57393131</v>
          </cell>
          <cell r="Q202">
            <v>61823426</v>
          </cell>
          <cell r="R202">
            <v>70706841</v>
          </cell>
          <cell r="S202">
            <v>70932193</v>
          </cell>
          <cell r="T202">
            <v>76931478</v>
          </cell>
          <cell r="U202">
            <v>67999358</v>
          </cell>
          <cell r="V202">
            <v>60836567</v>
          </cell>
          <cell r="W202">
            <v>65075820</v>
          </cell>
          <cell r="X202">
            <v>66212247</v>
          </cell>
          <cell r="Y202">
            <v>77162092</v>
          </cell>
          <cell r="Z202">
            <v>79381376</v>
          </cell>
          <cell r="AA202">
            <v>68904235</v>
          </cell>
          <cell r="AB202">
            <v>55807251</v>
          </cell>
          <cell r="AC202">
            <v>58953878</v>
          </cell>
          <cell r="AD202">
            <v>74769872</v>
          </cell>
          <cell r="AE202">
            <v>73290895</v>
          </cell>
          <cell r="AF202">
            <v>71767958</v>
          </cell>
          <cell r="AG202">
            <v>59367697</v>
          </cell>
          <cell r="AI202">
            <v>54786404</v>
          </cell>
        </row>
        <row r="203">
          <cell r="I203">
            <v>55563207</v>
          </cell>
          <cell r="J203">
            <v>51218857</v>
          </cell>
          <cell r="K203">
            <v>59327665</v>
          </cell>
          <cell r="L203">
            <v>64874873</v>
          </cell>
          <cell r="M203">
            <v>68338547</v>
          </cell>
          <cell r="N203">
            <v>72810995</v>
          </cell>
          <cell r="O203">
            <v>58084727</v>
          </cell>
          <cell r="P203">
            <v>49373867</v>
          </cell>
          <cell r="Q203">
            <v>51513199</v>
          </cell>
          <cell r="R203">
            <v>60426950</v>
          </cell>
          <cell r="S203">
            <v>61509116</v>
          </cell>
          <cell r="T203">
            <v>68791272</v>
          </cell>
          <cell r="U203">
            <v>61552172</v>
          </cell>
          <cell r="V203">
            <v>52848586</v>
          </cell>
          <cell r="W203">
            <v>59517321</v>
          </cell>
          <cell r="X203">
            <v>59225739</v>
          </cell>
          <cell r="Y203">
            <v>72427808</v>
          </cell>
          <cell r="Z203">
            <v>76517577</v>
          </cell>
          <cell r="AA203">
            <v>61257589</v>
          </cell>
          <cell r="AB203">
            <v>48740844</v>
          </cell>
          <cell r="AC203">
            <v>51054222</v>
          </cell>
          <cell r="AD203">
            <v>65895619</v>
          </cell>
          <cell r="AE203">
            <v>64114537</v>
          </cell>
          <cell r="AF203">
            <v>63136154</v>
          </cell>
          <cell r="AG203">
            <v>49670102</v>
          </cell>
          <cell r="AI203">
            <v>51218857</v>
          </cell>
        </row>
        <row r="204">
          <cell r="I204">
            <v>54947005</v>
          </cell>
          <cell r="J204">
            <v>49092642</v>
          </cell>
          <cell r="K204">
            <v>54613824</v>
          </cell>
          <cell r="L204">
            <v>61126604</v>
          </cell>
          <cell r="M204">
            <v>63430781</v>
          </cell>
          <cell r="N204">
            <v>68078237</v>
          </cell>
          <cell r="O204">
            <v>55347011</v>
          </cell>
          <cell r="P204">
            <v>47088872</v>
          </cell>
          <cell r="Q204">
            <v>50810695</v>
          </cell>
          <cell r="R204">
            <v>59933656</v>
          </cell>
          <cell r="S204">
            <v>58820353</v>
          </cell>
          <cell r="T204">
            <v>66267634</v>
          </cell>
          <cell r="U204">
            <v>57185372</v>
          </cell>
          <cell r="V204">
            <v>48282078</v>
          </cell>
          <cell r="W204">
            <v>57701158</v>
          </cell>
          <cell r="X204">
            <v>55662294</v>
          </cell>
          <cell r="Y204">
            <v>67483581</v>
          </cell>
          <cell r="Z204">
            <v>71903388</v>
          </cell>
          <cell r="AA204">
            <v>57356805</v>
          </cell>
          <cell r="AB204">
            <v>48538642</v>
          </cell>
          <cell r="AC204">
            <v>50366701</v>
          </cell>
          <cell r="AD204">
            <v>63191178</v>
          </cell>
          <cell r="AE204">
            <v>59149807</v>
          </cell>
          <cell r="AF204">
            <v>61053865</v>
          </cell>
          <cell r="AG204">
            <v>48678533</v>
          </cell>
          <cell r="AI204">
            <v>49092642</v>
          </cell>
        </row>
        <row r="205">
          <cell r="I205">
            <v>53940673</v>
          </cell>
          <cell r="J205">
            <v>46783033</v>
          </cell>
          <cell r="K205">
            <v>50871628</v>
          </cell>
          <cell r="L205">
            <v>58835131</v>
          </cell>
          <cell r="M205">
            <v>63035756</v>
          </cell>
          <cell r="N205">
            <v>64325267</v>
          </cell>
          <cell r="O205">
            <v>54434403</v>
          </cell>
          <cell r="P205">
            <v>43920251</v>
          </cell>
          <cell r="Q205">
            <v>47054168</v>
          </cell>
          <cell r="R205">
            <v>56876242</v>
          </cell>
          <cell r="S205">
            <v>55747399</v>
          </cell>
          <cell r="T205">
            <v>60328544</v>
          </cell>
          <cell r="U205">
            <v>55210981</v>
          </cell>
          <cell r="V205">
            <v>46362911</v>
          </cell>
          <cell r="W205">
            <v>52932693</v>
          </cell>
          <cell r="X205">
            <v>53812412</v>
          </cell>
          <cell r="Y205">
            <v>64849448</v>
          </cell>
          <cell r="Z205">
            <v>67828114</v>
          </cell>
          <cell r="AA205">
            <v>55169026</v>
          </cell>
          <cell r="AB205">
            <v>44953497</v>
          </cell>
          <cell r="AC205">
            <v>45990712</v>
          </cell>
          <cell r="AD205">
            <v>63068817</v>
          </cell>
          <cell r="AE205">
            <v>57864370</v>
          </cell>
          <cell r="AF205">
            <v>58500083</v>
          </cell>
          <cell r="AG205">
            <v>46798174</v>
          </cell>
          <cell r="AI205">
            <v>46783033</v>
          </cell>
        </row>
        <row r="206">
          <cell r="I206">
            <v>60545445</v>
          </cell>
          <cell r="J206">
            <v>53517450</v>
          </cell>
          <cell r="K206">
            <v>55091203</v>
          </cell>
          <cell r="L206">
            <v>66010056</v>
          </cell>
          <cell r="M206">
            <v>69190352</v>
          </cell>
          <cell r="N206">
            <v>73706650</v>
          </cell>
          <cell r="O206">
            <v>61682089</v>
          </cell>
          <cell r="P206">
            <v>49332334</v>
          </cell>
          <cell r="Q206">
            <v>54445689</v>
          </cell>
          <cell r="R206">
            <v>64512521</v>
          </cell>
          <cell r="S206">
            <v>62689051</v>
          </cell>
          <cell r="T206">
            <v>70257957</v>
          </cell>
          <cell r="U206">
            <v>63851387</v>
          </cell>
          <cell r="V206">
            <v>53419150</v>
          </cell>
          <cell r="W206">
            <v>56251479</v>
          </cell>
          <cell r="X206">
            <v>58184128</v>
          </cell>
          <cell r="Y206">
            <v>70169497</v>
          </cell>
          <cell r="Z206">
            <v>73695857</v>
          </cell>
          <cell r="AA206">
            <v>61448299</v>
          </cell>
          <cell r="AB206">
            <v>48133168</v>
          </cell>
          <cell r="AC206">
            <v>49733209</v>
          </cell>
          <cell r="AD206">
            <v>67047849</v>
          </cell>
          <cell r="AE206">
            <v>60283285</v>
          </cell>
          <cell r="AF206">
            <v>66470500</v>
          </cell>
          <cell r="AG206">
            <v>53021338</v>
          </cell>
          <cell r="AI206">
            <v>53517450</v>
          </cell>
        </row>
        <row r="207">
          <cell r="I207">
            <v>76281995</v>
          </cell>
          <cell r="J207">
            <v>64546137</v>
          </cell>
          <cell r="K207">
            <v>68235691</v>
          </cell>
          <cell r="L207">
            <v>76443009</v>
          </cell>
          <cell r="M207">
            <v>80641315</v>
          </cell>
          <cell r="N207">
            <v>86807693</v>
          </cell>
          <cell r="O207">
            <v>72502284</v>
          </cell>
          <cell r="P207">
            <v>59650326</v>
          </cell>
          <cell r="Q207">
            <v>62414278</v>
          </cell>
          <cell r="R207">
            <v>73972456</v>
          </cell>
          <cell r="S207">
            <v>70976321</v>
          </cell>
          <cell r="T207">
            <v>80925731</v>
          </cell>
          <cell r="U207">
            <v>71122379</v>
          </cell>
          <cell r="V207">
            <v>62490629</v>
          </cell>
          <cell r="W207">
            <v>67553936</v>
          </cell>
          <cell r="X207">
            <v>66358023</v>
          </cell>
          <cell r="Y207">
            <v>82460397</v>
          </cell>
          <cell r="Z207">
            <v>84341435</v>
          </cell>
          <cell r="AA207">
            <v>74772235</v>
          </cell>
          <cell r="AB207">
            <v>59263361</v>
          </cell>
          <cell r="AC207">
            <v>58798182</v>
          </cell>
          <cell r="AD207">
            <v>76822836</v>
          </cell>
          <cell r="AE207">
            <v>75339200</v>
          </cell>
          <cell r="AF207">
            <v>75529228</v>
          </cell>
          <cell r="AG207">
            <v>63100202</v>
          </cell>
          <cell r="AI207">
            <v>64546137</v>
          </cell>
        </row>
        <row r="208">
          <cell r="I208">
            <v>42261775</v>
          </cell>
          <cell r="J208">
            <v>36180225</v>
          </cell>
          <cell r="K208">
            <v>39098375</v>
          </cell>
          <cell r="L208">
            <v>46749590</v>
          </cell>
          <cell r="M208">
            <v>49518207</v>
          </cell>
          <cell r="N208">
            <v>54065403</v>
          </cell>
          <cell r="O208">
            <v>45179742</v>
          </cell>
          <cell r="P208">
            <v>35980056</v>
          </cell>
          <cell r="Q208">
            <v>35481712</v>
          </cell>
          <cell r="R208">
            <v>46033566</v>
          </cell>
          <cell r="S208">
            <v>43523841</v>
          </cell>
          <cell r="T208">
            <v>50170949</v>
          </cell>
          <cell r="U208">
            <v>44010409</v>
          </cell>
          <cell r="V208">
            <v>37005610</v>
          </cell>
          <cell r="W208">
            <v>47184750</v>
          </cell>
          <cell r="X208">
            <v>45948475</v>
          </cell>
          <cell r="Y208">
            <v>57937697</v>
          </cell>
          <cell r="Z208">
            <v>61585045</v>
          </cell>
          <cell r="AA208">
            <v>52600758</v>
          </cell>
          <cell r="AB208">
            <v>40173642</v>
          </cell>
          <cell r="AC208">
            <v>39527481</v>
          </cell>
          <cell r="AD208">
            <v>51637747</v>
          </cell>
          <cell r="AE208">
            <v>52618663</v>
          </cell>
          <cell r="AF208">
            <v>54487732</v>
          </cell>
          <cell r="AG208">
            <v>41498472</v>
          </cell>
          <cell r="AI208">
            <v>36180225</v>
          </cell>
        </row>
        <row r="209">
          <cell r="I209">
            <v>68940368</v>
          </cell>
          <cell r="J209">
            <v>60189911</v>
          </cell>
          <cell r="K209">
            <v>62761702</v>
          </cell>
          <cell r="L209">
            <v>73203484</v>
          </cell>
          <cell r="M209">
            <v>74172936</v>
          </cell>
          <cell r="N209">
            <v>83119802</v>
          </cell>
          <cell r="O209">
            <v>72610884</v>
          </cell>
          <cell r="P209">
            <v>60303918</v>
          </cell>
          <cell r="Q209">
            <v>57455251</v>
          </cell>
          <cell r="R209">
            <v>72071433</v>
          </cell>
          <cell r="S209">
            <v>65867665</v>
          </cell>
          <cell r="T209">
            <v>69701666</v>
          </cell>
          <cell r="U209">
            <v>62584670</v>
          </cell>
          <cell r="V209">
            <v>56199303</v>
          </cell>
          <cell r="W209">
            <v>58530183</v>
          </cell>
          <cell r="X209">
            <v>57838405</v>
          </cell>
          <cell r="Y209">
            <v>67898684</v>
          </cell>
          <cell r="Z209">
            <v>74168121</v>
          </cell>
          <cell r="AA209">
            <v>63156861</v>
          </cell>
          <cell r="AB209">
            <v>52285141</v>
          </cell>
          <cell r="AC209">
            <v>50990051</v>
          </cell>
          <cell r="AD209">
            <v>63131608</v>
          </cell>
          <cell r="AE209">
            <v>62021837</v>
          </cell>
          <cell r="AF209">
            <v>63932576</v>
          </cell>
          <cell r="AG209">
            <v>52102522</v>
          </cell>
          <cell r="AI209">
            <v>60189911</v>
          </cell>
        </row>
        <row r="210">
          <cell r="I210">
            <v>61647334</v>
          </cell>
          <cell r="J210">
            <v>52857831</v>
          </cell>
          <cell r="K210">
            <v>53191134</v>
          </cell>
          <cell r="L210">
            <v>62028535</v>
          </cell>
          <cell r="M210">
            <v>65628717</v>
          </cell>
          <cell r="N210">
            <v>71478257</v>
          </cell>
          <cell r="O210">
            <v>61291333</v>
          </cell>
          <cell r="P210">
            <v>51331035</v>
          </cell>
          <cell r="Q210">
            <v>49990132</v>
          </cell>
          <cell r="R210">
            <v>61841804</v>
          </cell>
          <cell r="S210">
            <v>59433128</v>
          </cell>
          <cell r="T210">
            <v>71717485</v>
          </cell>
          <cell r="U210">
            <v>66003262</v>
          </cell>
          <cell r="V210">
            <v>58418882</v>
          </cell>
          <cell r="W210">
            <v>55626857</v>
          </cell>
          <cell r="X210">
            <v>54791510</v>
          </cell>
          <cell r="Y210">
            <v>66515043</v>
          </cell>
          <cell r="Z210">
            <v>71756727</v>
          </cell>
          <cell r="AA210">
            <v>63333490</v>
          </cell>
          <cell r="AB210">
            <v>50451005</v>
          </cell>
          <cell r="AC210">
            <v>50132519</v>
          </cell>
          <cell r="AD210">
            <v>64063076</v>
          </cell>
          <cell r="AE210">
            <v>60532343</v>
          </cell>
          <cell r="AF210">
            <v>64782339</v>
          </cell>
          <cell r="AG210">
            <v>51002940</v>
          </cell>
          <cell r="AI210">
            <v>52857831</v>
          </cell>
        </row>
        <row r="211">
          <cell r="I211">
            <v>62675813</v>
          </cell>
          <cell r="J211">
            <v>56692139</v>
          </cell>
          <cell r="K211">
            <v>53606801</v>
          </cell>
          <cell r="L211">
            <v>63463526</v>
          </cell>
          <cell r="M211">
            <v>67451507</v>
          </cell>
          <cell r="N211">
            <v>73196042</v>
          </cell>
          <cell r="O211">
            <v>69284325</v>
          </cell>
          <cell r="P211">
            <v>55607151</v>
          </cell>
          <cell r="Q211">
            <v>55897708</v>
          </cell>
          <cell r="R211">
            <v>69333240</v>
          </cell>
          <cell r="S211">
            <v>69551039</v>
          </cell>
          <cell r="T211">
            <v>74084770</v>
          </cell>
          <cell r="U211">
            <v>68139551</v>
          </cell>
          <cell r="V211">
            <v>62927505</v>
          </cell>
          <cell r="W211">
            <v>65956306</v>
          </cell>
          <cell r="X211">
            <v>67064680</v>
          </cell>
          <cell r="Y211">
            <v>79974599</v>
          </cell>
          <cell r="Z211">
            <v>82006907</v>
          </cell>
          <cell r="AA211">
            <v>77057847</v>
          </cell>
          <cell r="AB211">
            <v>60225422</v>
          </cell>
          <cell r="AC211">
            <v>60190184</v>
          </cell>
          <cell r="AD211">
            <v>73938979</v>
          </cell>
          <cell r="AE211">
            <v>73549941</v>
          </cell>
          <cell r="AF211">
            <v>76248504</v>
          </cell>
          <cell r="AG211">
            <v>63006278</v>
          </cell>
          <cell r="AI211">
            <v>56692139</v>
          </cell>
        </row>
        <row r="212">
          <cell r="I212">
            <v>104741027</v>
          </cell>
          <cell r="J212">
            <v>85140167</v>
          </cell>
          <cell r="K212">
            <v>90639039</v>
          </cell>
          <cell r="L212">
            <v>94051914</v>
          </cell>
          <cell r="M212">
            <v>94660386</v>
          </cell>
          <cell r="N212">
            <v>105061839</v>
          </cell>
          <cell r="O212">
            <v>101411967</v>
          </cell>
          <cell r="P212">
            <v>86225273</v>
          </cell>
          <cell r="Q212">
            <v>90137061</v>
          </cell>
          <cell r="R212">
            <v>109307984</v>
          </cell>
          <cell r="S212">
            <v>98540857</v>
          </cell>
          <cell r="T212">
            <v>110118576</v>
          </cell>
          <cell r="U212">
            <v>100896865</v>
          </cell>
          <cell r="V212">
            <v>94299085</v>
          </cell>
          <cell r="W212">
            <v>94182735</v>
          </cell>
          <cell r="X212">
            <v>87852055</v>
          </cell>
          <cell r="Y212">
            <v>102194945</v>
          </cell>
          <cell r="Z212">
            <v>103712365</v>
          </cell>
          <cell r="AA212">
            <v>102202508</v>
          </cell>
          <cell r="AB212">
            <v>86056196</v>
          </cell>
          <cell r="AC212">
            <v>82756364</v>
          </cell>
          <cell r="AD212">
            <v>105262668</v>
          </cell>
          <cell r="AE212">
            <v>109867451</v>
          </cell>
          <cell r="AF212">
            <v>107704446</v>
          </cell>
          <cell r="AG212">
            <v>87699009</v>
          </cell>
          <cell r="AI212">
            <v>85140167</v>
          </cell>
        </row>
        <row r="213">
          <cell r="I213">
            <v>60820665</v>
          </cell>
          <cell r="J213">
            <v>50009384</v>
          </cell>
          <cell r="K213">
            <v>52231056</v>
          </cell>
          <cell r="L213">
            <v>60473482</v>
          </cell>
          <cell r="M213">
            <v>61571184</v>
          </cell>
          <cell r="N213">
            <v>64662390</v>
          </cell>
          <cell r="O213">
            <v>68461812</v>
          </cell>
          <cell r="P213">
            <v>49247782</v>
          </cell>
          <cell r="Q213">
            <v>52846119</v>
          </cell>
          <cell r="R213">
            <v>59039951</v>
          </cell>
          <cell r="S213">
            <v>58727006</v>
          </cell>
          <cell r="T213">
            <v>64915094</v>
          </cell>
          <cell r="U213">
            <v>58538576</v>
          </cell>
          <cell r="V213">
            <v>53442647</v>
          </cell>
          <cell r="W213">
            <v>54967800</v>
          </cell>
          <cell r="X213">
            <v>54627534</v>
          </cell>
          <cell r="Y213">
            <v>67309523</v>
          </cell>
          <cell r="Z213">
            <v>65698659</v>
          </cell>
          <cell r="AA213">
            <v>70370265</v>
          </cell>
          <cell r="AB213">
            <v>47460104</v>
          </cell>
          <cell r="AC213">
            <v>47384550</v>
          </cell>
          <cell r="AD213">
            <v>59378415</v>
          </cell>
          <cell r="AE213">
            <v>63811106</v>
          </cell>
          <cell r="AF213">
            <v>64659036</v>
          </cell>
          <cell r="AG213">
            <v>49664224</v>
          </cell>
          <cell r="AI213">
            <v>50009384</v>
          </cell>
        </row>
        <row r="214">
          <cell r="I214">
            <v>63297050</v>
          </cell>
          <cell r="J214">
            <v>54772569</v>
          </cell>
          <cell r="K214">
            <v>52350527</v>
          </cell>
          <cell r="L214">
            <v>70260236</v>
          </cell>
          <cell r="M214">
            <v>64892765</v>
          </cell>
          <cell r="N214">
            <v>65220767</v>
          </cell>
          <cell r="O214">
            <v>74312881</v>
          </cell>
          <cell r="P214">
            <v>54611698</v>
          </cell>
          <cell r="Q214">
            <v>52279253</v>
          </cell>
          <cell r="R214">
            <v>62809825</v>
          </cell>
          <cell r="S214">
            <v>60677629</v>
          </cell>
          <cell r="T214">
            <v>65816366</v>
          </cell>
          <cell r="U214">
            <v>63044397</v>
          </cell>
          <cell r="V214">
            <v>56668456</v>
          </cell>
          <cell r="W214">
            <v>56747818</v>
          </cell>
          <cell r="X214">
            <v>60551639</v>
          </cell>
          <cell r="Y214">
            <v>69732779</v>
          </cell>
          <cell r="Z214">
            <v>69381526</v>
          </cell>
          <cell r="AA214">
            <v>71336410</v>
          </cell>
          <cell r="AB214">
            <v>54495541</v>
          </cell>
          <cell r="AC214">
            <v>52654596</v>
          </cell>
          <cell r="AD214">
            <v>57921825</v>
          </cell>
          <cell r="AE214">
            <v>59779001</v>
          </cell>
          <cell r="AF214">
            <v>61416732</v>
          </cell>
          <cell r="AG214">
            <v>51108828</v>
          </cell>
          <cell r="AI214">
            <v>54772569</v>
          </cell>
        </row>
        <row r="215">
          <cell r="I215">
            <v>150553026</v>
          </cell>
          <cell r="J215">
            <v>71858126</v>
          </cell>
          <cell r="K215">
            <v>103518888</v>
          </cell>
          <cell r="L215">
            <v>134562713</v>
          </cell>
          <cell r="M215">
            <v>107007775</v>
          </cell>
          <cell r="N215">
            <v>119713352</v>
          </cell>
          <cell r="O215">
            <v>132009728</v>
          </cell>
          <cell r="P215">
            <v>97895758</v>
          </cell>
          <cell r="Q215">
            <v>104476407</v>
          </cell>
          <cell r="R215">
            <v>111328431</v>
          </cell>
          <cell r="S215">
            <v>112015920</v>
          </cell>
          <cell r="T215">
            <v>120414097</v>
          </cell>
          <cell r="U215">
            <v>115312844</v>
          </cell>
          <cell r="V215">
            <v>106672945</v>
          </cell>
          <cell r="W215">
            <v>106754501</v>
          </cell>
          <cell r="X215">
            <v>113663372</v>
          </cell>
          <cell r="Y215">
            <v>112893412</v>
          </cell>
          <cell r="Z215">
            <v>130165678</v>
          </cell>
          <cell r="AA215">
            <v>125663344</v>
          </cell>
          <cell r="AB215">
            <v>104995620</v>
          </cell>
          <cell r="AC215">
            <v>108795962</v>
          </cell>
          <cell r="AD215">
            <v>101272906</v>
          </cell>
          <cell r="AE215">
            <v>114013360</v>
          </cell>
          <cell r="AF215">
            <v>128772711</v>
          </cell>
          <cell r="AG215">
            <v>96838891</v>
          </cell>
          <cell r="AI215">
            <v>71858126</v>
          </cell>
        </row>
        <row r="217">
          <cell r="I217">
            <v>785442</v>
          </cell>
          <cell r="J217">
            <v>1072325</v>
          </cell>
          <cell r="K217">
            <v>1627854</v>
          </cell>
          <cell r="L217">
            <v>1737004</v>
          </cell>
          <cell r="M217">
            <v>1926605</v>
          </cell>
          <cell r="N217">
            <v>2192924</v>
          </cell>
          <cell r="O217">
            <v>1149141</v>
          </cell>
          <cell r="P217">
            <v>707537</v>
          </cell>
          <cell r="Q217">
            <v>667603</v>
          </cell>
          <cell r="R217">
            <v>717285</v>
          </cell>
          <cell r="S217">
            <v>860877</v>
          </cell>
          <cell r="T217">
            <v>706425</v>
          </cell>
          <cell r="U217">
            <v>698515</v>
          </cell>
          <cell r="V217">
            <v>916904</v>
          </cell>
          <cell r="W217">
            <v>1115875</v>
          </cell>
          <cell r="X217">
            <v>1506023</v>
          </cell>
          <cell r="Y217">
            <v>1904968</v>
          </cell>
          <cell r="Z217">
            <v>1815087</v>
          </cell>
          <cell r="AA217">
            <v>1204159</v>
          </cell>
          <cell r="AB217">
            <v>801691</v>
          </cell>
          <cell r="AC217">
            <v>666826</v>
          </cell>
          <cell r="AD217">
            <v>844330</v>
          </cell>
          <cell r="AE217">
            <v>771380</v>
          </cell>
          <cell r="AF217">
            <v>656764</v>
          </cell>
          <cell r="AG217">
            <v>662484</v>
          </cell>
          <cell r="AI217">
            <v>1072325</v>
          </cell>
        </row>
        <row r="218">
          <cell r="I218">
            <v>1134702</v>
          </cell>
          <cell r="J218">
            <v>1447186</v>
          </cell>
          <cell r="K218">
            <v>2197994</v>
          </cell>
          <cell r="L218">
            <v>2504847</v>
          </cell>
          <cell r="M218">
            <v>2721542</v>
          </cell>
          <cell r="N218">
            <v>3091731</v>
          </cell>
          <cell r="O218">
            <v>1040473</v>
          </cell>
          <cell r="P218">
            <v>641737</v>
          </cell>
          <cell r="Q218">
            <v>632153</v>
          </cell>
          <cell r="R218">
            <v>658864</v>
          </cell>
          <cell r="S218">
            <v>777850</v>
          </cell>
          <cell r="T218">
            <v>686088</v>
          </cell>
          <cell r="U218">
            <v>617205</v>
          </cell>
          <cell r="V218">
            <v>758446</v>
          </cell>
          <cell r="W218">
            <v>1088753</v>
          </cell>
          <cell r="X218">
            <v>1321231</v>
          </cell>
          <cell r="Y218">
            <v>1858273</v>
          </cell>
          <cell r="Z218">
            <v>1707321</v>
          </cell>
          <cell r="AA218">
            <v>1108627</v>
          </cell>
          <cell r="AB218">
            <v>753706</v>
          </cell>
          <cell r="AC218">
            <v>624482</v>
          </cell>
          <cell r="AD218">
            <v>787028</v>
          </cell>
          <cell r="AE218">
            <v>733955</v>
          </cell>
          <cell r="AF218">
            <v>661851</v>
          </cell>
          <cell r="AG218">
            <v>566306</v>
          </cell>
          <cell r="AI218">
            <v>1447186</v>
          </cell>
        </row>
        <row r="219">
          <cell r="I219">
            <v>1016314</v>
          </cell>
          <cell r="J219">
            <v>1261852</v>
          </cell>
          <cell r="K219">
            <v>1755208</v>
          </cell>
          <cell r="L219">
            <v>2128296</v>
          </cell>
          <cell r="M219">
            <v>2307742</v>
          </cell>
          <cell r="N219">
            <v>2535678</v>
          </cell>
          <cell r="O219">
            <v>658591</v>
          </cell>
          <cell r="P219">
            <v>418442</v>
          </cell>
          <cell r="Q219">
            <v>418134</v>
          </cell>
          <cell r="R219">
            <v>482739</v>
          </cell>
          <cell r="S219">
            <v>519825</v>
          </cell>
          <cell r="T219">
            <v>503762</v>
          </cell>
          <cell r="U219">
            <v>444993</v>
          </cell>
          <cell r="V219">
            <v>494510</v>
          </cell>
          <cell r="W219">
            <v>688639</v>
          </cell>
          <cell r="X219">
            <v>803537</v>
          </cell>
          <cell r="Y219">
            <v>1080727</v>
          </cell>
          <cell r="Z219">
            <v>1081781</v>
          </cell>
          <cell r="AA219">
            <v>673166</v>
          </cell>
          <cell r="AB219">
            <v>456784</v>
          </cell>
          <cell r="AC219">
            <v>424225</v>
          </cell>
          <cell r="AD219">
            <v>524843</v>
          </cell>
          <cell r="AE219">
            <v>471860</v>
          </cell>
          <cell r="AF219">
            <v>476047</v>
          </cell>
          <cell r="AG219">
            <v>377845</v>
          </cell>
          <cell r="AI219">
            <v>1261852</v>
          </cell>
        </row>
        <row r="220">
          <cell r="I220">
            <v>1255407</v>
          </cell>
          <cell r="J220">
            <v>1562240</v>
          </cell>
          <cell r="K220">
            <v>2258658</v>
          </cell>
          <cell r="L220">
            <v>2679702</v>
          </cell>
          <cell r="M220">
            <v>2966487</v>
          </cell>
          <cell r="N220">
            <v>3120554</v>
          </cell>
          <cell r="O220">
            <v>929299</v>
          </cell>
          <cell r="P220">
            <v>518911</v>
          </cell>
          <cell r="Q220">
            <v>532735</v>
          </cell>
          <cell r="R220">
            <v>579422</v>
          </cell>
          <cell r="S220">
            <v>629158</v>
          </cell>
          <cell r="T220">
            <v>630720</v>
          </cell>
          <cell r="U220">
            <v>533568</v>
          </cell>
          <cell r="V220">
            <v>639795</v>
          </cell>
          <cell r="W220">
            <v>893959</v>
          </cell>
          <cell r="X220">
            <v>1043181</v>
          </cell>
          <cell r="Y220">
            <v>1452050</v>
          </cell>
          <cell r="Z220">
            <v>1357494</v>
          </cell>
          <cell r="AA220">
            <v>944988</v>
          </cell>
          <cell r="AB220">
            <v>590824</v>
          </cell>
          <cell r="AC220">
            <v>521785</v>
          </cell>
          <cell r="AD220">
            <v>648247</v>
          </cell>
          <cell r="AE220">
            <v>575555</v>
          </cell>
          <cell r="AF220">
            <v>569772</v>
          </cell>
          <cell r="AG220">
            <v>505700</v>
          </cell>
          <cell r="AI220">
            <v>1562240</v>
          </cell>
        </row>
        <row r="221">
          <cell r="I221">
            <v>1096231</v>
          </cell>
          <cell r="J221">
            <v>1482495</v>
          </cell>
          <cell r="K221">
            <v>2017679</v>
          </cell>
          <cell r="L221">
            <v>2451893</v>
          </cell>
          <cell r="M221">
            <v>2900341</v>
          </cell>
          <cell r="N221">
            <v>2822550</v>
          </cell>
          <cell r="O221">
            <v>1561896</v>
          </cell>
          <cell r="P221">
            <v>832105</v>
          </cell>
          <cell r="Q221">
            <v>806803</v>
          </cell>
          <cell r="R221">
            <v>972186</v>
          </cell>
          <cell r="S221">
            <v>990700</v>
          </cell>
          <cell r="T221">
            <v>948420</v>
          </cell>
          <cell r="U221">
            <v>852655</v>
          </cell>
          <cell r="V221">
            <v>961763</v>
          </cell>
          <cell r="W221">
            <v>1482875</v>
          </cell>
          <cell r="X221">
            <v>1717162</v>
          </cell>
          <cell r="Y221">
            <v>2450051</v>
          </cell>
          <cell r="Z221">
            <v>2289746</v>
          </cell>
          <cell r="AA221">
            <v>1643049</v>
          </cell>
          <cell r="AB221">
            <v>946026</v>
          </cell>
          <cell r="AC221">
            <v>859330</v>
          </cell>
          <cell r="AD221">
            <v>1090945</v>
          </cell>
          <cell r="AE221">
            <v>927389</v>
          </cell>
          <cell r="AF221">
            <v>934883</v>
          </cell>
          <cell r="AG221">
            <v>817751</v>
          </cell>
          <cell r="AI221">
            <v>1482495</v>
          </cell>
        </row>
        <row r="222">
          <cell r="I222">
            <v>1214484</v>
          </cell>
          <cell r="J222">
            <v>1582138</v>
          </cell>
          <cell r="K222">
            <v>2075767</v>
          </cell>
          <cell r="L222">
            <v>2671224</v>
          </cell>
          <cell r="M222">
            <v>3003057</v>
          </cell>
          <cell r="N222">
            <v>3118814</v>
          </cell>
          <cell r="O222">
            <v>1044194</v>
          </cell>
          <cell r="P222">
            <v>612130</v>
          </cell>
          <cell r="Q222">
            <v>548034</v>
          </cell>
          <cell r="R222">
            <v>603658</v>
          </cell>
          <cell r="S222">
            <v>652455</v>
          </cell>
          <cell r="T222">
            <v>657878</v>
          </cell>
          <cell r="U222">
            <v>572266</v>
          </cell>
          <cell r="V222">
            <v>674144</v>
          </cell>
          <cell r="W222">
            <v>953955</v>
          </cell>
          <cell r="X222">
            <v>1113409</v>
          </cell>
          <cell r="Y222">
            <v>1579366</v>
          </cell>
          <cell r="Z222">
            <v>1573170</v>
          </cell>
          <cell r="AA222">
            <v>1104593</v>
          </cell>
          <cell r="AB222">
            <v>638029</v>
          </cell>
          <cell r="AC222">
            <v>564971</v>
          </cell>
          <cell r="AD222">
            <v>683679</v>
          </cell>
          <cell r="AE222">
            <v>612579</v>
          </cell>
          <cell r="AF222">
            <v>582948</v>
          </cell>
          <cell r="AG222">
            <v>542544</v>
          </cell>
          <cell r="AI222">
            <v>1582138</v>
          </cell>
        </row>
        <row r="223">
          <cell r="I223">
            <v>1177510</v>
          </cell>
          <cell r="J223">
            <v>1546394</v>
          </cell>
          <cell r="K223">
            <v>1991725</v>
          </cell>
          <cell r="L223">
            <v>2633944</v>
          </cell>
          <cell r="M223">
            <v>2915612</v>
          </cell>
          <cell r="N223">
            <v>3082510</v>
          </cell>
          <cell r="O223">
            <v>434911</v>
          </cell>
          <cell r="P223">
            <v>279748</v>
          </cell>
          <cell r="Q223">
            <v>244491</v>
          </cell>
          <cell r="R223">
            <v>270978</v>
          </cell>
          <cell r="S223">
            <v>283287</v>
          </cell>
          <cell r="T223">
            <v>308099</v>
          </cell>
          <cell r="U223">
            <v>241622</v>
          </cell>
          <cell r="V223">
            <v>238401</v>
          </cell>
          <cell r="W223">
            <v>388825</v>
          </cell>
          <cell r="X223">
            <v>425076</v>
          </cell>
          <cell r="Y223">
            <v>564987</v>
          </cell>
          <cell r="Z223">
            <v>644901</v>
          </cell>
          <cell r="AA223">
            <v>442055</v>
          </cell>
          <cell r="AB223">
            <v>264979</v>
          </cell>
          <cell r="AC223">
            <v>240039</v>
          </cell>
          <cell r="AD223">
            <v>299506</v>
          </cell>
          <cell r="AE223">
            <v>289194</v>
          </cell>
          <cell r="AF223">
            <v>262927</v>
          </cell>
          <cell r="AG223">
            <v>211179</v>
          </cell>
          <cell r="AI223">
            <v>1546394</v>
          </cell>
        </row>
        <row r="224">
          <cell r="I224">
            <v>1215686</v>
          </cell>
          <cell r="J224">
            <v>1599956</v>
          </cell>
          <cell r="K224">
            <v>2025905</v>
          </cell>
          <cell r="L224">
            <v>2670293</v>
          </cell>
          <cell r="M224">
            <v>3010562</v>
          </cell>
          <cell r="N224">
            <v>3033370</v>
          </cell>
          <cell r="O224">
            <v>1600470</v>
          </cell>
          <cell r="P224">
            <v>787294</v>
          </cell>
          <cell r="Q224">
            <v>695703</v>
          </cell>
          <cell r="R224">
            <v>796703</v>
          </cell>
          <cell r="S224">
            <v>807873</v>
          </cell>
          <cell r="T224">
            <v>863398</v>
          </cell>
          <cell r="U224">
            <v>718310</v>
          </cell>
          <cell r="V224">
            <v>738278</v>
          </cell>
          <cell r="W224">
            <v>1281957</v>
          </cell>
          <cell r="X224">
            <v>1484284</v>
          </cell>
          <cell r="Y224">
            <v>1939504</v>
          </cell>
          <cell r="Z224">
            <v>2083479</v>
          </cell>
          <cell r="AA224">
            <v>1410770</v>
          </cell>
          <cell r="AB224">
            <v>898012</v>
          </cell>
          <cell r="AC224">
            <v>741566</v>
          </cell>
          <cell r="AD224">
            <v>815416</v>
          </cell>
          <cell r="AE224">
            <v>788423</v>
          </cell>
          <cell r="AF224">
            <v>813727</v>
          </cell>
          <cell r="AG224">
            <v>652629</v>
          </cell>
          <cell r="AI224">
            <v>1599956</v>
          </cell>
        </row>
        <row r="225">
          <cell r="I225">
            <v>917532</v>
          </cell>
          <cell r="J225">
            <v>1134063</v>
          </cell>
          <cell r="K225">
            <v>1440489</v>
          </cell>
          <cell r="L225">
            <v>2112918</v>
          </cell>
          <cell r="M225">
            <v>2423809</v>
          </cell>
          <cell r="N225">
            <v>2337108</v>
          </cell>
          <cell r="O225">
            <v>1564506</v>
          </cell>
          <cell r="P225">
            <v>847831</v>
          </cell>
          <cell r="Q225">
            <v>703840</v>
          </cell>
          <cell r="R225">
            <v>817397</v>
          </cell>
          <cell r="S225">
            <v>855821</v>
          </cell>
          <cell r="T225">
            <v>876503</v>
          </cell>
          <cell r="U225">
            <v>830132</v>
          </cell>
          <cell r="V225">
            <v>727078</v>
          </cell>
          <cell r="W225">
            <v>1330764</v>
          </cell>
          <cell r="X225">
            <v>1511404</v>
          </cell>
          <cell r="Y225">
            <v>2199896</v>
          </cell>
          <cell r="Z225">
            <v>2250558</v>
          </cell>
          <cell r="AA225">
            <v>1660657</v>
          </cell>
          <cell r="AB225">
            <v>936586</v>
          </cell>
          <cell r="AC225">
            <v>842230</v>
          </cell>
          <cell r="AD225">
            <v>870602</v>
          </cell>
          <cell r="AE225">
            <v>851795</v>
          </cell>
          <cell r="AF225">
            <v>859545</v>
          </cell>
          <cell r="AG225">
            <v>721908</v>
          </cell>
          <cell r="AI225">
            <v>1134063</v>
          </cell>
        </row>
        <row r="226">
          <cell r="I226">
            <v>1129459</v>
          </cell>
          <cell r="J226">
            <v>1420544</v>
          </cell>
          <cell r="K226">
            <v>1664067</v>
          </cell>
          <cell r="L226">
            <v>2531271</v>
          </cell>
          <cell r="M226">
            <v>2905922</v>
          </cell>
          <cell r="N226">
            <v>2792320</v>
          </cell>
          <cell r="O226">
            <v>2101762</v>
          </cell>
          <cell r="P226">
            <v>449746</v>
          </cell>
          <cell r="Q226">
            <v>333209</v>
          </cell>
          <cell r="R226">
            <v>408396</v>
          </cell>
          <cell r="S226">
            <v>408044</v>
          </cell>
          <cell r="T226">
            <v>431904</v>
          </cell>
          <cell r="U226">
            <v>400826</v>
          </cell>
          <cell r="V226">
            <v>353927</v>
          </cell>
          <cell r="W226">
            <v>627325</v>
          </cell>
          <cell r="X226">
            <v>709144</v>
          </cell>
          <cell r="Y226">
            <v>980563</v>
          </cell>
          <cell r="Z226">
            <v>1079138</v>
          </cell>
          <cell r="AA226">
            <v>760575</v>
          </cell>
          <cell r="AB226">
            <v>456369</v>
          </cell>
          <cell r="AC226">
            <v>368909</v>
          </cell>
          <cell r="AD226">
            <v>445532</v>
          </cell>
          <cell r="AE226">
            <v>417258</v>
          </cell>
          <cell r="AF226">
            <v>422373</v>
          </cell>
          <cell r="AG226">
            <v>362686</v>
          </cell>
          <cell r="AI226">
            <v>1420544</v>
          </cell>
        </row>
        <row r="227">
          <cell r="I227">
            <v>1353309</v>
          </cell>
          <cell r="J227">
            <v>1762012</v>
          </cell>
          <cell r="K227">
            <v>1933390</v>
          </cell>
          <cell r="L227">
            <v>2994693</v>
          </cell>
          <cell r="M227">
            <v>3340017</v>
          </cell>
          <cell r="N227">
            <v>3565208</v>
          </cell>
          <cell r="O227">
            <v>2471921</v>
          </cell>
          <cell r="P227">
            <v>588844</v>
          </cell>
          <cell r="Q227">
            <v>431811</v>
          </cell>
          <cell r="R227">
            <v>494273</v>
          </cell>
          <cell r="S227">
            <v>489587</v>
          </cell>
          <cell r="T227">
            <v>580941</v>
          </cell>
          <cell r="U227">
            <v>457508</v>
          </cell>
          <cell r="V227">
            <v>462729</v>
          </cell>
          <cell r="W227">
            <v>747598</v>
          </cell>
          <cell r="X227">
            <v>780570</v>
          </cell>
          <cell r="Y227">
            <v>1284451</v>
          </cell>
          <cell r="Z227">
            <v>1369581</v>
          </cell>
          <cell r="AA227">
            <v>1019452</v>
          </cell>
          <cell r="AB227">
            <v>581650</v>
          </cell>
          <cell r="AC227">
            <v>490745</v>
          </cell>
          <cell r="AD227">
            <v>509029</v>
          </cell>
          <cell r="AE227">
            <v>553196</v>
          </cell>
          <cell r="AF227">
            <v>472762</v>
          </cell>
          <cell r="AG227">
            <v>434666</v>
          </cell>
          <cell r="AI227">
            <v>1762012</v>
          </cell>
        </row>
        <row r="228">
          <cell r="I228">
            <v>1051017</v>
          </cell>
          <cell r="J228">
            <v>1211374</v>
          </cell>
          <cell r="K228">
            <v>1463967</v>
          </cell>
          <cell r="L228">
            <v>2179755</v>
          </cell>
          <cell r="M228">
            <v>2435614</v>
          </cell>
          <cell r="N228">
            <v>2650724</v>
          </cell>
          <cell r="O228">
            <v>1876973</v>
          </cell>
          <cell r="P228">
            <v>753819</v>
          </cell>
          <cell r="Q228">
            <v>622159</v>
          </cell>
          <cell r="R228">
            <v>673106</v>
          </cell>
          <cell r="S228">
            <v>649636</v>
          </cell>
          <cell r="T228">
            <v>734639</v>
          </cell>
          <cell r="U228">
            <v>622146</v>
          </cell>
          <cell r="V228">
            <v>602207</v>
          </cell>
          <cell r="W228">
            <v>1010587</v>
          </cell>
          <cell r="X228">
            <v>1200584</v>
          </cell>
          <cell r="Y228">
            <v>1614441</v>
          </cell>
          <cell r="Z228">
            <v>1800550</v>
          </cell>
          <cell r="AA228">
            <v>1352358</v>
          </cell>
          <cell r="AB228">
            <v>805785</v>
          </cell>
          <cell r="AC228">
            <v>664245</v>
          </cell>
          <cell r="AD228">
            <v>665449</v>
          </cell>
          <cell r="AE228">
            <v>694108</v>
          </cell>
          <cell r="AF228">
            <v>679687</v>
          </cell>
          <cell r="AG228">
            <v>564742</v>
          </cell>
          <cell r="AI228">
            <v>1211374</v>
          </cell>
        </row>
        <row r="229">
          <cell r="I229">
            <v>1024510</v>
          </cell>
          <cell r="J229">
            <v>1164323</v>
          </cell>
          <cell r="K229">
            <v>1437830</v>
          </cell>
          <cell r="L229">
            <v>2099092</v>
          </cell>
          <cell r="M229">
            <v>2323549</v>
          </cell>
          <cell r="N229">
            <v>2561661</v>
          </cell>
          <cell r="O229">
            <v>1819559</v>
          </cell>
          <cell r="P229">
            <v>751829</v>
          </cell>
          <cell r="Q229">
            <v>623930</v>
          </cell>
          <cell r="R229">
            <v>657095</v>
          </cell>
          <cell r="S229">
            <v>621867</v>
          </cell>
          <cell r="T229">
            <v>731964</v>
          </cell>
          <cell r="U229">
            <v>644001</v>
          </cell>
          <cell r="V229">
            <v>591551</v>
          </cell>
          <cell r="W229">
            <v>968565</v>
          </cell>
          <cell r="X229">
            <v>1139437</v>
          </cell>
          <cell r="Y229">
            <v>1503652</v>
          </cell>
          <cell r="Z229">
            <v>1793839</v>
          </cell>
          <cell r="AA229">
            <v>1307191</v>
          </cell>
          <cell r="AB229">
            <v>834335</v>
          </cell>
          <cell r="AC229">
            <v>665644</v>
          </cell>
          <cell r="AD229">
            <v>694455</v>
          </cell>
          <cell r="AE229">
            <v>672435</v>
          </cell>
          <cell r="AF229">
            <v>714057</v>
          </cell>
          <cell r="AG229">
            <v>606062</v>
          </cell>
          <cell r="AI229">
            <v>1164323</v>
          </cell>
        </row>
        <row r="230">
          <cell r="I230">
            <v>1285590</v>
          </cell>
          <cell r="J230">
            <v>1509095</v>
          </cell>
          <cell r="K230">
            <v>1662064</v>
          </cell>
          <cell r="L230">
            <v>2748352</v>
          </cell>
          <cell r="M230">
            <v>3006597</v>
          </cell>
          <cell r="N230">
            <v>3151260</v>
          </cell>
          <cell r="O230">
            <v>2631157</v>
          </cell>
          <cell r="P230">
            <v>637329</v>
          </cell>
          <cell r="Q230">
            <v>521449</v>
          </cell>
          <cell r="R230">
            <v>581662</v>
          </cell>
          <cell r="S230">
            <v>540497</v>
          </cell>
          <cell r="T230">
            <v>594071</v>
          </cell>
          <cell r="U230">
            <v>544785</v>
          </cell>
          <cell r="V230">
            <v>512354</v>
          </cell>
          <cell r="W230">
            <v>807083</v>
          </cell>
          <cell r="X230">
            <v>925761</v>
          </cell>
          <cell r="Y230">
            <v>1247022</v>
          </cell>
          <cell r="Z230">
            <v>1500182</v>
          </cell>
          <cell r="AA230">
            <v>1133187</v>
          </cell>
          <cell r="AB230">
            <v>656989</v>
          </cell>
          <cell r="AC230">
            <v>587404</v>
          </cell>
          <cell r="AD230">
            <v>541820</v>
          </cell>
          <cell r="AE230">
            <v>571638</v>
          </cell>
          <cell r="AF230">
            <v>628164</v>
          </cell>
          <cell r="AG230">
            <v>509984</v>
          </cell>
          <cell r="AI230">
            <v>1509095</v>
          </cell>
        </row>
        <row r="231">
          <cell r="I231">
            <v>671335</v>
          </cell>
          <cell r="J231">
            <v>742844</v>
          </cell>
          <cell r="K231">
            <v>771650</v>
          </cell>
          <cell r="L231">
            <v>1277239</v>
          </cell>
          <cell r="M231">
            <v>1373258</v>
          </cell>
          <cell r="N231">
            <v>1489155</v>
          </cell>
          <cell r="O231">
            <v>1300261</v>
          </cell>
          <cell r="P231">
            <v>200924</v>
          </cell>
          <cell r="Q231">
            <v>166528</v>
          </cell>
          <cell r="R231">
            <v>172765</v>
          </cell>
          <cell r="S231">
            <v>179410</v>
          </cell>
          <cell r="T231">
            <v>188900</v>
          </cell>
          <cell r="U231">
            <v>179477</v>
          </cell>
          <cell r="V231">
            <v>152314</v>
          </cell>
          <cell r="W231">
            <v>226058</v>
          </cell>
          <cell r="X231">
            <v>285472</v>
          </cell>
          <cell r="Y231">
            <v>389854</v>
          </cell>
          <cell r="Z231">
            <v>466580</v>
          </cell>
          <cell r="AA231">
            <v>345506</v>
          </cell>
          <cell r="AB231">
            <v>203759</v>
          </cell>
          <cell r="AC231">
            <v>169061</v>
          </cell>
          <cell r="AD231">
            <v>167643</v>
          </cell>
          <cell r="AE231">
            <v>179602</v>
          </cell>
          <cell r="AF231">
            <v>176876</v>
          </cell>
          <cell r="AG231">
            <v>156816</v>
          </cell>
          <cell r="AI231">
            <v>742844</v>
          </cell>
        </row>
        <row r="232">
          <cell r="I232">
            <v>1118497</v>
          </cell>
          <cell r="J232">
            <v>1242176</v>
          </cell>
          <cell r="K232">
            <v>1370721</v>
          </cell>
          <cell r="L232">
            <v>2188704</v>
          </cell>
          <cell r="M232">
            <v>2308396</v>
          </cell>
          <cell r="N232">
            <v>2628603</v>
          </cell>
          <cell r="O232">
            <v>2449012</v>
          </cell>
          <cell r="P232">
            <v>675849</v>
          </cell>
          <cell r="Q232">
            <v>549785</v>
          </cell>
          <cell r="R232">
            <v>589738</v>
          </cell>
          <cell r="S232">
            <v>585808</v>
          </cell>
          <cell r="T232">
            <v>672941</v>
          </cell>
          <cell r="U232">
            <v>581082</v>
          </cell>
          <cell r="V232">
            <v>565069</v>
          </cell>
          <cell r="W232">
            <v>759698</v>
          </cell>
          <cell r="X232">
            <v>968152</v>
          </cell>
          <cell r="Y232">
            <v>1336555</v>
          </cell>
          <cell r="Z232">
            <v>1407589</v>
          </cell>
          <cell r="AA232">
            <v>1360526</v>
          </cell>
          <cell r="AB232">
            <v>681351</v>
          </cell>
          <cell r="AC232">
            <v>583768</v>
          </cell>
          <cell r="AD232">
            <v>603785</v>
          </cell>
          <cell r="AE232">
            <v>639317</v>
          </cell>
          <cell r="AF232">
            <v>606688</v>
          </cell>
          <cell r="AG232">
            <v>551232</v>
          </cell>
          <cell r="AI232">
            <v>1242176</v>
          </cell>
        </row>
        <row r="233">
          <cell r="I233">
            <v>734353</v>
          </cell>
          <cell r="J233">
            <v>742864</v>
          </cell>
          <cell r="K233">
            <v>855099</v>
          </cell>
          <cell r="L233">
            <v>1331453</v>
          </cell>
          <cell r="M233">
            <v>1378643</v>
          </cell>
          <cell r="N233">
            <v>1575753</v>
          </cell>
          <cell r="O233">
            <v>1532758</v>
          </cell>
          <cell r="P233">
            <v>181597</v>
          </cell>
          <cell r="Q233">
            <v>164116</v>
          </cell>
          <cell r="R233">
            <v>167202</v>
          </cell>
          <cell r="S233">
            <v>174744</v>
          </cell>
          <cell r="T233">
            <v>193949</v>
          </cell>
          <cell r="U233">
            <v>179719</v>
          </cell>
          <cell r="V233">
            <v>167516</v>
          </cell>
          <cell r="W233">
            <v>188646</v>
          </cell>
          <cell r="X233">
            <v>245575</v>
          </cell>
          <cell r="Y233">
            <v>355109</v>
          </cell>
          <cell r="Z233">
            <v>400596</v>
          </cell>
          <cell r="AA233">
            <v>371582</v>
          </cell>
          <cell r="AB233">
            <v>189734</v>
          </cell>
          <cell r="AC233">
            <v>159303</v>
          </cell>
          <cell r="AD233">
            <v>165456</v>
          </cell>
          <cell r="AE233">
            <v>192755</v>
          </cell>
          <cell r="AF233">
            <v>182600</v>
          </cell>
          <cell r="AG233">
            <v>147652</v>
          </cell>
          <cell r="AI233">
            <v>742864</v>
          </cell>
        </row>
        <row r="234">
          <cell r="I234">
            <v>1257339</v>
          </cell>
          <cell r="J234">
            <v>1201636</v>
          </cell>
          <cell r="K234">
            <v>1277132</v>
          </cell>
          <cell r="L234">
            <v>2345632</v>
          </cell>
          <cell r="M234">
            <v>2372373</v>
          </cell>
          <cell r="N234">
            <v>2342256</v>
          </cell>
          <cell r="O234">
            <v>2808763</v>
          </cell>
          <cell r="P234">
            <v>701980</v>
          </cell>
          <cell r="Q234">
            <v>501000</v>
          </cell>
          <cell r="R234">
            <v>571577</v>
          </cell>
          <cell r="S234">
            <v>540695</v>
          </cell>
          <cell r="T234">
            <v>617581</v>
          </cell>
          <cell r="U234">
            <v>556959</v>
          </cell>
          <cell r="V234">
            <v>499376</v>
          </cell>
          <cell r="W234">
            <v>673708</v>
          </cell>
          <cell r="X234">
            <v>855361</v>
          </cell>
          <cell r="Y234">
            <v>1169676</v>
          </cell>
          <cell r="Z234">
            <v>1359452</v>
          </cell>
          <cell r="AA234">
            <v>1312393</v>
          </cell>
          <cell r="AB234">
            <v>684160</v>
          </cell>
          <cell r="AC234">
            <v>547174</v>
          </cell>
          <cell r="AD234">
            <v>500896</v>
          </cell>
          <cell r="AE234">
            <v>587167</v>
          </cell>
          <cell r="AF234">
            <v>607097</v>
          </cell>
          <cell r="AG234">
            <v>478882</v>
          </cell>
          <cell r="AI234">
            <v>1201636</v>
          </cell>
        </row>
        <row r="235">
          <cell r="I235">
            <v>1147159</v>
          </cell>
          <cell r="J235">
            <v>1085667</v>
          </cell>
          <cell r="K235">
            <v>1320958</v>
          </cell>
          <cell r="L235">
            <v>2452605</v>
          </cell>
          <cell r="M235">
            <v>2449001</v>
          </cell>
          <cell r="N235">
            <v>2648465</v>
          </cell>
          <cell r="O235">
            <v>2938104</v>
          </cell>
          <cell r="P235">
            <v>1127369</v>
          </cell>
          <cell r="Q235">
            <v>720929</v>
          </cell>
          <cell r="R235">
            <v>732905</v>
          </cell>
          <cell r="S235">
            <v>839916</v>
          </cell>
          <cell r="T235">
            <v>830711</v>
          </cell>
          <cell r="U235">
            <v>799463</v>
          </cell>
          <cell r="V235">
            <v>731235</v>
          </cell>
          <cell r="W235">
            <v>998633</v>
          </cell>
          <cell r="X235">
            <v>1255376</v>
          </cell>
          <cell r="Y235">
            <v>1887384</v>
          </cell>
          <cell r="Z235">
            <v>2123348</v>
          </cell>
          <cell r="AA235">
            <v>2177206</v>
          </cell>
          <cell r="AB235">
            <v>1076392</v>
          </cell>
          <cell r="AC235">
            <v>843553</v>
          </cell>
          <cell r="AD235">
            <v>764991</v>
          </cell>
          <cell r="AE235">
            <v>858862</v>
          </cell>
          <cell r="AF235">
            <v>854777</v>
          </cell>
          <cell r="AG235">
            <v>716992</v>
          </cell>
          <cell r="AI235">
            <v>1085667</v>
          </cell>
        </row>
        <row r="236">
          <cell r="I236">
            <v>1958575</v>
          </cell>
          <cell r="J236">
            <v>2045367</v>
          </cell>
          <cell r="K236">
            <v>2323682</v>
          </cell>
          <cell r="L236">
            <v>3879658</v>
          </cell>
          <cell r="M236">
            <v>4016068</v>
          </cell>
          <cell r="N236">
            <v>4158498</v>
          </cell>
          <cell r="O236">
            <v>4857819</v>
          </cell>
          <cell r="P236">
            <v>1986398</v>
          </cell>
          <cell r="Q236">
            <v>1310480</v>
          </cell>
          <cell r="R236">
            <v>1207248</v>
          </cell>
          <cell r="S236">
            <v>1450625</v>
          </cell>
          <cell r="T236">
            <v>1524384</v>
          </cell>
          <cell r="U236">
            <v>1357298</v>
          </cell>
          <cell r="V236">
            <v>1358761</v>
          </cell>
          <cell r="W236">
            <v>1666474</v>
          </cell>
          <cell r="X236">
            <v>2134563</v>
          </cell>
          <cell r="Y236">
            <v>2960603</v>
          </cell>
          <cell r="Z236">
            <v>3310612</v>
          </cell>
          <cell r="AA236">
            <v>3500156</v>
          </cell>
          <cell r="AB236">
            <v>1873009</v>
          </cell>
          <cell r="AC236">
            <v>1469007</v>
          </cell>
          <cell r="AD236">
            <v>1323049</v>
          </cell>
          <cell r="AE236">
            <v>1498896</v>
          </cell>
          <cell r="AF236">
            <v>1475919</v>
          </cell>
          <cell r="AG236">
            <v>1243016</v>
          </cell>
          <cell r="AI236">
            <v>2045367</v>
          </cell>
        </row>
        <row r="238">
          <cell r="I238">
            <v>0</v>
          </cell>
          <cell r="J238">
            <v>0</v>
          </cell>
          <cell r="K238">
            <v>0</v>
          </cell>
          <cell r="L238">
            <v>0</v>
          </cell>
          <cell r="M238">
            <v>-404</v>
          </cell>
          <cell r="N238">
            <v>0</v>
          </cell>
          <cell r="O238">
            <v>209633</v>
          </cell>
          <cell r="P238">
            <v>132279</v>
          </cell>
          <cell r="Q238">
            <v>131303</v>
          </cell>
          <cell r="R238">
            <v>134353</v>
          </cell>
          <cell r="S238">
            <v>167023</v>
          </cell>
          <cell r="T238">
            <v>137090</v>
          </cell>
          <cell r="U238">
            <v>130842</v>
          </cell>
          <cell r="V238">
            <v>171307</v>
          </cell>
          <cell r="W238">
            <v>186642</v>
          </cell>
          <cell r="X238">
            <v>257743</v>
          </cell>
          <cell r="Y238">
            <v>338154</v>
          </cell>
          <cell r="Z238">
            <v>328819</v>
          </cell>
          <cell r="AA238">
            <v>204325</v>
          </cell>
          <cell r="AB238">
            <v>144218</v>
          </cell>
          <cell r="AC238">
            <v>122328</v>
          </cell>
          <cell r="AD238">
            <v>161918</v>
          </cell>
          <cell r="AE238">
            <v>142569</v>
          </cell>
          <cell r="AF238">
            <v>128133</v>
          </cell>
          <cell r="AG238">
            <v>118228</v>
          </cell>
          <cell r="AI238">
            <v>0</v>
          </cell>
        </row>
        <row r="239">
          <cell r="I239">
            <v>0</v>
          </cell>
          <cell r="J239">
            <v>0</v>
          </cell>
          <cell r="K239">
            <v>0</v>
          </cell>
          <cell r="L239">
            <v>0</v>
          </cell>
          <cell r="M239">
            <v>0</v>
          </cell>
          <cell r="N239">
            <v>-1353</v>
          </cell>
          <cell r="O239">
            <v>803778</v>
          </cell>
          <cell r="P239">
            <v>503303</v>
          </cell>
          <cell r="Q239">
            <v>481911</v>
          </cell>
          <cell r="R239">
            <v>509198</v>
          </cell>
          <cell r="S239">
            <v>594678</v>
          </cell>
          <cell r="T239">
            <v>547319</v>
          </cell>
          <cell r="U239">
            <v>520278</v>
          </cell>
          <cell r="V239">
            <v>656027</v>
          </cell>
          <cell r="W239">
            <v>827583</v>
          </cell>
          <cell r="X239">
            <v>1071913</v>
          </cell>
          <cell r="Y239">
            <v>1313740</v>
          </cell>
          <cell r="Z239">
            <v>1333192</v>
          </cell>
          <cell r="AA239">
            <v>881053</v>
          </cell>
          <cell r="AB239">
            <v>593396</v>
          </cell>
          <cell r="AC239">
            <v>471072</v>
          </cell>
          <cell r="AD239">
            <v>615079</v>
          </cell>
          <cell r="AE239">
            <v>605100</v>
          </cell>
          <cell r="AF239">
            <v>468751</v>
          </cell>
          <cell r="AG239">
            <v>485552</v>
          </cell>
          <cell r="AI239">
            <v>0</v>
          </cell>
        </row>
        <row r="240">
          <cell r="I240">
            <v>0</v>
          </cell>
          <cell r="J240">
            <v>0</v>
          </cell>
          <cell r="K240">
            <v>0</v>
          </cell>
          <cell r="L240">
            <v>0</v>
          </cell>
          <cell r="M240">
            <v>-195</v>
          </cell>
          <cell r="N240">
            <v>-1373</v>
          </cell>
          <cell r="O240">
            <v>998674</v>
          </cell>
          <cell r="P240">
            <v>592397</v>
          </cell>
          <cell r="Q240">
            <v>588859</v>
          </cell>
          <cell r="R240">
            <v>659974</v>
          </cell>
          <cell r="S240">
            <v>697979</v>
          </cell>
          <cell r="T240">
            <v>657345</v>
          </cell>
          <cell r="U240">
            <v>605196</v>
          </cell>
          <cell r="V240">
            <v>727039</v>
          </cell>
          <cell r="W240">
            <v>991778</v>
          </cell>
          <cell r="X240">
            <v>1188482</v>
          </cell>
          <cell r="Y240">
            <v>1508441</v>
          </cell>
          <cell r="Z240">
            <v>1494803</v>
          </cell>
          <cell r="AA240">
            <v>1004000</v>
          </cell>
          <cell r="AB240">
            <v>684521</v>
          </cell>
          <cell r="AC240">
            <v>591344</v>
          </cell>
          <cell r="AD240">
            <v>716122</v>
          </cell>
          <cell r="AE240">
            <v>667548</v>
          </cell>
          <cell r="AF240">
            <v>620985</v>
          </cell>
          <cell r="AG240">
            <v>569637</v>
          </cell>
          <cell r="AI240">
            <v>0</v>
          </cell>
        </row>
        <row r="241">
          <cell r="I241">
            <v>0</v>
          </cell>
          <cell r="J241">
            <v>-1979</v>
          </cell>
          <cell r="K241">
            <v>0</v>
          </cell>
          <cell r="L241">
            <v>0</v>
          </cell>
          <cell r="M241">
            <v>0</v>
          </cell>
          <cell r="N241">
            <v>-1492</v>
          </cell>
          <cell r="O241">
            <v>1244336</v>
          </cell>
          <cell r="P241">
            <v>705916</v>
          </cell>
          <cell r="Q241">
            <v>707193</v>
          </cell>
          <cell r="R241">
            <v>776802</v>
          </cell>
          <cell r="S241">
            <v>834366</v>
          </cell>
          <cell r="T241">
            <v>854572</v>
          </cell>
          <cell r="U241">
            <v>748003</v>
          </cell>
          <cell r="V241">
            <v>835937</v>
          </cell>
          <cell r="W241">
            <v>1248060</v>
          </cell>
          <cell r="X241">
            <v>1476275</v>
          </cell>
          <cell r="Y241">
            <v>1970133</v>
          </cell>
          <cell r="Z241">
            <v>1851370</v>
          </cell>
          <cell r="AA241">
            <v>1248265</v>
          </cell>
          <cell r="AB241">
            <v>835100</v>
          </cell>
          <cell r="AC241">
            <v>743577</v>
          </cell>
          <cell r="AD241">
            <v>863903</v>
          </cell>
          <cell r="AE241">
            <v>791955</v>
          </cell>
          <cell r="AF241">
            <v>747098</v>
          </cell>
          <cell r="AG241">
            <v>712571</v>
          </cell>
          <cell r="AI241">
            <v>-1979</v>
          </cell>
        </row>
        <row r="242">
          <cell r="I242">
            <v>0</v>
          </cell>
          <cell r="J242">
            <v>0</v>
          </cell>
          <cell r="K242">
            <v>0</v>
          </cell>
          <cell r="L242">
            <v>0</v>
          </cell>
          <cell r="M242">
            <v>0</v>
          </cell>
          <cell r="N242">
            <v>0</v>
          </cell>
          <cell r="O242">
            <v>483629</v>
          </cell>
          <cell r="P242">
            <v>286728</v>
          </cell>
          <cell r="Q242">
            <v>289906</v>
          </cell>
          <cell r="R242">
            <v>326341</v>
          </cell>
          <cell r="S242">
            <v>344701</v>
          </cell>
          <cell r="T242">
            <v>327827</v>
          </cell>
          <cell r="U242">
            <v>307067</v>
          </cell>
          <cell r="V242">
            <v>342634</v>
          </cell>
          <cell r="W242">
            <v>495271</v>
          </cell>
          <cell r="X242">
            <v>554729</v>
          </cell>
          <cell r="Y242">
            <v>692389</v>
          </cell>
          <cell r="Z242">
            <v>778146</v>
          </cell>
          <cell r="AA242">
            <v>513869</v>
          </cell>
          <cell r="AB242">
            <v>312656</v>
          </cell>
          <cell r="AC242">
            <v>311013</v>
          </cell>
          <cell r="AD242">
            <v>372463</v>
          </cell>
          <cell r="AE242">
            <v>336494</v>
          </cell>
          <cell r="AF242">
            <v>318771</v>
          </cell>
          <cell r="AG242">
            <v>277631</v>
          </cell>
          <cell r="AI242">
            <v>0</v>
          </cell>
        </row>
        <row r="243">
          <cell r="I243">
            <v>0</v>
          </cell>
          <cell r="J243">
            <v>0</v>
          </cell>
          <cell r="K243">
            <v>0</v>
          </cell>
          <cell r="L243">
            <v>0</v>
          </cell>
          <cell r="M243">
            <v>0</v>
          </cell>
          <cell r="N243">
            <v>-14</v>
          </cell>
          <cell r="O243">
            <v>1124880</v>
          </cell>
          <cell r="P243">
            <v>683277</v>
          </cell>
          <cell r="Q243">
            <v>661011</v>
          </cell>
          <cell r="R243">
            <v>735148</v>
          </cell>
          <cell r="S243">
            <v>800367</v>
          </cell>
          <cell r="T243">
            <v>810577</v>
          </cell>
          <cell r="U243">
            <v>695938</v>
          </cell>
          <cell r="V243">
            <v>740657</v>
          </cell>
          <cell r="W243">
            <v>1100162</v>
          </cell>
          <cell r="X243">
            <v>1291649</v>
          </cell>
          <cell r="Y243">
            <v>1668965</v>
          </cell>
          <cell r="Z243">
            <v>1748177</v>
          </cell>
          <cell r="AA243">
            <v>1224185</v>
          </cell>
          <cell r="AB243">
            <v>743224</v>
          </cell>
          <cell r="AC243">
            <v>657769</v>
          </cell>
          <cell r="AD243">
            <v>848856</v>
          </cell>
          <cell r="AE243">
            <v>775547</v>
          </cell>
          <cell r="AF243">
            <v>727551</v>
          </cell>
          <cell r="AG243">
            <v>637911</v>
          </cell>
          <cell r="AI243">
            <v>0</v>
          </cell>
        </row>
        <row r="244">
          <cell r="I244">
            <v>0</v>
          </cell>
          <cell r="J244">
            <v>0</v>
          </cell>
          <cell r="K244">
            <v>0</v>
          </cell>
          <cell r="L244">
            <v>0</v>
          </cell>
          <cell r="M244">
            <v>-2830</v>
          </cell>
          <cell r="N244">
            <v>0</v>
          </cell>
          <cell r="O244">
            <v>1665636</v>
          </cell>
          <cell r="P244">
            <v>1018243</v>
          </cell>
          <cell r="Q244">
            <v>909469</v>
          </cell>
          <cell r="R244">
            <v>1028572</v>
          </cell>
          <cell r="S244">
            <v>1049545</v>
          </cell>
          <cell r="T244">
            <v>1147036</v>
          </cell>
          <cell r="U244">
            <v>925282</v>
          </cell>
          <cell r="V244">
            <v>1008736</v>
          </cell>
          <cell r="W244">
            <v>1723836</v>
          </cell>
          <cell r="X244">
            <v>1874176</v>
          </cell>
          <cell r="Y244">
            <v>2467096</v>
          </cell>
          <cell r="Z244">
            <v>2654869</v>
          </cell>
          <cell r="AA244">
            <v>1909572</v>
          </cell>
          <cell r="AB244">
            <v>1102564</v>
          </cell>
          <cell r="AC244">
            <v>964900</v>
          </cell>
          <cell r="AD244">
            <v>1086431</v>
          </cell>
          <cell r="AE244">
            <v>1052381</v>
          </cell>
          <cell r="AF244">
            <v>1003492</v>
          </cell>
          <cell r="AG244">
            <v>915420</v>
          </cell>
          <cell r="AI244">
            <v>0</v>
          </cell>
        </row>
        <row r="245">
          <cell r="I245">
            <v>0</v>
          </cell>
          <cell r="J245">
            <v>0</v>
          </cell>
          <cell r="K245">
            <v>0</v>
          </cell>
          <cell r="L245">
            <v>0</v>
          </cell>
          <cell r="M245">
            <v>0</v>
          </cell>
          <cell r="N245">
            <v>-3402</v>
          </cell>
          <cell r="O245">
            <v>581796</v>
          </cell>
          <cell r="P245">
            <v>513974</v>
          </cell>
          <cell r="Q245">
            <v>502267</v>
          </cell>
          <cell r="R245">
            <v>539853</v>
          </cell>
          <cell r="S245">
            <v>561560</v>
          </cell>
          <cell r="T245">
            <v>608768</v>
          </cell>
          <cell r="U245">
            <v>509735</v>
          </cell>
          <cell r="V245">
            <v>545485</v>
          </cell>
          <cell r="W245">
            <v>830535</v>
          </cell>
          <cell r="X245">
            <v>931934</v>
          </cell>
          <cell r="Y245">
            <v>1215789</v>
          </cell>
          <cell r="Z245">
            <v>1408111</v>
          </cell>
          <cell r="AA245">
            <v>945975</v>
          </cell>
          <cell r="AB245">
            <v>607068</v>
          </cell>
          <cell r="AC245">
            <v>530191</v>
          </cell>
          <cell r="AD245">
            <v>577271</v>
          </cell>
          <cell r="AE245">
            <v>562609</v>
          </cell>
          <cell r="AF245">
            <v>573381</v>
          </cell>
          <cell r="AG245">
            <v>474704</v>
          </cell>
          <cell r="AI245">
            <v>0</v>
          </cell>
        </row>
        <row r="246">
          <cell r="I246">
            <v>0</v>
          </cell>
          <cell r="J246">
            <v>0</v>
          </cell>
          <cell r="K246">
            <v>0</v>
          </cell>
          <cell r="L246">
            <v>0</v>
          </cell>
          <cell r="M246">
            <v>0</v>
          </cell>
          <cell r="N246">
            <v>0</v>
          </cell>
          <cell r="O246">
            <v>154734</v>
          </cell>
          <cell r="P246">
            <v>159447</v>
          </cell>
          <cell r="Q246">
            <v>138055</v>
          </cell>
          <cell r="R246">
            <v>139775</v>
          </cell>
          <cell r="S246">
            <v>147450</v>
          </cell>
          <cell r="T246">
            <v>161349</v>
          </cell>
          <cell r="U246">
            <v>142278</v>
          </cell>
          <cell r="V246">
            <v>143256</v>
          </cell>
          <cell r="W246">
            <v>241660</v>
          </cell>
          <cell r="X246">
            <v>287703</v>
          </cell>
          <cell r="Y246">
            <v>373956</v>
          </cell>
          <cell r="Z246">
            <v>441581</v>
          </cell>
          <cell r="AA246">
            <v>298179</v>
          </cell>
          <cell r="AB246">
            <v>178625</v>
          </cell>
          <cell r="AC246">
            <v>141587</v>
          </cell>
          <cell r="AD246">
            <v>152533</v>
          </cell>
          <cell r="AE246">
            <v>152153</v>
          </cell>
          <cell r="AF246">
            <v>157532</v>
          </cell>
          <cell r="AG246">
            <v>128205</v>
          </cell>
          <cell r="AI246">
            <v>0</v>
          </cell>
        </row>
        <row r="247">
          <cell r="I247">
            <v>0</v>
          </cell>
          <cell r="J247">
            <v>0</v>
          </cell>
          <cell r="K247">
            <v>0</v>
          </cell>
          <cell r="L247">
            <v>-1163</v>
          </cell>
          <cell r="M247">
            <v>0</v>
          </cell>
          <cell r="N247">
            <v>8</v>
          </cell>
          <cell r="O247">
            <v>186</v>
          </cell>
          <cell r="P247">
            <v>900948</v>
          </cell>
          <cell r="Q247">
            <v>690718</v>
          </cell>
          <cell r="R247">
            <v>779693</v>
          </cell>
          <cell r="S247">
            <v>795600</v>
          </cell>
          <cell r="T247">
            <v>822699</v>
          </cell>
          <cell r="U247">
            <v>771305</v>
          </cell>
          <cell r="V247">
            <v>724234</v>
          </cell>
          <cell r="W247">
            <v>1271090</v>
          </cell>
          <cell r="X247">
            <v>1523616</v>
          </cell>
          <cell r="Y247">
            <v>2024316</v>
          </cell>
          <cell r="Z247">
            <v>2127418</v>
          </cell>
          <cell r="AA247">
            <v>1620248</v>
          </cell>
          <cell r="AB247">
            <v>927628</v>
          </cell>
          <cell r="AC247">
            <v>760970</v>
          </cell>
          <cell r="AD247">
            <v>835909</v>
          </cell>
          <cell r="AE247">
            <v>778756</v>
          </cell>
          <cell r="AF247">
            <v>790631</v>
          </cell>
          <cell r="AG247">
            <v>682962</v>
          </cell>
          <cell r="AI247">
            <v>0</v>
          </cell>
        </row>
        <row r="248">
          <cell r="I248">
            <v>0</v>
          </cell>
          <cell r="J248">
            <v>0</v>
          </cell>
          <cell r="K248">
            <v>0</v>
          </cell>
          <cell r="L248">
            <v>0</v>
          </cell>
          <cell r="M248">
            <v>0</v>
          </cell>
          <cell r="N248">
            <v>-942</v>
          </cell>
          <cell r="O248">
            <v>2402</v>
          </cell>
          <cell r="P248">
            <v>1072278</v>
          </cell>
          <cell r="Q248">
            <v>874411</v>
          </cell>
          <cell r="R248">
            <v>906646</v>
          </cell>
          <cell r="S248">
            <v>845397</v>
          </cell>
          <cell r="T248">
            <v>1050930</v>
          </cell>
          <cell r="U248">
            <v>886520</v>
          </cell>
          <cell r="V248">
            <v>866384</v>
          </cell>
          <cell r="W248">
            <v>1446697</v>
          </cell>
          <cell r="X248">
            <v>1691371</v>
          </cell>
          <cell r="Y248">
            <v>2337802</v>
          </cell>
          <cell r="Z248">
            <v>2523007</v>
          </cell>
          <cell r="AA248">
            <v>1890485</v>
          </cell>
          <cell r="AB248">
            <v>1112368</v>
          </cell>
          <cell r="AC248">
            <v>886223</v>
          </cell>
          <cell r="AD248">
            <v>957786</v>
          </cell>
          <cell r="AE248">
            <v>986788</v>
          </cell>
          <cell r="AF248">
            <v>916866</v>
          </cell>
          <cell r="AG248">
            <v>852011</v>
          </cell>
          <cell r="AI248">
            <v>0</v>
          </cell>
        </row>
        <row r="249">
          <cell r="I249">
            <v>0</v>
          </cell>
          <cell r="J249">
            <v>0</v>
          </cell>
          <cell r="K249">
            <v>0</v>
          </cell>
          <cell r="L249">
            <v>-11</v>
          </cell>
          <cell r="M249">
            <v>22</v>
          </cell>
          <cell r="N249">
            <v>0</v>
          </cell>
          <cell r="O249">
            <v>531</v>
          </cell>
          <cell r="P249">
            <v>483025</v>
          </cell>
          <cell r="Q249">
            <v>378885</v>
          </cell>
          <cell r="R249">
            <v>403581</v>
          </cell>
          <cell r="S249">
            <v>416523</v>
          </cell>
          <cell r="T249">
            <v>431265</v>
          </cell>
          <cell r="U249">
            <v>392214</v>
          </cell>
          <cell r="V249">
            <v>396809</v>
          </cell>
          <cell r="W249">
            <v>600579</v>
          </cell>
          <cell r="X249">
            <v>710612</v>
          </cell>
          <cell r="Y249">
            <v>983503</v>
          </cell>
          <cell r="Z249">
            <v>1169821</v>
          </cell>
          <cell r="AA249">
            <v>778324</v>
          </cell>
          <cell r="AB249">
            <v>493481</v>
          </cell>
          <cell r="AC249">
            <v>405142</v>
          </cell>
          <cell r="AD249">
            <v>419560</v>
          </cell>
          <cell r="AE249">
            <v>424662</v>
          </cell>
          <cell r="AF249">
            <v>404581</v>
          </cell>
          <cell r="AG249">
            <v>358744</v>
          </cell>
          <cell r="AI249">
            <v>0</v>
          </cell>
        </row>
        <row r="250">
          <cell r="I250">
            <v>0</v>
          </cell>
          <cell r="J250">
            <v>0</v>
          </cell>
          <cell r="K250">
            <v>0</v>
          </cell>
          <cell r="L250">
            <v>0</v>
          </cell>
          <cell r="M250">
            <v>0</v>
          </cell>
          <cell r="N250">
            <v>-823</v>
          </cell>
          <cell r="O250">
            <v>1132</v>
          </cell>
          <cell r="P250">
            <v>455976</v>
          </cell>
          <cell r="Q250">
            <v>422243</v>
          </cell>
          <cell r="R250">
            <v>401800</v>
          </cell>
          <cell r="S250">
            <v>396140</v>
          </cell>
          <cell r="T250">
            <v>447110</v>
          </cell>
          <cell r="U250">
            <v>391814</v>
          </cell>
          <cell r="V250">
            <v>394980</v>
          </cell>
          <cell r="W250">
            <v>588653</v>
          </cell>
          <cell r="X250">
            <v>697330</v>
          </cell>
          <cell r="Y250">
            <v>919330</v>
          </cell>
          <cell r="Z250">
            <v>1088506</v>
          </cell>
          <cell r="AA250">
            <v>730587</v>
          </cell>
          <cell r="AB250">
            <v>493012</v>
          </cell>
          <cell r="AC250">
            <v>383769</v>
          </cell>
          <cell r="AD250">
            <v>400794</v>
          </cell>
          <cell r="AE250">
            <v>409650</v>
          </cell>
          <cell r="AF250">
            <v>393088</v>
          </cell>
          <cell r="AG250">
            <v>355904</v>
          </cell>
          <cell r="AI250">
            <v>0</v>
          </cell>
        </row>
        <row r="251">
          <cell r="I251">
            <v>0</v>
          </cell>
          <cell r="J251">
            <v>0</v>
          </cell>
          <cell r="K251">
            <v>0</v>
          </cell>
          <cell r="L251">
            <v>0</v>
          </cell>
          <cell r="M251">
            <v>0</v>
          </cell>
          <cell r="N251">
            <v>38</v>
          </cell>
          <cell r="O251">
            <v>0</v>
          </cell>
          <cell r="P251">
            <v>865781</v>
          </cell>
          <cell r="Q251">
            <v>720267</v>
          </cell>
          <cell r="R251">
            <v>776581</v>
          </cell>
          <cell r="S251">
            <v>722006</v>
          </cell>
          <cell r="T251">
            <v>787999</v>
          </cell>
          <cell r="U251">
            <v>738616</v>
          </cell>
          <cell r="V251">
            <v>668770</v>
          </cell>
          <cell r="W251">
            <v>1137339</v>
          </cell>
          <cell r="X251">
            <v>1379993</v>
          </cell>
          <cell r="Y251">
            <v>1886364</v>
          </cell>
          <cell r="Z251">
            <v>2170827</v>
          </cell>
          <cell r="AA251">
            <v>1688725</v>
          </cell>
          <cell r="AB251">
            <v>938500</v>
          </cell>
          <cell r="AC251">
            <v>818107</v>
          </cell>
          <cell r="AD251">
            <v>748951</v>
          </cell>
          <cell r="AE251">
            <v>773452</v>
          </cell>
          <cell r="AF251">
            <v>789824</v>
          </cell>
          <cell r="AG251">
            <v>684132</v>
          </cell>
          <cell r="AI251">
            <v>0</v>
          </cell>
        </row>
        <row r="252">
          <cell r="I252">
            <v>0</v>
          </cell>
          <cell r="J252">
            <v>0</v>
          </cell>
          <cell r="K252">
            <v>0</v>
          </cell>
          <cell r="L252">
            <v>0</v>
          </cell>
          <cell r="M252">
            <v>-1</v>
          </cell>
          <cell r="N252">
            <v>-890</v>
          </cell>
          <cell r="O252">
            <v>561</v>
          </cell>
          <cell r="P252">
            <v>550470</v>
          </cell>
          <cell r="Q252">
            <v>460406</v>
          </cell>
          <cell r="R252">
            <v>496786</v>
          </cell>
          <cell r="S252">
            <v>505756</v>
          </cell>
          <cell r="T252">
            <v>514854</v>
          </cell>
          <cell r="U252">
            <v>517004</v>
          </cell>
          <cell r="V252">
            <v>435360</v>
          </cell>
          <cell r="W252">
            <v>634854</v>
          </cell>
          <cell r="X252">
            <v>810370</v>
          </cell>
          <cell r="Y252">
            <v>1063144</v>
          </cell>
          <cell r="Z252">
            <v>1271552</v>
          </cell>
          <cell r="AA252">
            <v>943795</v>
          </cell>
          <cell r="AB252">
            <v>588207</v>
          </cell>
          <cell r="AC252">
            <v>493896</v>
          </cell>
          <cell r="AD252">
            <v>501953</v>
          </cell>
          <cell r="AE252">
            <v>532526</v>
          </cell>
          <cell r="AF252">
            <v>527901</v>
          </cell>
          <cell r="AG252">
            <v>455624</v>
          </cell>
          <cell r="AI252">
            <v>0</v>
          </cell>
        </row>
        <row r="253">
          <cell r="I253">
            <v>0</v>
          </cell>
          <cell r="J253">
            <v>0</v>
          </cell>
          <cell r="K253">
            <v>0</v>
          </cell>
          <cell r="L253">
            <v>0</v>
          </cell>
          <cell r="M253">
            <v>-799</v>
          </cell>
          <cell r="N253">
            <v>0</v>
          </cell>
          <cell r="O253">
            <v>2472</v>
          </cell>
          <cell r="P253">
            <v>649995</v>
          </cell>
          <cell r="Q253">
            <v>523254</v>
          </cell>
          <cell r="R253">
            <v>560249</v>
          </cell>
          <cell r="S253">
            <v>566867</v>
          </cell>
          <cell r="T253">
            <v>605919</v>
          </cell>
          <cell r="U253">
            <v>564094</v>
          </cell>
          <cell r="V253">
            <v>538194</v>
          </cell>
          <cell r="W253">
            <v>729078</v>
          </cell>
          <cell r="X253">
            <v>949347</v>
          </cell>
          <cell r="Y253">
            <v>1278292</v>
          </cell>
          <cell r="Z253">
            <v>1435009</v>
          </cell>
          <cell r="AA253">
            <v>1254071</v>
          </cell>
          <cell r="AB253">
            <v>710157</v>
          </cell>
          <cell r="AC253">
            <v>586552</v>
          </cell>
          <cell r="AD253">
            <v>580217</v>
          </cell>
          <cell r="AE253">
            <v>625860</v>
          </cell>
          <cell r="AF253">
            <v>611319</v>
          </cell>
          <cell r="AG253">
            <v>513989</v>
          </cell>
          <cell r="AI253">
            <v>0</v>
          </cell>
        </row>
        <row r="254">
          <cell r="I254">
            <v>0</v>
          </cell>
          <cell r="J254">
            <v>0</v>
          </cell>
          <cell r="K254">
            <v>0</v>
          </cell>
          <cell r="L254">
            <v>0</v>
          </cell>
          <cell r="M254">
            <v>-5897</v>
          </cell>
          <cell r="N254">
            <v>-3375</v>
          </cell>
          <cell r="O254">
            <v>-1229</v>
          </cell>
          <cell r="P254">
            <v>624745</v>
          </cell>
          <cell r="Q254">
            <v>517452</v>
          </cell>
          <cell r="R254">
            <v>524695</v>
          </cell>
          <cell r="S254">
            <v>534446</v>
          </cell>
          <cell r="T254">
            <v>617033</v>
          </cell>
          <cell r="U254">
            <v>494797</v>
          </cell>
          <cell r="V254">
            <v>526894</v>
          </cell>
          <cell r="W254">
            <v>685500</v>
          </cell>
          <cell r="X254">
            <v>872529</v>
          </cell>
          <cell r="Y254">
            <v>1191667</v>
          </cell>
          <cell r="Z254">
            <v>1336228</v>
          </cell>
          <cell r="AA254">
            <v>1264505</v>
          </cell>
          <cell r="AB254">
            <v>667833</v>
          </cell>
          <cell r="AC254">
            <v>584662</v>
          </cell>
          <cell r="AD254">
            <v>509606</v>
          </cell>
          <cell r="AE254">
            <v>601733</v>
          </cell>
          <cell r="AF254">
            <v>589553</v>
          </cell>
          <cell r="AG254">
            <v>490864</v>
          </cell>
          <cell r="AI254">
            <v>0</v>
          </cell>
        </row>
        <row r="255">
          <cell r="I255">
            <v>0</v>
          </cell>
          <cell r="J255">
            <v>58</v>
          </cell>
          <cell r="K255">
            <v>62</v>
          </cell>
          <cell r="L255">
            <v>72</v>
          </cell>
          <cell r="M255">
            <v>0</v>
          </cell>
          <cell r="N255">
            <v>0</v>
          </cell>
          <cell r="O255">
            <v>-3061</v>
          </cell>
          <cell r="P255">
            <v>819928</v>
          </cell>
          <cell r="Q255">
            <v>610156</v>
          </cell>
          <cell r="R255">
            <v>667943</v>
          </cell>
          <cell r="S255">
            <v>662160</v>
          </cell>
          <cell r="T255">
            <v>720061</v>
          </cell>
          <cell r="U255">
            <v>704140</v>
          </cell>
          <cell r="V255">
            <v>633068</v>
          </cell>
          <cell r="W255">
            <v>812041</v>
          </cell>
          <cell r="X255">
            <v>1022334</v>
          </cell>
          <cell r="Y255">
            <v>1367148</v>
          </cell>
          <cell r="Z255">
            <v>1527867</v>
          </cell>
          <cell r="AA255">
            <v>1538871</v>
          </cell>
          <cell r="AB255">
            <v>859542</v>
          </cell>
          <cell r="AC255">
            <v>704517</v>
          </cell>
          <cell r="AD255">
            <v>640672</v>
          </cell>
          <cell r="AE255">
            <v>715600</v>
          </cell>
          <cell r="AF255">
            <v>711172</v>
          </cell>
          <cell r="AG255">
            <v>599263</v>
          </cell>
          <cell r="AI255">
            <v>58</v>
          </cell>
        </row>
        <row r="256">
          <cell r="I256">
            <v>0</v>
          </cell>
          <cell r="J256">
            <v>0</v>
          </cell>
          <cell r="K256">
            <v>0</v>
          </cell>
          <cell r="L256">
            <v>-735</v>
          </cell>
          <cell r="M256">
            <v>0</v>
          </cell>
          <cell r="N256">
            <v>-2965</v>
          </cell>
          <cell r="O256">
            <v>1053</v>
          </cell>
          <cell r="P256">
            <v>474252</v>
          </cell>
          <cell r="Q256">
            <v>355399</v>
          </cell>
          <cell r="R256">
            <v>328402</v>
          </cell>
          <cell r="S256">
            <v>392072</v>
          </cell>
          <cell r="T256">
            <v>361954</v>
          </cell>
          <cell r="U256">
            <v>351859</v>
          </cell>
          <cell r="V256">
            <v>380927</v>
          </cell>
          <cell r="W256">
            <v>466181</v>
          </cell>
          <cell r="X256">
            <v>602766</v>
          </cell>
          <cell r="Y256">
            <v>858539</v>
          </cell>
          <cell r="Z256">
            <v>940509</v>
          </cell>
          <cell r="AA256">
            <v>957121</v>
          </cell>
          <cell r="AB256">
            <v>502410</v>
          </cell>
          <cell r="AC256">
            <v>407644</v>
          </cell>
          <cell r="AD256">
            <v>319207</v>
          </cell>
          <cell r="AE256">
            <v>401607</v>
          </cell>
          <cell r="AF256">
            <v>364442</v>
          </cell>
          <cell r="AG256">
            <v>330811</v>
          </cell>
          <cell r="AI256">
            <v>0</v>
          </cell>
        </row>
        <row r="257">
          <cell r="I257">
            <v>0</v>
          </cell>
          <cell r="J257">
            <v>0</v>
          </cell>
          <cell r="K257">
            <v>0</v>
          </cell>
          <cell r="L257">
            <v>0</v>
          </cell>
          <cell r="M257">
            <v>0</v>
          </cell>
          <cell r="N257">
            <v>-1001</v>
          </cell>
          <cell r="O257">
            <v>-3621</v>
          </cell>
          <cell r="P257">
            <v>862146</v>
          </cell>
          <cell r="Q257">
            <v>600578</v>
          </cell>
          <cell r="R257">
            <v>593373</v>
          </cell>
          <cell r="S257">
            <v>640785</v>
          </cell>
          <cell r="T257">
            <v>692655</v>
          </cell>
          <cell r="U257">
            <v>604392</v>
          </cell>
          <cell r="V257">
            <v>629634</v>
          </cell>
          <cell r="W257">
            <v>766187</v>
          </cell>
          <cell r="X257">
            <v>946872</v>
          </cell>
          <cell r="Y257">
            <v>1286453</v>
          </cell>
          <cell r="Z257">
            <v>1570847</v>
          </cell>
          <cell r="AA257">
            <v>1626408</v>
          </cell>
          <cell r="AB257">
            <v>868804</v>
          </cell>
          <cell r="AC257">
            <v>662860</v>
          </cell>
          <cell r="AD257">
            <v>655734</v>
          </cell>
          <cell r="AE257">
            <v>689509</v>
          </cell>
          <cell r="AF257">
            <v>684737</v>
          </cell>
          <cell r="AG257">
            <v>601315</v>
          </cell>
          <cell r="AI257">
            <v>0</v>
          </cell>
        </row>
        <row r="259">
          <cell r="I259">
            <v>0</v>
          </cell>
          <cell r="J259">
            <v>194</v>
          </cell>
          <cell r="K259">
            <v>119</v>
          </cell>
          <cell r="L259">
            <v>0</v>
          </cell>
          <cell r="M259">
            <v>0</v>
          </cell>
          <cell r="N259">
            <v>0</v>
          </cell>
          <cell r="O259">
            <v>77714</v>
          </cell>
          <cell r="P259">
            <v>69711</v>
          </cell>
          <cell r="Q259">
            <v>66493</v>
          </cell>
          <cell r="R259">
            <v>76524</v>
          </cell>
          <cell r="S259">
            <v>80197</v>
          </cell>
          <cell r="T259">
            <v>68129</v>
          </cell>
          <cell r="U259">
            <v>76488</v>
          </cell>
          <cell r="V259">
            <v>78491</v>
          </cell>
          <cell r="W259">
            <v>75517</v>
          </cell>
          <cell r="X259">
            <v>91182</v>
          </cell>
          <cell r="Y259">
            <v>105116</v>
          </cell>
          <cell r="Z259">
            <v>106091</v>
          </cell>
          <cell r="AA259">
            <v>86879</v>
          </cell>
          <cell r="AB259">
            <v>70136</v>
          </cell>
          <cell r="AC259">
            <v>76377</v>
          </cell>
          <cell r="AD259">
            <v>88400</v>
          </cell>
          <cell r="AE259">
            <v>82810</v>
          </cell>
          <cell r="AF259">
            <v>71952</v>
          </cell>
          <cell r="AG259">
            <v>76009</v>
          </cell>
          <cell r="AI259">
            <v>194</v>
          </cell>
        </row>
        <row r="260">
          <cell r="I260">
            <v>0</v>
          </cell>
          <cell r="J260">
            <v>0</v>
          </cell>
          <cell r="K260">
            <v>0</v>
          </cell>
          <cell r="L260">
            <v>0</v>
          </cell>
          <cell r="M260">
            <v>0</v>
          </cell>
          <cell r="N260">
            <v>-60</v>
          </cell>
          <cell r="O260">
            <v>39660</v>
          </cell>
          <cell r="P260">
            <v>42301</v>
          </cell>
          <cell r="Q260">
            <v>43489</v>
          </cell>
          <cell r="R260">
            <v>45711</v>
          </cell>
          <cell r="S260">
            <v>52705</v>
          </cell>
          <cell r="T260">
            <v>47301</v>
          </cell>
          <cell r="U260">
            <v>45069</v>
          </cell>
          <cell r="V260">
            <v>42541</v>
          </cell>
          <cell r="W260">
            <v>46258</v>
          </cell>
          <cell r="X260">
            <v>48500</v>
          </cell>
          <cell r="Y260">
            <v>62192</v>
          </cell>
          <cell r="Z260">
            <v>65566</v>
          </cell>
          <cell r="AA260">
            <v>48905</v>
          </cell>
          <cell r="AB260">
            <v>42449</v>
          </cell>
          <cell r="AC260">
            <v>44985</v>
          </cell>
          <cell r="AD260">
            <v>53117</v>
          </cell>
          <cell r="AE260">
            <v>45908</v>
          </cell>
          <cell r="AF260">
            <v>52256</v>
          </cell>
          <cell r="AG260">
            <v>42221</v>
          </cell>
          <cell r="AI260">
            <v>0</v>
          </cell>
        </row>
        <row r="261">
          <cell r="I261">
            <v>0</v>
          </cell>
          <cell r="J261">
            <v>0</v>
          </cell>
          <cell r="K261">
            <v>0</v>
          </cell>
          <cell r="L261">
            <v>0</v>
          </cell>
          <cell r="M261">
            <v>0</v>
          </cell>
          <cell r="N261">
            <v>-51</v>
          </cell>
          <cell r="O261">
            <v>293396</v>
          </cell>
          <cell r="P261">
            <v>258024</v>
          </cell>
          <cell r="Q261">
            <v>295214</v>
          </cell>
          <cell r="R261">
            <v>282790</v>
          </cell>
          <cell r="S261">
            <v>264545</v>
          </cell>
          <cell r="T261">
            <v>275765</v>
          </cell>
          <cell r="U261">
            <v>247762</v>
          </cell>
          <cell r="V261">
            <v>281274</v>
          </cell>
          <cell r="W261">
            <v>273435</v>
          </cell>
          <cell r="X261">
            <v>280373</v>
          </cell>
          <cell r="Y261">
            <v>319308</v>
          </cell>
          <cell r="Z261">
            <v>299466</v>
          </cell>
          <cell r="AA261">
            <v>273387</v>
          </cell>
          <cell r="AB261">
            <v>249883</v>
          </cell>
          <cell r="AC261">
            <v>243573</v>
          </cell>
          <cell r="AD261">
            <v>268024</v>
          </cell>
          <cell r="AE261">
            <v>258762</v>
          </cell>
          <cell r="AF261">
            <v>261501</v>
          </cell>
          <cell r="AG261">
            <v>220337</v>
          </cell>
          <cell r="AI261">
            <v>0</v>
          </cell>
        </row>
        <row r="262">
          <cell r="I262">
            <v>0</v>
          </cell>
          <cell r="J262">
            <v>0</v>
          </cell>
          <cell r="K262">
            <v>0</v>
          </cell>
          <cell r="L262">
            <v>0</v>
          </cell>
          <cell r="M262">
            <v>-36</v>
          </cell>
          <cell r="N262">
            <v>0</v>
          </cell>
          <cell r="O262">
            <v>84277</v>
          </cell>
          <cell r="P262">
            <v>64302</v>
          </cell>
          <cell r="Q262">
            <v>71610</v>
          </cell>
          <cell r="R262">
            <v>89484</v>
          </cell>
          <cell r="S262">
            <v>89314</v>
          </cell>
          <cell r="T262">
            <v>89918</v>
          </cell>
          <cell r="U262">
            <v>69367</v>
          </cell>
          <cell r="V262">
            <v>78335</v>
          </cell>
          <cell r="W262">
            <v>86227</v>
          </cell>
          <cell r="X262">
            <v>91630</v>
          </cell>
          <cell r="Y262">
            <v>124079</v>
          </cell>
          <cell r="Z262">
            <v>112158</v>
          </cell>
          <cell r="AA262">
            <v>85570</v>
          </cell>
          <cell r="AB262">
            <v>77984</v>
          </cell>
          <cell r="AC262">
            <v>67166</v>
          </cell>
          <cell r="AD262">
            <v>78231</v>
          </cell>
          <cell r="AE262">
            <v>70001</v>
          </cell>
          <cell r="AF262">
            <v>77463</v>
          </cell>
          <cell r="AG262">
            <v>72847</v>
          </cell>
          <cell r="AI262">
            <v>0</v>
          </cell>
        </row>
        <row r="263">
          <cell r="I263">
            <v>0</v>
          </cell>
          <cell r="J263">
            <v>0</v>
          </cell>
          <cell r="K263">
            <v>0</v>
          </cell>
          <cell r="L263">
            <v>0</v>
          </cell>
          <cell r="M263">
            <v>0</v>
          </cell>
          <cell r="N263">
            <v>-556</v>
          </cell>
          <cell r="O263">
            <v>129774</v>
          </cell>
          <cell r="P263">
            <v>92861</v>
          </cell>
          <cell r="Q263">
            <v>98770</v>
          </cell>
          <cell r="R263">
            <v>120489</v>
          </cell>
          <cell r="S263">
            <v>99311</v>
          </cell>
          <cell r="T263">
            <v>102477</v>
          </cell>
          <cell r="U263">
            <v>108316</v>
          </cell>
          <cell r="V263">
            <v>98166</v>
          </cell>
          <cell r="W263">
            <v>110807</v>
          </cell>
          <cell r="X263">
            <v>130929</v>
          </cell>
          <cell r="Y263">
            <v>159672</v>
          </cell>
          <cell r="Z263">
            <v>167660</v>
          </cell>
          <cell r="AA263">
            <v>116181</v>
          </cell>
          <cell r="AB263">
            <v>87650</v>
          </cell>
          <cell r="AC263">
            <v>101576</v>
          </cell>
          <cell r="AD263">
            <v>106197</v>
          </cell>
          <cell r="AE263">
            <v>99519</v>
          </cell>
          <cell r="AF263">
            <v>101522</v>
          </cell>
          <cell r="AG263">
            <v>101747</v>
          </cell>
          <cell r="AI263">
            <v>0</v>
          </cell>
        </row>
        <row r="264">
          <cell r="I264">
            <v>0</v>
          </cell>
          <cell r="J264">
            <v>0</v>
          </cell>
          <cell r="K264">
            <v>0</v>
          </cell>
          <cell r="L264">
            <v>0</v>
          </cell>
          <cell r="M264">
            <v>0</v>
          </cell>
          <cell r="N264">
            <v>0</v>
          </cell>
          <cell r="O264">
            <v>255691</v>
          </cell>
          <cell r="P264">
            <v>190037</v>
          </cell>
          <cell r="Q264">
            <v>225200</v>
          </cell>
          <cell r="R264">
            <v>225200</v>
          </cell>
          <cell r="S264">
            <v>238967</v>
          </cell>
          <cell r="T264">
            <v>235696</v>
          </cell>
          <cell r="U264">
            <v>255104</v>
          </cell>
          <cell r="V264">
            <v>207773</v>
          </cell>
          <cell r="W264">
            <v>271330</v>
          </cell>
          <cell r="X264">
            <v>311315</v>
          </cell>
          <cell r="Y264">
            <v>362489</v>
          </cell>
          <cell r="Z264">
            <v>382346</v>
          </cell>
          <cell r="AA264">
            <v>269504</v>
          </cell>
          <cell r="AB264">
            <v>221884</v>
          </cell>
          <cell r="AC264">
            <v>227903</v>
          </cell>
          <cell r="AD264">
            <v>274642</v>
          </cell>
          <cell r="AE264">
            <v>254349</v>
          </cell>
          <cell r="AF264">
            <v>249004</v>
          </cell>
          <cell r="AG264">
            <v>226178</v>
          </cell>
          <cell r="AI264">
            <v>0</v>
          </cell>
        </row>
        <row r="265">
          <cell r="I265">
            <v>0</v>
          </cell>
          <cell r="J265">
            <v>0</v>
          </cell>
          <cell r="K265">
            <v>0</v>
          </cell>
          <cell r="L265">
            <v>-170</v>
          </cell>
          <cell r="M265">
            <v>-41</v>
          </cell>
          <cell r="N265">
            <v>-324</v>
          </cell>
          <cell r="O265">
            <v>812385</v>
          </cell>
          <cell r="P265">
            <v>769558</v>
          </cell>
          <cell r="Q265">
            <v>714911</v>
          </cell>
          <cell r="R265">
            <v>838713</v>
          </cell>
          <cell r="S265">
            <v>772316</v>
          </cell>
          <cell r="T265">
            <v>794812</v>
          </cell>
          <cell r="U265">
            <v>773263</v>
          </cell>
          <cell r="V265">
            <v>746984</v>
          </cell>
          <cell r="W265">
            <v>853317</v>
          </cell>
          <cell r="X265">
            <v>596009</v>
          </cell>
          <cell r="Y265">
            <v>191567</v>
          </cell>
          <cell r="Z265">
            <v>490510</v>
          </cell>
          <cell r="AA265">
            <v>420541</v>
          </cell>
          <cell r="AB265">
            <v>507553</v>
          </cell>
          <cell r="AC265">
            <v>854520</v>
          </cell>
          <cell r="AD265">
            <v>823364</v>
          </cell>
          <cell r="AE265">
            <v>235261</v>
          </cell>
          <cell r="AF265">
            <v>474310</v>
          </cell>
          <cell r="AG265">
            <v>272717</v>
          </cell>
          <cell r="AI265">
            <v>0</v>
          </cell>
        </row>
        <row r="266">
          <cell r="I266">
            <v>0</v>
          </cell>
          <cell r="J266">
            <v>33</v>
          </cell>
          <cell r="K266">
            <v>14</v>
          </cell>
          <cell r="L266">
            <v>0</v>
          </cell>
          <cell r="M266">
            <v>0</v>
          </cell>
          <cell r="N266">
            <v>-1015</v>
          </cell>
          <cell r="O266">
            <v>74635</v>
          </cell>
          <cell r="P266">
            <v>68984</v>
          </cell>
          <cell r="Q266">
            <v>64925</v>
          </cell>
          <cell r="R266">
            <v>76765</v>
          </cell>
          <cell r="S266">
            <v>77050</v>
          </cell>
          <cell r="T266">
            <v>86048</v>
          </cell>
          <cell r="U266">
            <v>71576</v>
          </cell>
          <cell r="V266">
            <v>69088</v>
          </cell>
          <cell r="W266">
            <v>101448</v>
          </cell>
          <cell r="X266">
            <v>101942</v>
          </cell>
          <cell r="Y266">
            <v>156232</v>
          </cell>
          <cell r="Z266">
            <v>131159</v>
          </cell>
          <cell r="AA266">
            <v>117436</v>
          </cell>
          <cell r="AB266">
            <v>132600</v>
          </cell>
          <cell r="AC266">
            <v>100995</v>
          </cell>
          <cell r="AD266">
            <v>84470</v>
          </cell>
          <cell r="AE266">
            <v>83385</v>
          </cell>
          <cell r="AF266">
            <v>75282</v>
          </cell>
          <cell r="AG266">
            <v>72505</v>
          </cell>
          <cell r="AI266">
            <v>33</v>
          </cell>
        </row>
        <row r="267">
          <cell r="I267">
            <v>0</v>
          </cell>
          <cell r="J267">
            <v>0</v>
          </cell>
          <cell r="K267">
            <v>0</v>
          </cell>
          <cell r="L267">
            <v>0</v>
          </cell>
          <cell r="M267">
            <v>0</v>
          </cell>
          <cell r="N267">
            <v>0</v>
          </cell>
          <cell r="O267">
            <v>84036</v>
          </cell>
          <cell r="P267">
            <v>89814</v>
          </cell>
          <cell r="Q267">
            <v>90312</v>
          </cell>
          <cell r="R267">
            <v>88874</v>
          </cell>
          <cell r="S267">
            <v>91979</v>
          </cell>
          <cell r="T267">
            <v>92059</v>
          </cell>
          <cell r="U267">
            <v>90940</v>
          </cell>
          <cell r="V267">
            <v>84373</v>
          </cell>
          <cell r="W267">
            <v>97157</v>
          </cell>
          <cell r="X267">
            <v>124763</v>
          </cell>
          <cell r="Y267">
            <v>159865</v>
          </cell>
          <cell r="Z267">
            <v>187173</v>
          </cell>
          <cell r="AA267">
            <v>115688</v>
          </cell>
          <cell r="AB267">
            <v>82003</v>
          </cell>
          <cell r="AC267">
            <v>88374</v>
          </cell>
          <cell r="AD267">
            <v>93701</v>
          </cell>
          <cell r="AE267">
            <v>87354</v>
          </cell>
          <cell r="AF267">
            <v>99944</v>
          </cell>
          <cell r="AG267">
            <v>84872</v>
          </cell>
          <cell r="AI267">
            <v>0</v>
          </cell>
        </row>
        <row r="268">
          <cell r="I268">
            <v>0</v>
          </cell>
          <cell r="J268">
            <v>0</v>
          </cell>
          <cell r="K268">
            <v>0</v>
          </cell>
          <cell r="L268">
            <v>0</v>
          </cell>
          <cell r="M268">
            <v>0</v>
          </cell>
          <cell r="N268">
            <v>0</v>
          </cell>
          <cell r="O268">
            <v>-110</v>
          </cell>
          <cell r="P268">
            <v>60874</v>
          </cell>
          <cell r="Q268">
            <v>60672</v>
          </cell>
          <cell r="R268">
            <v>101095</v>
          </cell>
          <cell r="S268">
            <v>106338</v>
          </cell>
          <cell r="T268">
            <v>77284</v>
          </cell>
          <cell r="U268">
            <v>78712</v>
          </cell>
          <cell r="V268">
            <v>65422</v>
          </cell>
          <cell r="W268">
            <v>81763</v>
          </cell>
          <cell r="X268">
            <v>90753</v>
          </cell>
          <cell r="Y268">
            <v>109240</v>
          </cell>
          <cell r="Z268">
            <v>111987</v>
          </cell>
          <cell r="AA268">
            <v>85844</v>
          </cell>
          <cell r="AB268">
            <v>71082</v>
          </cell>
          <cell r="AC268">
            <v>66046</v>
          </cell>
          <cell r="AD268">
            <v>75187</v>
          </cell>
          <cell r="AE268">
            <v>71620</v>
          </cell>
          <cell r="AF268">
            <v>74505</v>
          </cell>
          <cell r="AG268">
            <v>64832</v>
          </cell>
          <cell r="AI268">
            <v>0</v>
          </cell>
        </row>
        <row r="269">
          <cell r="I269">
            <v>0</v>
          </cell>
          <cell r="J269">
            <v>0</v>
          </cell>
          <cell r="K269">
            <v>0</v>
          </cell>
          <cell r="L269">
            <v>0</v>
          </cell>
          <cell r="M269">
            <v>0</v>
          </cell>
          <cell r="N269">
            <v>0</v>
          </cell>
          <cell r="O269">
            <v>0</v>
          </cell>
          <cell r="P269">
            <v>163219</v>
          </cell>
          <cell r="Q269">
            <v>157623</v>
          </cell>
          <cell r="R269">
            <v>171844</v>
          </cell>
          <cell r="S269">
            <v>171000</v>
          </cell>
          <cell r="T269">
            <v>171055</v>
          </cell>
          <cell r="U269">
            <v>166006</v>
          </cell>
          <cell r="V269">
            <v>154018</v>
          </cell>
          <cell r="W269">
            <v>189295</v>
          </cell>
          <cell r="X269">
            <v>232400</v>
          </cell>
          <cell r="Y269">
            <v>260270</v>
          </cell>
          <cell r="Z269">
            <v>268468</v>
          </cell>
          <cell r="AA269">
            <v>204246</v>
          </cell>
          <cell r="AB269">
            <v>158078</v>
          </cell>
          <cell r="AC269">
            <v>143616</v>
          </cell>
          <cell r="AD269">
            <v>164518</v>
          </cell>
          <cell r="AE269">
            <v>161818</v>
          </cell>
          <cell r="AF269">
            <v>143609</v>
          </cell>
          <cell r="AG269">
            <v>139369</v>
          </cell>
          <cell r="AI269">
            <v>0</v>
          </cell>
        </row>
        <row r="270">
          <cell r="I270">
            <v>0</v>
          </cell>
          <cell r="J270">
            <v>0</v>
          </cell>
          <cell r="K270">
            <v>0</v>
          </cell>
          <cell r="L270">
            <v>0</v>
          </cell>
          <cell r="M270">
            <v>0</v>
          </cell>
          <cell r="N270">
            <v>0</v>
          </cell>
          <cell r="O270">
            <v>0</v>
          </cell>
          <cell r="P270">
            <v>126363</v>
          </cell>
          <cell r="Q270">
            <v>119487</v>
          </cell>
          <cell r="R270">
            <v>131451</v>
          </cell>
          <cell r="S270">
            <v>131084</v>
          </cell>
          <cell r="T270">
            <v>163876</v>
          </cell>
          <cell r="U270">
            <v>149983</v>
          </cell>
          <cell r="V270">
            <v>145423</v>
          </cell>
          <cell r="W270">
            <v>167598</v>
          </cell>
          <cell r="X270">
            <v>155499</v>
          </cell>
          <cell r="Y270">
            <v>165210</v>
          </cell>
          <cell r="Z270">
            <v>183848</v>
          </cell>
          <cell r="AA270">
            <v>153512</v>
          </cell>
          <cell r="AB270">
            <v>144234</v>
          </cell>
          <cell r="AC270">
            <v>147378</v>
          </cell>
          <cell r="AD270">
            <v>140568</v>
          </cell>
          <cell r="AE270">
            <v>144539</v>
          </cell>
          <cell r="AF270">
            <v>151792</v>
          </cell>
          <cell r="AG270">
            <v>128900</v>
          </cell>
          <cell r="AI270">
            <v>0</v>
          </cell>
        </row>
        <row r="271">
          <cell r="I271">
            <v>0</v>
          </cell>
          <cell r="J271">
            <v>13</v>
          </cell>
          <cell r="K271">
            <v>0</v>
          </cell>
          <cell r="L271">
            <v>0</v>
          </cell>
          <cell r="M271">
            <v>0</v>
          </cell>
          <cell r="N271">
            <v>0</v>
          </cell>
          <cell r="O271">
            <v>-101</v>
          </cell>
          <cell r="P271">
            <v>155374</v>
          </cell>
          <cell r="Q271">
            <v>151226</v>
          </cell>
          <cell r="R271">
            <v>156095</v>
          </cell>
          <cell r="S271">
            <v>154645</v>
          </cell>
          <cell r="T271">
            <v>164632</v>
          </cell>
          <cell r="U271">
            <v>148209</v>
          </cell>
          <cell r="V271">
            <v>153537</v>
          </cell>
          <cell r="W271">
            <v>168423</v>
          </cell>
          <cell r="X271">
            <v>165886</v>
          </cell>
          <cell r="Y271">
            <v>124459</v>
          </cell>
          <cell r="Z271">
            <v>283807</v>
          </cell>
          <cell r="AA271">
            <v>173928</v>
          </cell>
          <cell r="AB271">
            <v>144888</v>
          </cell>
          <cell r="AC271">
            <v>126463</v>
          </cell>
          <cell r="AD271">
            <v>142164</v>
          </cell>
          <cell r="AE271">
            <v>137050</v>
          </cell>
          <cell r="AF271">
            <v>134849</v>
          </cell>
          <cell r="AG271">
            <v>132599</v>
          </cell>
          <cell r="AI271">
            <v>13</v>
          </cell>
        </row>
        <row r="272">
          <cell r="I272">
            <v>-126</v>
          </cell>
          <cell r="J272">
            <v>0</v>
          </cell>
          <cell r="K272">
            <v>0</v>
          </cell>
          <cell r="L272">
            <v>0</v>
          </cell>
          <cell r="M272">
            <v>-10</v>
          </cell>
          <cell r="N272">
            <v>0</v>
          </cell>
          <cell r="O272">
            <v>0</v>
          </cell>
          <cell r="P272">
            <v>130910</v>
          </cell>
          <cell r="Q272">
            <v>121821</v>
          </cell>
          <cell r="R272">
            <v>148266</v>
          </cell>
          <cell r="S272">
            <v>147098</v>
          </cell>
          <cell r="T272">
            <v>158004</v>
          </cell>
          <cell r="U272">
            <v>150038</v>
          </cell>
          <cell r="V272">
            <v>133288</v>
          </cell>
          <cell r="W272">
            <v>175280</v>
          </cell>
          <cell r="X272">
            <v>185141</v>
          </cell>
          <cell r="Y272">
            <v>228708</v>
          </cell>
          <cell r="Z272">
            <v>260221</v>
          </cell>
          <cell r="AA272">
            <v>213056</v>
          </cell>
          <cell r="AB272">
            <v>144696</v>
          </cell>
          <cell r="AC272">
            <v>133696</v>
          </cell>
          <cell r="AD272">
            <v>155638</v>
          </cell>
          <cell r="AE272">
            <v>151158</v>
          </cell>
          <cell r="AF272">
            <v>152751</v>
          </cell>
          <cell r="AG272">
            <v>145705</v>
          </cell>
          <cell r="AI272">
            <v>0</v>
          </cell>
        </row>
        <row r="273">
          <cell r="I273">
            <v>0</v>
          </cell>
          <cell r="J273">
            <v>0</v>
          </cell>
          <cell r="K273">
            <v>0</v>
          </cell>
          <cell r="L273">
            <v>0</v>
          </cell>
          <cell r="M273">
            <v>-110</v>
          </cell>
          <cell r="N273">
            <v>-2</v>
          </cell>
          <cell r="O273">
            <v>-231</v>
          </cell>
          <cell r="P273">
            <v>46739</v>
          </cell>
          <cell r="Q273">
            <v>43268</v>
          </cell>
          <cell r="R273">
            <v>41932</v>
          </cell>
          <cell r="S273">
            <v>38389</v>
          </cell>
          <cell r="T273">
            <v>35350</v>
          </cell>
          <cell r="U273">
            <v>47045</v>
          </cell>
          <cell r="V273">
            <v>37072</v>
          </cell>
          <cell r="W273">
            <v>46257</v>
          </cell>
          <cell r="X273">
            <v>50941</v>
          </cell>
          <cell r="Y273">
            <v>54364</v>
          </cell>
          <cell r="Z273">
            <v>68519</v>
          </cell>
          <cell r="AA273">
            <v>50135</v>
          </cell>
          <cell r="AB273">
            <v>42358</v>
          </cell>
          <cell r="AC273">
            <v>40676</v>
          </cell>
          <cell r="AD273">
            <v>42060</v>
          </cell>
          <cell r="AE273">
            <v>44957</v>
          </cell>
          <cell r="AF273">
            <v>46202</v>
          </cell>
          <cell r="AG273">
            <v>45305</v>
          </cell>
          <cell r="AI273">
            <v>0</v>
          </cell>
        </row>
        <row r="274">
          <cell r="I274">
            <v>0</v>
          </cell>
          <cell r="J274">
            <v>0</v>
          </cell>
          <cell r="K274">
            <v>0</v>
          </cell>
          <cell r="L274">
            <v>0</v>
          </cell>
          <cell r="M274">
            <v>0</v>
          </cell>
          <cell r="N274">
            <v>0</v>
          </cell>
          <cell r="O274">
            <v>0</v>
          </cell>
          <cell r="P274">
            <v>108849</v>
          </cell>
          <cell r="Q274">
            <v>101675</v>
          </cell>
          <cell r="R274">
            <v>120790</v>
          </cell>
          <cell r="S274">
            <v>113583</v>
          </cell>
          <cell r="T274">
            <v>114750</v>
          </cell>
          <cell r="U274">
            <v>41671</v>
          </cell>
          <cell r="V274">
            <v>164886</v>
          </cell>
          <cell r="W274">
            <v>94148</v>
          </cell>
          <cell r="X274">
            <v>106334</v>
          </cell>
          <cell r="Y274">
            <v>121368</v>
          </cell>
          <cell r="Z274">
            <v>141938</v>
          </cell>
          <cell r="AA274">
            <v>114057</v>
          </cell>
          <cell r="AB274">
            <v>88901</v>
          </cell>
          <cell r="AC274">
            <v>84055</v>
          </cell>
          <cell r="AD274">
            <v>100602</v>
          </cell>
          <cell r="AE274">
            <v>102822</v>
          </cell>
          <cell r="AF274">
            <v>104663</v>
          </cell>
          <cell r="AG274">
            <v>91493</v>
          </cell>
          <cell r="AI274">
            <v>0</v>
          </cell>
        </row>
        <row r="275">
          <cell r="I275">
            <v>0</v>
          </cell>
          <cell r="J275">
            <v>0</v>
          </cell>
          <cell r="K275">
            <v>0</v>
          </cell>
          <cell r="L275">
            <v>0</v>
          </cell>
          <cell r="M275">
            <v>-321</v>
          </cell>
          <cell r="N275">
            <v>-228</v>
          </cell>
          <cell r="O275">
            <v>0</v>
          </cell>
          <cell r="P275">
            <v>1288344</v>
          </cell>
          <cell r="Q275">
            <v>1210445</v>
          </cell>
          <cell r="R275">
            <v>1422671</v>
          </cell>
          <cell r="S275">
            <v>1319488</v>
          </cell>
          <cell r="T275">
            <v>1637476</v>
          </cell>
          <cell r="U275">
            <v>1288524</v>
          </cell>
          <cell r="V275">
            <v>1238155</v>
          </cell>
          <cell r="W275">
            <v>1424391</v>
          </cell>
          <cell r="X275">
            <v>1343365</v>
          </cell>
          <cell r="Y275">
            <v>1470969</v>
          </cell>
          <cell r="Z275">
            <v>1591531</v>
          </cell>
          <cell r="AA275">
            <v>1936571</v>
          </cell>
          <cell r="AB275">
            <v>967049</v>
          </cell>
          <cell r="AC275">
            <v>1290340</v>
          </cell>
          <cell r="AD275">
            <v>1329360</v>
          </cell>
          <cell r="AE275">
            <v>1295054</v>
          </cell>
          <cell r="AF275">
            <v>1414364</v>
          </cell>
          <cell r="AG275">
            <v>1189035</v>
          </cell>
          <cell r="AI275">
            <v>0</v>
          </cell>
        </row>
        <row r="276">
          <cell r="I276">
            <v>0</v>
          </cell>
          <cell r="J276">
            <v>0</v>
          </cell>
          <cell r="K276">
            <v>0</v>
          </cell>
          <cell r="L276">
            <v>0</v>
          </cell>
          <cell r="M276">
            <v>0</v>
          </cell>
          <cell r="N276">
            <v>0</v>
          </cell>
          <cell r="O276">
            <v>-1462</v>
          </cell>
          <cell r="P276">
            <v>114896</v>
          </cell>
          <cell r="Q276">
            <v>101929</v>
          </cell>
          <cell r="R276">
            <v>100877</v>
          </cell>
          <cell r="S276">
            <v>85103</v>
          </cell>
          <cell r="T276">
            <v>83204</v>
          </cell>
          <cell r="U276">
            <v>86927</v>
          </cell>
          <cell r="V276">
            <v>73016</v>
          </cell>
          <cell r="W276">
            <v>91227</v>
          </cell>
          <cell r="X276">
            <v>110802</v>
          </cell>
          <cell r="Y276">
            <v>128633</v>
          </cell>
          <cell r="Z276">
            <v>133751</v>
          </cell>
          <cell r="AA276">
            <v>130178</v>
          </cell>
          <cell r="AB276">
            <v>84825</v>
          </cell>
          <cell r="AC276">
            <v>68090</v>
          </cell>
          <cell r="AD276">
            <v>68049</v>
          </cell>
          <cell r="AE276">
            <v>69201</v>
          </cell>
          <cell r="AF276">
            <v>80037</v>
          </cell>
          <cell r="AG276">
            <v>69153</v>
          </cell>
          <cell r="AI276">
            <v>0</v>
          </cell>
        </row>
        <row r="277">
          <cell r="I277">
            <v>0</v>
          </cell>
          <cell r="J277">
            <v>0</v>
          </cell>
          <cell r="K277">
            <v>0</v>
          </cell>
          <cell r="L277">
            <v>0</v>
          </cell>
          <cell r="M277">
            <v>0</v>
          </cell>
          <cell r="N277">
            <v>0</v>
          </cell>
          <cell r="O277">
            <v>0</v>
          </cell>
          <cell r="P277">
            <v>55904</v>
          </cell>
          <cell r="Q277">
            <v>49836</v>
          </cell>
          <cell r="R277">
            <v>57114</v>
          </cell>
          <cell r="S277">
            <v>60673</v>
          </cell>
          <cell r="T277">
            <v>56406</v>
          </cell>
          <cell r="U277">
            <v>59737</v>
          </cell>
          <cell r="V277">
            <v>56115</v>
          </cell>
          <cell r="W277">
            <v>53165</v>
          </cell>
          <cell r="X277">
            <v>62411</v>
          </cell>
          <cell r="Y277">
            <v>73224</v>
          </cell>
          <cell r="Z277">
            <v>77593</v>
          </cell>
          <cell r="AA277">
            <v>67553</v>
          </cell>
          <cell r="AB277">
            <v>57940</v>
          </cell>
          <cell r="AC277">
            <v>50297</v>
          </cell>
          <cell r="AD277">
            <v>52498</v>
          </cell>
          <cell r="AE277">
            <v>52367</v>
          </cell>
          <cell r="AF277">
            <v>50700</v>
          </cell>
          <cell r="AG277">
            <v>48485</v>
          </cell>
          <cell r="AI277">
            <v>0</v>
          </cell>
        </row>
        <row r="278">
          <cell r="I278">
            <v>0</v>
          </cell>
          <cell r="J278">
            <v>0</v>
          </cell>
          <cell r="K278">
            <v>0</v>
          </cell>
          <cell r="L278">
            <v>0</v>
          </cell>
          <cell r="M278">
            <v>0</v>
          </cell>
          <cell r="N278">
            <v>0</v>
          </cell>
          <cell r="O278">
            <v>-22191</v>
          </cell>
          <cell r="P278">
            <v>400509</v>
          </cell>
          <cell r="Q278">
            <v>286583</v>
          </cell>
          <cell r="R278">
            <v>308964</v>
          </cell>
          <cell r="S278">
            <v>317266</v>
          </cell>
          <cell r="T278">
            <v>361326</v>
          </cell>
          <cell r="U278">
            <v>296825</v>
          </cell>
          <cell r="V278">
            <v>371191</v>
          </cell>
          <cell r="W278">
            <v>259188</v>
          </cell>
          <cell r="X278">
            <v>351506</v>
          </cell>
          <cell r="Y278">
            <v>447750</v>
          </cell>
          <cell r="Z278">
            <v>358486</v>
          </cell>
          <cell r="AA278">
            <v>396971</v>
          </cell>
          <cell r="AB278">
            <v>336057</v>
          </cell>
          <cell r="AC278">
            <v>297334</v>
          </cell>
          <cell r="AD278">
            <v>203490</v>
          </cell>
          <cell r="AE278">
            <v>1252661</v>
          </cell>
          <cell r="AF278">
            <v>1508322</v>
          </cell>
          <cell r="AG278">
            <v>267823</v>
          </cell>
          <cell r="AI278">
            <v>0</v>
          </cell>
        </row>
        <row r="280">
          <cell r="I280">
            <v>703896</v>
          </cell>
          <cell r="J280">
            <v>773075</v>
          </cell>
          <cell r="K280">
            <v>980770</v>
          </cell>
          <cell r="L280">
            <v>979062</v>
          </cell>
          <cell r="M280">
            <v>995688</v>
          </cell>
          <cell r="N280">
            <v>1106439</v>
          </cell>
          <cell r="O280">
            <v>740105</v>
          </cell>
          <cell r="P280">
            <v>689445</v>
          </cell>
          <cell r="Q280">
            <v>644483</v>
          </cell>
          <cell r="R280">
            <v>659976</v>
          </cell>
          <cell r="S280">
            <v>744065</v>
          </cell>
          <cell r="T280">
            <v>639046</v>
          </cell>
          <cell r="U280">
            <v>683357</v>
          </cell>
          <cell r="V280">
            <v>714620</v>
          </cell>
          <cell r="W280">
            <v>758324</v>
          </cell>
          <cell r="X280">
            <v>897702</v>
          </cell>
          <cell r="Y280">
            <v>1027356</v>
          </cell>
          <cell r="Z280">
            <v>987146</v>
          </cell>
          <cell r="AA280">
            <v>770049</v>
          </cell>
          <cell r="AB280">
            <v>613558</v>
          </cell>
          <cell r="AC280">
            <v>631254</v>
          </cell>
          <cell r="AD280">
            <v>725210</v>
          </cell>
          <cell r="AE280">
            <v>695101</v>
          </cell>
          <cell r="AF280">
            <v>630947</v>
          </cell>
          <cell r="AG280">
            <v>635588</v>
          </cell>
          <cell r="AI280">
            <v>773075</v>
          </cell>
        </row>
        <row r="281">
          <cell r="I281">
            <v>150626</v>
          </cell>
          <cell r="J281">
            <v>155578</v>
          </cell>
          <cell r="K281">
            <v>205907</v>
          </cell>
          <cell r="L281">
            <v>210391</v>
          </cell>
          <cell r="M281">
            <v>228281</v>
          </cell>
          <cell r="N281">
            <v>248992</v>
          </cell>
          <cell r="O281">
            <v>130328</v>
          </cell>
          <cell r="P281">
            <v>102343</v>
          </cell>
          <cell r="Q281">
            <v>116739</v>
          </cell>
          <cell r="R281">
            <v>113410</v>
          </cell>
          <cell r="S281">
            <v>128263</v>
          </cell>
          <cell r="T281">
            <v>121571</v>
          </cell>
          <cell r="U281">
            <v>112095</v>
          </cell>
          <cell r="V281">
            <v>113496</v>
          </cell>
          <cell r="W281">
            <v>143197</v>
          </cell>
          <cell r="X281">
            <v>173261</v>
          </cell>
          <cell r="Y281">
            <v>229850</v>
          </cell>
          <cell r="Z281">
            <v>202941</v>
          </cell>
          <cell r="AA281">
            <v>139705</v>
          </cell>
          <cell r="AB281">
            <v>105699</v>
          </cell>
          <cell r="AC281">
            <v>107241</v>
          </cell>
          <cell r="AD281">
            <v>133811</v>
          </cell>
          <cell r="AE281">
            <v>127884</v>
          </cell>
          <cell r="AF281">
            <v>109649</v>
          </cell>
          <cell r="AG281">
            <v>102150</v>
          </cell>
          <cell r="AI281">
            <v>155578</v>
          </cell>
        </row>
        <row r="282">
          <cell r="I282">
            <v>235862</v>
          </cell>
          <cell r="J282">
            <v>235147</v>
          </cell>
          <cell r="K282">
            <v>261636</v>
          </cell>
          <cell r="L282">
            <v>310576</v>
          </cell>
          <cell r="M282">
            <v>318934</v>
          </cell>
          <cell r="N282">
            <v>346628</v>
          </cell>
          <cell r="O282">
            <v>186174</v>
          </cell>
          <cell r="P282">
            <v>177912</v>
          </cell>
          <cell r="Q282">
            <v>183117</v>
          </cell>
          <cell r="R282">
            <v>210144</v>
          </cell>
          <cell r="S282">
            <v>216753</v>
          </cell>
          <cell r="T282">
            <v>205909</v>
          </cell>
          <cell r="U282">
            <v>207373</v>
          </cell>
          <cell r="V282">
            <v>191523</v>
          </cell>
          <cell r="W282">
            <v>216435</v>
          </cell>
          <cell r="X282">
            <v>219497</v>
          </cell>
          <cell r="Y282">
            <v>272391</v>
          </cell>
          <cell r="Z282">
            <v>276701</v>
          </cell>
          <cell r="AA282">
            <v>200199</v>
          </cell>
          <cell r="AB282">
            <v>168866</v>
          </cell>
          <cell r="AC282">
            <v>191733</v>
          </cell>
          <cell r="AD282">
            <v>227173</v>
          </cell>
          <cell r="AE282">
            <v>205176</v>
          </cell>
          <cell r="AF282">
            <v>218029</v>
          </cell>
          <cell r="AG282">
            <v>180851</v>
          </cell>
          <cell r="AI282">
            <v>235147</v>
          </cell>
        </row>
        <row r="283">
          <cell r="I283">
            <v>360264</v>
          </cell>
          <cell r="J283">
            <v>304532</v>
          </cell>
          <cell r="K283">
            <v>408280</v>
          </cell>
          <cell r="L283">
            <v>394683</v>
          </cell>
          <cell r="M283">
            <v>423726</v>
          </cell>
          <cell r="N283">
            <v>440910</v>
          </cell>
          <cell r="O283">
            <v>284234</v>
          </cell>
          <cell r="P283">
            <v>258613</v>
          </cell>
          <cell r="Q283">
            <v>253008</v>
          </cell>
          <cell r="R283">
            <v>298866</v>
          </cell>
          <cell r="S283">
            <v>309458</v>
          </cell>
          <cell r="T283">
            <v>315437</v>
          </cell>
          <cell r="U283">
            <v>255204</v>
          </cell>
          <cell r="V283">
            <v>285494</v>
          </cell>
          <cell r="W283">
            <v>282654</v>
          </cell>
          <cell r="X283">
            <v>302450</v>
          </cell>
          <cell r="Y283">
            <v>402803</v>
          </cell>
          <cell r="Z283">
            <v>335867</v>
          </cell>
          <cell r="AA283">
            <v>285074</v>
          </cell>
          <cell r="AB283">
            <v>233344</v>
          </cell>
          <cell r="AC283">
            <v>245225</v>
          </cell>
          <cell r="AD283">
            <v>324804</v>
          </cell>
          <cell r="AE283">
            <v>285868</v>
          </cell>
          <cell r="AF283">
            <v>286211</v>
          </cell>
          <cell r="AG283">
            <v>271357</v>
          </cell>
          <cell r="AI283">
            <v>304532</v>
          </cell>
        </row>
        <row r="284">
          <cell r="I284">
            <v>562554</v>
          </cell>
          <cell r="J284">
            <v>536237</v>
          </cell>
          <cell r="K284">
            <v>627231</v>
          </cell>
          <cell r="L284">
            <v>710972</v>
          </cell>
          <cell r="M284">
            <v>761447</v>
          </cell>
          <cell r="N284">
            <v>756673</v>
          </cell>
          <cell r="O284">
            <v>489041</v>
          </cell>
          <cell r="P284">
            <v>399488</v>
          </cell>
          <cell r="Q284">
            <v>414477</v>
          </cell>
          <cell r="R284">
            <v>492363</v>
          </cell>
          <cell r="S284">
            <v>477927</v>
          </cell>
          <cell r="T284">
            <v>472834</v>
          </cell>
          <cell r="U284">
            <v>452450</v>
          </cell>
          <cell r="V284">
            <v>628460</v>
          </cell>
          <cell r="W284">
            <v>690576</v>
          </cell>
          <cell r="X284">
            <v>679567</v>
          </cell>
          <cell r="Y284">
            <v>825881</v>
          </cell>
          <cell r="Z284">
            <v>816530</v>
          </cell>
          <cell r="AA284">
            <v>680757</v>
          </cell>
          <cell r="AB284">
            <v>565904</v>
          </cell>
          <cell r="AC284">
            <v>618825</v>
          </cell>
          <cell r="AD284">
            <v>705639</v>
          </cell>
          <cell r="AE284">
            <v>653412</v>
          </cell>
          <cell r="AF284">
            <v>666872</v>
          </cell>
          <cell r="AG284">
            <v>629122</v>
          </cell>
          <cell r="AI284">
            <v>536237</v>
          </cell>
        </row>
        <row r="285">
          <cell r="I285">
            <v>1362737</v>
          </cell>
          <cell r="J285">
            <v>1330162</v>
          </cell>
          <cell r="K285">
            <v>1445941</v>
          </cell>
          <cell r="L285">
            <v>1568949</v>
          </cell>
          <cell r="M285">
            <v>1559587</v>
          </cell>
          <cell r="N285">
            <v>1857319</v>
          </cell>
          <cell r="O285">
            <v>1265542</v>
          </cell>
          <cell r="P285">
            <v>1111631</v>
          </cell>
          <cell r="Q285">
            <v>1133055</v>
          </cell>
          <cell r="R285">
            <v>1270589</v>
          </cell>
          <cell r="S285">
            <v>1247369</v>
          </cell>
          <cell r="T285">
            <v>1259439</v>
          </cell>
          <cell r="U285">
            <v>1249736</v>
          </cell>
          <cell r="V285">
            <v>1140394</v>
          </cell>
          <cell r="W285">
            <v>1232577</v>
          </cell>
          <cell r="X285">
            <v>1324597</v>
          </cell>
          <cell r="Y285">
            <v>1389548</v>
          </cell>
          <cell r="Z285">
            <v>1473813</v>
          </cell>
          <cell r="AA285">
            <v>1272870</v>
          </cell>
          <cell r="AB285">
            <v>1078473</v>
          </cell>
          <cell r="AC285">
            <v>1170109</v>
          </cell>
          <cell r="AD285">
            <v>1304495</v>
          </cell>
          <cell r="AE285">
            <v>1275164</v>
          </cell>
          <cell r="AF285">
            <v>1245049</v>
          </cell>
          <cell r="AG285">
            <v>1151356</v>
          </cell>
          <cell r="AI285">
            <v>1330162</v>
          </cell>
        </row>
        <row r="286">
          <cell r="I286">
            <v>902571</v>
          </cell>
          <cell r="J286">
            <v>770186</v>
          </cell>
          <cell r="K286">
            <v>770586</v>
          </cell>
          <cell r="L286">
            <v>866428</v>
          </cell>
          <cell r="M286">
            <v>817155</v>
          </cell>
          <cell r="N286">
            <v>953876</v>
          </cell>
          <cell r="O286">
            <v>44987</v>
          </cell>
          <cell r="P286">
            <v>35389</v>
          </cell>
          <cell r="Q286">
            <v>37321</v>
          </cell>
          <cell r="R286">
            <v>38127</v>
          </cell>
          <cell r="S286">
            <v>39457</v>
          </cell>
          <cell r="T286">
            <v>41519</v>
          </cell>
          <cell r="U286">
            <v>36466</v>
          </cell>
          <cell r="V286">
            <v>35253</v>
          </cell>
          <cell r="W286">
            <v>53233</v>
          </cell>
          <cell r="X286">
            <v>54669</v>
          </cell>
          <cell r="Y286">
            <v>68547</v>
          </cell>
          <cell r="Z286">
            <v>73272</v>
          </cell>
          <cell r="AA286">
            <v>55031</v>
          </cell>
          <cell r="AB286">
            <v>35413</v>
          </cell>
          <cell r="AC286">
            <v>33677</v>
          </cell>
          <cell r="AD286">
            <v>38744</v>
          </cell>
          <cell r="AE286">
            <v>39111</v>
          </cell>
          <cell r="AF286">
            <v>34351</v>
          </cell>
          <cell r="AG286">
            <v>31949</v>
          </cell>
          <cell r="AI286">
            <v>770186</v>
          </cell>
        </row>
        <row r="287">
          <cell r="I287">
            <v>671512</v>
          </cell>
          <cell r="J287">
            <v>615086</v>
          </cell>
          <cell r="K287">
            <v>758442</v>
          </cell>
          <cell r="L287">
            <v>893207</v>
          </cell>
          <cell r="M287">
            <v>940405</v>
          </cell>
          <cell r="N287">
            <v>954186</v>
          </cell>
          <cell r="O287">
            <v>622183</v>
          </cell>
          <cell r="P287">
            <v>519451</v>
          </cell>
          <cell r="Q287">
            <v>551190</v>
          </cell>
          <cell r="R287">
            <v>672870</v>
          </cell>
          <cell r="S287">
            <v>658292</v>
          </cell>
          <cell r="T287">
            <v>679565</v>
          </cell>
          <cell r="U287">
            <v>590996</v>
          </cell>
          <cell r="V287">
            <v>522534</v>
          </cell>
          <cell r="W287">
            <v>701396</v>
          </cell>
          <cell r="X287">
            <v>670055</v>
          </cell>
          <cell r="Y287">
            <v>1032942</v>
          </cell>
          <cell r="Z287">
            <v>842028</v>
          </cell>
          <cell r="AA287">
            <v>745021</v>
          </cell>
          <cell r="AB287">
            <v>540665</v>
          </cell>
          <cell r="AC287">
            <v>560049</v>
          </cell>
          <cell r="AD287">
            <v>774507</v>
          </cell>
          <cell r="AE287">
            <v>662086</v>
          </cell>
          <cell r="AF287">
            <v>648932</v>
          </cell>
          <cell r="AG287">
            <v>616503</v>
          </cell>
          <cell r="AI287">
            <v>615086</v>
          </cell>
        </row>
        <row r="288">
          <cell r="I288">
            <v>687602</v>
          </cell>
          <cell r="J288">
            <v>688747</v>
          </cell>
          <cell r="K288">
            <v>818495</v>
          </cell>
          <cell r="L288">
            <v>857218</v>
          </cell>
          <cell r="M288">
            <v>933792</v>
          </cell>
          <cell r="N288">
            <v>1054708</v>
          </cell>
          <cell r="O288">
            <v>718795</v>
          </cell>
          <cell r="P288">
            <v>612683</v>
          </cell>
          <cell r="Q288">
            <v>641603</v>
          </cell>
          <cell r="R288">
            <v>661530</v>
          </cell>
          <cell r="S288">
            <v>687674</v>
          </cell>
          <cell r="T288">
            <v>721089</v>
          </cell>
          <cell r="U288">
            <v>669520</v>
          </cell>
          <cell r="V288">
            <v>631039</v>
          </cell>
          <cell r="W288">
            <v>723649</v>
          </cell>
          <cell r="X288">
            <v>750865</v>
          </cell>
          <cell r="Y288">
            <v>840884</v>
          </cell>
          <cell r="Z288">
            <v>968731</v>
          </cell>
          <cell r="AA288">
            <v>720892</v>
          </cell>
          <cell r="AB288">
            <v>595178</v>
          </cell>
          <cell r="AC288">
            <v>647798</v>
          </cell>
          <cell r="AD288">
            <v>711145</v>
          </cell>
          <cell r="AE288">
            <v>683063</v>
          </cell>
          <cell r="AF288">
            <v>740784</v>
          </cell>
          <cell r="AG288">
            <v>628973</v>
          </cell>
          <cell r="AI288">
            <v>688747</v>
          </cell>
        </row>
        <row r="289">
          <cell r="I289">
            <v>719578</v>
          </cell>
          <cell r="J289">
            <v>613193</v>
          </cell>
          <cell r="K289">
            <v>659583</v>
          </cell>
          <cell r="L289">
            <v>745545</v>
          </cell>
          <cell r="M289">
            <v>734961</v>
          </cell>
          <cell r="N289">
            <v>779397</v>
          </cell>
          <cell r="O289">
            <v>662115</v>
          </cell>
          <cell r="P289">
            <v>598232</v>
          </cell>
          <cell r="Q289">
            <v>566450</v>
          </cell>
          <cell r="R289">
            <v>597950</v>
          </cell>
          <cell r="S289">
            <v>642519</v>
          </cell>
          <cell r="T289">
            <v>611938</v>
          </cell>
          <cell r="U289">
            <v>616845</v>
          </cell>
          <cell r="V289">
            <v>519174</v>
          </cell>
          <cell r="W289">
            <v>590190</v>
          </cell>
          <cell r="X289">
            <v>531854</v>
          </cell>
          <cell r="Y289">
            <v>610641</v>
          </cell>
          <cell r="Z289">
            <v>715514</v>
          </cell>
          <cell r="AA289">
            <v>586277</v>
          </cell>
          <cell r="AB289">
            <v>497972</v>
          </cell>
          <cell r="AC289">
            <v>518024</v>
          </cell>
          <cell r="AD289">
            <v>645504</v>
          </cell>
          <cell r="AE289">
            <v>591225</v>
          </cell>
          <cell r="AF289">
            <v>607025</v>
          </cell>
          <cell r="AG289">
            <v>569325</v>
          </cell>
          <cell r="AI289">
            <v>613193</v>
          </cell>
        </row>
        <row r="290">
          <cell r="I290">
            <v>208280</v>
          </cell>
          <cell r="J290">
            <v>215637</v>
          </cell>
          <cell r="K290">
            <v>243277</v>
          </cell>
          <cell r="L290">
            <v>320183</v>
          </cell>
          <cell r="M290">
            <v>329141</v>
          </cell>
          <cell r="N290">
            <v>373370</v>
          </cell>
          <cell r="O290">
            <v>279378</v>
          </cell>
          <cell r="P290">
            <v>50950</v>
          </cell>
          <cell r="Q290">
            <v>42746</v>
          </cell>
          <cell r="R290">
            <v>50115</v>
          </cell>
          <cell r="S290">
            <v>51361</v>
          </cell>
          <cell r="T290">
            <v>50750</v>
          </cell>
          <cell r="U290">
            <v>48848</v>
          </cell>
          <cell r="V290">
            <v>45976</v>
          </cell>
          <cell r="W290">
            <v>58351</v>
          </cell>
          <cell r="X290">
            <v>62898</v>
          </cell>
          <cell r="Y290">
            <v>78424</v>
          </cell>
          <cell r="Z290">
            <v>82246</v>
          </cell>
          <cell r="AA290">
            <v>72514</v>
          </cell>
          <cell r="AB290">
            <v>53065</v>
          </cell>
          <cell r="AC290">
            <v>46729</v>
          </cell>
          <cell r="AD290">
            <v>55082</v>
          </cell>
          <cell r="AE290">
            <v>54588</v>
          </cell>
          <cell r="AF290">
            <v>48310</v>
          </cell>
          <cell r="AG290">
            <v>46601</v>
          </cell>
          <cell r="AI290">
            <v>215637</v>
          </cell>
        </row>
        <row r="291">
          <cell r="I291">
            <v>355985</v>
          </cell>
          <cell r="J291">
            <v>340467</v>
          </cell>
          <cell r="K291">
            <v>411443</v>
          </cell>
          <cell r="L291">
            <v>509976</v>
          </cell>
          <cell r="M291">
            <v>511113</v>
          </cell>
          <cell r="N291">
            <v>557325</v>
          </cell>
          <cell r="O291">
            <v>425207</v>
          </cell>
          <cell r="P291">
            <v>233233</v>
          </cell>
          <cell r="Q291">
            <v>210659</v>
          </cell>
          <cell r="R291">
            <v>216865</v>
          </cell>
          <cell r="S291">
            <v>230683</v>
          </cell>
          <cell r="T291">
            <v>248131</v>
          </cell>
          <cell r="U291">
            <v>219402</v>
          </cell>
          <cell r="V291">
            <v>209961</v>
          </cell>
          <cell r="W291">
            <v>300267</v>
          </cell>
          <cell r="X291">
            <v>285618</v>
          </cell>
          <cell r="Y291">
            <v>394821</v>
          </cell>
          <cell r="Z291">
            <v>396701</v>
          </cell>
          <cell r="AA291">
            <v>320526</v>
          </cell>
          <cell r="AB291">
            <v>229783</v>
          </cell>
          <cell r="AC291">
            <v>221497</v>
          </cell>
          <cell r="AD291">
            <v>245956</v>
          </cell>
          <cell r="AE291">
            <v>261011</v>
          </cell>
          <cell r="AF291">
            <v>261769</v>
          </cell>
          <cell r="AG291">
            <v>222105</v>
          </cell>
          <cell r="AI291">
            <v>340467</v>
          </cell>
        </row>
        <row r="292">
          <cell r="I292">
            <v>1369615</v>
          </cell>
          <cell r="J292">
            <v>1205308</v>
          </cell>
          <cell r="K292">
            <v>1268473</v>
          </cell>
          <cell r="L292">
            <v>1536471</v>
          </cell>
          <cell r="M292">
            <v>1404495</v>
          </cell>
          <cell r="N292">
            <v>1675146</v>
          </cell>
          <cell r="O292">
            <v>1275034</v>
          </cell>
          <cell r="P292">
            <v>1334160</v>
          </cell>
          <cell r="Q292">
            <v>1287155</v>
          </cell>
          <cell r="R292">
            <v>1624921</v>
          </cell>
          <cell r="S292">
            <v>1408111</v>
          </cell>
          <cell r="T292">
            <v>1628441</v>
          </cell>
          <cell r="U292">
            <v>1447533</v>
          </cell>
          <cell r="V292">
            <v>1255663</v>
          </cell>
          <cell r="W292">
            <v>1471499</v>
          </cell>
          <cell r="X292">
            <v>1342407</v>
          </cell>
          <cell r="Y292">
            <v>1480661</v>
          </cell>
          <cell r="Z292">
            <v>1645141</v>
          </cell>
          <cell r="AA292">
            <v>1416369</v>
          </cell>
          <cell r="AB292">
            <v>1324641</v>
          </cell>
          <cell r="AC292">
            <v>1109098</v>
          </cell>
          <cell r="AD292">
            <v>1575610</v>
          </cell>
          <cell r="AE292">
            <v>1442815</v>
          </cell>
          <cell r="AF292">
            <v>1584738</v>
          </cell>
          <cell r="AG292">
            <v>1313874</v>
          </cell>
          <cell r="AI292">
            <v>1205308</v>
          </cell>
        </row>
        <row r="293">
          <cell r="I293">
            <v>795625</v>
          </cell>
          <cell r="J293">
            <v>673549</v>
          </cell>
          <cell r="K293">
            <v>741206</v>
          </cell>
          <cell r="L293">
            <v>810943</v>
          </cell>
          <cell r="M293">
            <v>880474</v>
          </cell>
          <cell r="N293">
            <v>930742</v>
          </cell>
          <cell r="O293">
            <v>772612</v>
          </cell>
          <cell r="P293">
            <v>545427</v>
          </cell>
          <cell r="Q293">
            <v>544544</v>
          </cell>
          <cell r="R293">
            <v>679119</v>
          </cell>
          <cell r="S293">
            <v>626933</v>
          </cell>
          <cell r="T293">
            <v>726466</v>
          </cell>
          <cell r="U293">
            <v>615358</v>
          </cell>
          <cell r="V293">
            <v>573097</v>
          </cell>
          <cell r="W293">
            <v>628353</v>
          </cell>
          <cell r="X293">
            <v>591865</v>
          </cell>
          <cell r="Y293">
            <v>735032</v>
          </cell>
          <cell r="Z293">
            <v>790628</v>
          </cell>
          <cell r="AA293">
            <v>718055</v>
          </cell>
          <cell r="AB293">
            <v>577455</v>
          </cell>
          <cell r="AC293">
            <v>568183</v>
          </cell>
          <cell r="AD293">
            <v>694287</v>
          </cell>
          <cell r="AE293">
            <v>682385</v>
          </cell>
          <cell r="AF293">
            <v>698448</v>
          </cell>
          <cell r="AG293">
            <v>648607</v>
          </cell>
          <cell r="AI293">
            <v>673549</v>
          </cell>
        </row>
        <row r="294">
          <cell r="I294">
            <v>371453</v>
          </cell>
          <cell r="J294">
            <v>1006450</v>
          </cell>
          <cell r="K294">
            <v>1068268</v>
          </cell>
          <cell r="L294">
            <v>1251486</v>
          </cell>
          <cell r="M294">
            <v>1198601</v>
          </cell>
          <cell r="N294">
            <v>1405380</v>
          </cell>
          <cell r="O294">
            <v>1353596</v>
          </cell>
          <cell r="P294">
            <v>943671</v>
          </cell>
          <cell r="Q294">
            <v>959184</v>
          </cell>
          <cell r="R294">
            <v>1062388</v>
          </cell>
          <cell r="S294">
            <v>1141363</v>
          </cell>
          <cell r="T294">
            <v>1105201</v>
          </cell>
          <cell r="U294">
            <v>1168109</v>
          </cell>
          <cell r="V294">
            <v>918664</v>
          </cell>
          <cell r="W294">
            <v>1176508</v>
          </cell>
          <cell r="X294">
            <v>1160206</v>
          </cell>
          <cell r="Y294">
            <v>1214120</v>
          </cell>
          <cell r="Z294">
            <v>1658800</v>
          </cell>
          <cell r="AA294">
            <v>1087141</v>
          </cell>
          <cell r="AB294">
            <v>1057884</v>
          </cell>
          <cell r="AC294">
            <v>1034007</v>
          </cell>
          <cell r="AD294">
            <v>1108666</v>
          </cell>
          <cell r="AE294">
            <v>1229430</v>
          </cell>
          <cell r="AF294">
            <v>1108545</v>
          </cell>
          <cell r="AG294">
            <v>1024785</v>
          </cell>
          <cell r="AI294">
            <v>1006450</v>
          </cell>
        </row>
        <row r="295">
          <cell r="I295">
            <v>649107</v>
          </cell>
          <cell r="J295">
            <v>599385</v>
          </cell>
          <cell r="K295">
            <v>626397</v>
          </cell>
          <cell r="L295">
            <v>666274</v>
          </cell>
          <cell r="M295">
            <v>719027</v>
          </cell>
          <cell r="N295">
            <v>811844</v>
          </cell>
          <cell r="O295">
            <v>746508</v>
          </cell>
          <cell r="P295">
            <v>489757</v>
          </cell>
          <cell r="Q295">
            <v>495718</v>
          </cell>
          <cell r="R295">
            <v>567937</v>
          </cell>
          <cell r="S295">
            <v>542115</v>
          </cell>
          <cell r="T295">
            <v>651672</v>
          </cell>
          <cell r="U295">
            <v>549168</v>
          </cell>
          <cell r="V295">
            <v>513657</v>
          </cell>
          <cell r="W295">
            <v>550515</v>
          </cell>
          <cell r="X295">
            <v>522006</v>
          </cell>
          <cell r="Y295">
            <v>582864</v>
          </cell>
          <cell r="Z295">
            <v>656935</v>
          </cell>
          <cell r="AA295">
            <v>641833</v>
          </cell>
          <cell r="AB295">
            <v>474147</v>
          </cell>
          <cell r="AC295">
            <v>478701</v>
          </cell>
          <cell r="AD295">
            <v>594280</v>
          </cell>
          <cell r="AE295">
            <v>625788</v>
          </cell>
          <cell r="AF295">
            <v>578599</v>
          </cell>
          <cell r="AG295">
            <v>539505</v>
          </cell>
          <cell r="AI295">
            <v>599385</v>
          </cell>
        </row>
        <row r="296">
          <cell r="I296">
            <v>2139021</v>
          </cell>
          <cell r="J296">
            <v>1907276</v>
          </cell>
          <cell r="K296">
            <v>1866749</v>
          </cell>
          <cell r="L296">
            <v>2377231</v>
          </cell>
          <cell r="M296">
            <v>2244551</v>
          </cell>
          <cell r="N296">
            <v>2337945</v>
          </cell>
          <cell r="O296">
            <v>2605191</v>
          </cell>
          <cell r="P296">
            <v>539658</v>
          </cell>
          <cell r="Q296">
            <v>540228</v>
          </cell>
          <cell r="R296">
            <v>563431</v>
          </cell>
          <cell r="S296">
            <v>570445</v>
          </cell>
          <cell r="T296">
            <v>643036</v>
          </cell>
          <cell r="U296">
            <v>540176</v>
          </cell>
          <cell r="V296">
            <v>518800</v>
          </cell>
          <cell r="W296">
            <v>616297</v>
          </cell>
          <cell r="X296">
            <v>698553</v>
          </cell>
          <cell r="Y296">
            <v>831289</v>
          </cell>
          <cell r="Z296">
            <v>925270</v>
          </cell>
          <cell r="AA296">
            <v>928178</v>
          </cell>
          <cell r="AB296">
            <v>534823</v>
          </cell>
          <cell r="AC296">
            <v>539513</v>
          </cell>
          <cell r="AD296">
            <v>583159</v>
          </cell>
          <cell r="AE296">
            <v>614434</v>
          </cell>
          <cell r="AF296">
            <v>621486</v>
          </cell>
          <cell r="AG296">
            <v>543664</v>
          </cell>
          <cell r="AI296">
            <v>1907276</v>
          </cell>
        </row>
        <row r="297">
          <cell r="I297">
            <v>275832</v>
          </cell>
          <cell r="J297">
            <v>266792</v>
          </cell>
          <cell r="K297">
            <v>269982</v>
          </cell>
          <cell r="L297">
            <v>469382</v>
          </cell>
          <cell r="M297">
            <v>454409</v>
          </cell>
          <cell r="N297">
            <v>433910</v>
          </cell>
          <cell r="O297">
            <v>482056</v>
          </cell>
          <cell r="P297">
            <v>185324</v>
          </cell>
          <cell r="Q297">
            <v>147930</v>
          </cell>
          <cell r="R297">
            <v>167551</v>
          </cell>
          <cell r="S297">
            <v>158192</v>
          </cell>
          <cell r="T297">
            <v>180450</v>
          </cell>
          <cell r="U297">
            <v>137958</v>
          </cell>
          <cell r="V297">
            <v>139193</v>
          </cell>
          <cell r="W297">
            <v>182632</v>
          </cell>
          <cell r="X297">
            <v>193117</v>
          </cell>
          <cell r="Y297">
            <v>270952</v>
          </cell>
          <cell r="Z297">
            <v>283297</v>
          </cell>
          <cell r="AA297">
            <v>256766</v>
          </cell>
          <cell r="AB297">
            <v>166718</v>
          </cell>
          <cell r="AC297">
            <v>140752</v>
          </cell>
          <cell r="AD297">
            <v>135387</v>
          </cell>
          <cell r="AE297">
            <v>146097</v>
          </cell>
          <cell r="AF297">
            <v>154903</v>
          </cell>
          <cell r="AG297">
            <v>128943</v>
          </cell>
          <cell r="AI297">
            <v>266792</v>
          </cell>
        </row>
        <row r="298">
          <cell r="I298">
            <v>453203</v>
          </cell>
          <cell r="J298">
            <v>558954</v>
          </cell>
          <cell r="K298">
            <v>444244</v>
          </cell>
          <cell r="L298">
            <v>642621</v>
          </cell>
          <cell r="M298">
            <v>654040</v>
          </cell>
          <cell r="N298">
            <v>841357</v>
          </cell>
          <cell r="O298">
            <v>521283</v>
          </cell>
          <cell r="P298">
            <v>471536</v>
          </cell>
          <cell r="Q298">
            <v>410411</v>
          </cell>
          <cell r="R298">
            <v>462529</v>
          </cell>
          <cell r="S298">
            <v>488681</v>
          </cell>
          <cell r="T298">
            <v>484256</v>
          </cell>
          <cell r="U298">
            <v>470156</v>
          </cell>
          <cell r="V298">
            <v>454583</v>
          </cell>
          <cell r="W298">
            <v>493270</v>
          </cell>
          <cell r="X298">
            <v>510226</v>
          </cell>
          <cell r="Y298">
            <v>651841</v>
          </cell>
          <cell r="Z298">
            <v>889756</v>
          </cell>
          <cell r="AA298">
            <v>524925</v>
          </cell>
          <cell r="AB298">
            <v>492555</v>
          </cell>
          <cell r="AC298">
            <v>418347</v>
          </cell>
          <cell r="AD298">
            <v>429775</v>
          </cell>
          <cell r="AE298">
            <v>479685</v>
          </cell>
          <cell r="AF298">
            <v>459192</v>
          </cell>
          <cell r="AG298">
            <v>447147</v>
          </cell>
          <cell r="AI298">
            <v>558954</v>
          </cell>
        </row>
        <row r="299">
          <cell r="I299">
            <v>1016639</v>
          </cell>
          <cell r="J299">
            <v>1191647</v>
          </cell>
          <cell r="K299">
            <v>876124</v>
          </cell>
          <cell r="L299">
            <v>1308353</v>
          </cell>
          <cell r="M299">
            <v>1224014</v>
          </cell>
          <cell r="N299">
            <v>1205098</v>
          </cell>
          <cell r="O299">
            <v>1327025</v>
          </cell>
          <cell r="P299">
            <v>689226</v>
          </cell>
          <cell r="Q299">
            <v>659549</v>
          </cell>
          <cell r="R299">
            <v>709121</v>
          </cell>
          <cell r="S299">
            <v>714802</v>
          </cell>
          <cell r="T299">
            <v>658158</v>
          </cell>
          <cell r="U299">
            <v>602316</v>
          </cell>
          <cell r="V299">
            <v>525416</v>
          </cell>
          <cell r="W299">
            <v>589665</v>
          </cell>
          <cell r="X299">
            <v>626681</v>
          </cell>
          <cell r="Y299">
            <v>750778</v>
          </cell>
          <cell r="Z299">
            <v>756563</v>
          </cell>
          <cell r="AA299">
            <v>798198</v>
          </cell>
          <cell r="AB299">
            <v>631030</v>
          </cell>
          <cell r="AC299">
            <v>536873</v>
          </cell>
          <cell r="AD299">
            <v>628636</v>
          </cell>
          <cell r="AE299">
            <v>658301</v>
          </cell>
          <cell r="AF299">
            <v>654950</v>
          </cell>
          <cell r="AG299">
            <v>565459</v>
          </cell>
          <cell r="AI299">
            <v>1191647</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71</v>
          </cell>
          <cell r="AI301">
            <v>0</v>
          </cell>
        </row>
        <row r="302">
          <cell r="I302">
            <v>2386</v>
          </cell>
          <cell r="J302">
            <v>3436</v>
          </cell>
          <cell r="K302">
            <v>6165</v>
          </cell>
          <cell r="L302">
            <v>7744</v>
          </cell>
          <cell r="M302">
            <v>7982</v>
          </cell>
          <cell r="N302">
            <v>8968</v>
          </cell>
          <cell r="O302">
            <v>5332</v>
          </cell>
          <cell r="P302">
            <v>2520</v>
          </cell>
          <cell r="Q302">
            <v>2632</v>
          </cell>
          <cell r="R302">
            <v>2613</v>
          </cell>
          <cell r="S302">
            <v>2804</v>
          </cell>
          <cell r="T302">
            <v>2633</v>
          </cell>
          <cell r="U302">
            <v>2506</v>
          </cell>
          <cell r="V302">
            <v>4116</v>
          </cell>
          <cell r="W302">
            <v>5245</v>
          </cell>
          <cell r="X302">
            <v>7504</v>
          </cell>
          <cell r="Y302">
            <v>8822</v>
          </cell>
          <cell r="Z302">
            <v>9288</v>
          </cell>
          <cell r="AA302">
            <v>5412</v>
          </cell>
          <cell r="AB302">
            <v>3280</v>
          </cell>
          <cell r="AC302">
            <v>2832</v>
          </cell>
          <cell r="AD302">
            <v>2813</v>
          </cell>
          <cell r="AE302">
            <v>3444</v>
          </cell>
          <cell r="AF302">
            <v>993</v>
          </cell>
          <cell r="AG302">
            <v>2506</v>
          </cell>
          <cell r="AI302">
            <v>3436</v>
          </cell>
        </row>
        <row r="303">
          <cell r="I303">
            <v>20520</v>
          </cell>
          <cell r="J303">
            <v>23580</v>
          </cell>
          <cell r="K303">
            <v>25920</v>
          </cell>
          <cell r="L303">
            <v>28500</v>
          </cell>
          <cell r="M303">
            <v>31920</v>
          </cell>
          <cell r="N303">
            <v>23400</v>
          </cell>
          <cell r="O303">
            <v>19380</v>
          </cell>
          <cell r="P303">
            <v>14340</v>
          </cell>
          <cell r="Q303">
            <v>17220</v>
          </cell>
          <cell r="R303">
            <v>25380</v>
          </cell>
          <cell r="S303">
            <v>21180</v>
          </cell>
          <cell r="T303">
            <v>20520</v>
          </cell>
          <cell r="U303">
            <v>25920</v>
          </cell>
          <cell r="V303">
            <v>30000</v>
          </cell>
          <cell r="W303">
            <v>31980</v>
          </cell>
          <cell r="X303">
            <v>31440</v>
          </cell>
          <cell r="Y303">
            <v>30540</v>
          </cell>
          <cell r="Z303">
            <v>27900</v>
          </cell>
          <cell r="AA303">
            <v>29760</v>
          </cell>
          <cell r="AB303">
            <v>22980</v>
          </cell>
          <cell r="AC303">
            <v>20160</v>
          </cell>
          <cell r="AD303">
            <v>26820</v>
          </cell>
          <cell r="AE303">
            <v>29520</v>
          </cell>
          <cell r="AF303">
            <v>27000</v>
          </cell>
          <cell r="AG303">
            <v>27900</v>
          </cell>
          <cell r="AI303">
            <v>23580</v>
          </cell>
        </row>
        <row r="304">
          <cell r="I304">
            <v>566</v>
          </cell>
          <cell r="J304">
            <v>2529</v>
          </cell>
          <cell r="K304">
            <v>4013</v>
          </cell>
          <cell r="L304">
            <v>3910</v>
          </cell>
          <cell r="M304">
            <v>3892</v>
          </cell>
          <cell r="N304">
            <v>4523</v>
          </cell>
          <cell r="O304">
            <v>1435</v>
          </cell>
          <cell r="P304">
            <v>1769</v>
          </cell>
          <cell r="Q304">
            <v>605</v>
          </cell>
          <cell r="R304">
            <v>717</v>
          </cell>
          <cell r="S304">
            <v>569</v>
          </cell>
          <cell r="T304">
            <v>529</v>
          </cell>
          <cell r="U304">
            <v>631</v>
          </cell>
          <cell r="V304">
            <v>2330</v>
          </cell>
          <cell r="W304">
            <v>3203</v>
          </cell>
          <cell r="X304">
            <v>3437</v>
          </cell>
          <cell r="Y304">
            <v>4143</v>
          </cell>
          <cell r="Z304">
            <v>5570</v>
          </cell>
          <cell r="AA304">
            <v>3023</v>
          </cell>
          <cell r="AB304">
            <v>1650</v>
          </cell>
          <cell r="AC304">
            <v>918</v>
          </cell>
          <cell r="AD304">
            <v>950</v>
          </cell>
          <cell r="AE304">
            <v>979</v>
          </cell>
          <cell r="AF304">
            <v>852</v>
          </cell>
          <cell r="AG304">
            <v>841</v>
          </cell>
          <cell r="AI304">
            <v>2529</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I305">
            <v>0</v>
          </cell>
        </row>
        <row r="306">
          <cell r="I306">
            <v>6882</v>
          </cell>
          <cell r="J306">
            <v>10827</v>
          </cell>
          <cell r="K306">
            <v>14754</v>
          </cell>
          <cell r="L306">
            <v>18795</v>
          </cell>
          <cell r="M306">
            <v>17271</v>
          </cell>
          <cell r="N306">
            <v>52289</v>
          </cell>
          <cell r="O306">
            <v>66131</v>
          </cell>
          <cell r="P306">
            <v>42005</v>
          </cell>
          <cell r="Q306">
            <v>47686</v>
          </cell>
          <cell r="R306">
            <v>48446</v>
          </cell>
          <cell r="S306">
            <v>45465</v>
          </cell>
          <cell r="T306">
            <v>45352</v>
          </cell>
          <cell r="U306">
            <v>52002</v>
          </cell>
          <cell r="V306">
            <v>45387</v>
          </cell>
          <cell r="W306">
            <v>62754</v>
          </cell>
          <cell r="X306">
            <v>122475</v>
          </cell>
          <cell r="Y306">
            <v>75422</v>
          </cell>
          <cell r="Z306">
            <v>63217</v>
          </cell>
          <cell r="AA306">
            <v>55571</v>
          </cell>
          <cell r="AB306">
            <v>50645</v>
          </cell>
          <cell r="AC306">
            <v>62086</v>
          </cell>
          <cell r="AD306">
            <v>66686</v>
          </cell>
          <cell r="AE306">
            <v>57945</v>
          </cell>
          <cell r="AF306">
            <v>65512</v>
          </cell>
          <cell r="AG306">
            <v>62562</v>
          </cell>
          <cell r="AI306">
            <v>10827</v>
          </cell>
        </row>
        <row r="307">
          <cell r="I307">
            <v>13861</v>
          </cell>
          <cell r="J307">
            <v>29370</v>
          </cell>
          <cell r="K307">
            <v>5480</v>
          </cell>
          <cell r="L307">
            <v>7237</v>
          </cell>
          <cell r="M307">
            <v>6275</v>
          </cell>
          <cell r="N307">
            <v>10252</v>
          </cell>
          <cell r="O307">
            <v>36392</v>
          </cell>
          <cell r="P307">
            <v>17132</v>
          </cell>
          <cell r="Q307">
            <v>24956</v>
          </cell>
          <cell r="R307">
            <v>40273</v>
          </cell>
          <cell r="S307">
            <v>16029</v>
          </cell>
          <cell r="T307">
            <v>12125</v>
          </cell>
          <cell r="U307">
            <v>15432</v>
          </cell>
          <cell r="V307">
            <v>20374</v>
          </cell>
          <cell r="W307">
            <v>8804</v>
          </cell>
          <cell r="X307">
            <v>5388</v>
          </cell>
          <cell r="Y307">
            <v>7537</v>
          </cell>
          <cell r="Z307">
            <v>8350</v>
          </cell>
          <cell r="AA307">
            <v>22353</v>
          </cell>
          <cell r="AB307">
            <v>23854</v>
          </cell>
          <cell r="AC307">
            <v>22043</v>
          </cell>
          <cell r="AD307">
            <v>24890</v>
          </cell>
          <cell r="AE307">
            <v>44018</v>
          </cell>
          <cell r="AF307">
            <v>35328</v>
          </cell>
          <cell r="AG307">
            <v>24479</v>
          </cell>
          <cell r="AI307">
            <v>29370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I308">
            <v>0</v>
          </cell>
        </row>
        <row r="309">
          <cell r="I309">
            <v>3440</v>
          </cell>
          <cell r="J309">
            <v>3840</v>
          </cell>
          <cell r="K309">
            <v>6920</v>
          </cell>
          <cell r="L309">
            <v>14160</v>
          </cell>
          <cell r="M309">
            <v>15240</v>
          </cell>
          <cell r="N309">
            <v>10480</v>
          </cell>
          <cell r="O309">
            <v>8360</v>
          </cell>
          <cell r="P309">
            <v>4680</v>
          </cell>
          <cell r="Q309">
            <v>3840</v>
          </cell>
          <cell r="R309">
            <v>3880</v>
          </cell>
          <cell r="S309">
            <v>3440</v>
          </cell>
          <cell r="T309">
            <v>2720</v>
          </cell>
          <cell r="U309">
            <v>2920</v>
          </cell>
          <cell r="V309">
            <v>2800</v>
          </cell>
          <cell r="W309">
            <v>11880</v>
          </cell>
          <cell r="X309">
            <v>12760</v>
          </cell>
          <cell r="Y309">
            <v>21920</v>
          </cell>
          <cell r="Z309">
            <v>12240</v>
          </cell>
          <cell r="AA309">
            <v>7960</v>
          </cell>
          <cell r="AB309">
            <v>3840</v>
          </cell>
          <cell r="AC309">
            <v>3040</v>
          </cell>
          <cell r="AD309">
            <v>3360</v>
          </cell>
          <cell r="AE309">
            <v>4200</v>
          </cell>
          <cell r="AF309">
            <v>3600</v>
          </cell>
          <cell r="AG309">
            <v>4160</v>
          </cell>
          <cell r="AI309">
            <v>3840</v>
          </cell>
        </row>
        <row r="310">
          <cell r="I310">
            <v>10068</v>
          </cell>
          <cell r="J310">
            <v>8008</v>
          </cell>
          <cell r="K310">
            <v>9849</v>
          </cell>
          <cell r="L310">
            <v>10480</v>
          </cell>
          <cell r="M310">
            <v>10812</v>
          </cell>
          <cell r="N310">
            <v>10512</v>
          </cell>
          <cell r="O310">
            <v>7144</v>
          </cell>
          <cell r="P310">
            <v>6880</v>
          </cell>
          <cell r="Q310">
            <v>6144</v>
          </cell>
          <cell r="R310">
            <v>5707</v>
          </cell>
          <cell r="S310">
            <v>6968</v>
          </cell>
          <cell r="T310">
            <v>6467</v>
          </cell>
          <cell r="U310">
            <v>6452</v>
          </cell>
          <cell r="V310">
            <v>6072</v>
          </cell>
          <cell r="W310">
            <v>7769</v>
          </cell>
          <cell r="X310">
            <v>6848</v>
          </cell>
          <cell r="Y310">
            <v>7884</v>
          </cell>
          <cell r="Z310">
            <v>8816</v>
          </cell>
          <cell r="AA310">
            <v>8376</v>
          </cell>
          <cell r="AB310">
            <v>6896</v>
          </cell>
          <cell r="AC310">
            <v>6032</v>
          </cell>
          <cell r="AD310">
            <v>7266</v>
          </cell>
          <cell r="AE310">
            <v>6826</v>
          </cell>
          <cell r="AF310">
            <v>6138</v>
          </cell>
          <cell r="AG310">
            <v>6831</v>
          </cell>
          <cell r="AI310">
            <v>8008</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I311">
            <v>0</v>
          </cell>
        </row>
        <row r="312">
          <cell r="I312">
            <v>148120</v>
          </cell>
          <cell r="J312">
            <v>139640</v>
          </cell>
          <cell r="K312">
            <v>132480</v>
          </cell>
          <cell r="L312">
            <v>122120</v>
          </cell>
          <cell r="M312">
            <v>121920</v>
          </cell>
          <cell r="N312">
            <v>131600</v>
          </cell>
          <cell r="O312">
            <v>149960</v>
          </cell>
          <cell r="P312">
            <v>116440</v>
          </cell>
          <cell r="Q312">
            <v>119960</v>
          </cell>
          <cell r="R312">
            <v>128120</v>
          </cell>
          <cell r="S312">
            <v>130360</v>
          </cell>
          <cell r="T312">
            <v>139440</v>
          </cell>
          <cell r="U312">
            <v>116560</v>
          </cell>
          <cell r="V312">
            <v>109280</v>
          </cell>
          <cell r="W312">
            <v>121240</v>
          </cell>
          <cell r="X312">
            <v>121520</v>
          </cell>
          <cell r="Y312">
            <v>123880</v>
          </cell>
          <cell r="Z312">
            <v>124840</v>
          </cell>
          <cell r="AA312">
            <v>121680</v>
          </cell>
          <cell r="AB312">
            <v>113960</v>
          </cell>
          <cell r="AC312">
            <v>107120</v>
          </cell>
          <cell r="AD312">
            <v>127640</v>
          </cell>
          <cell r="AE312">
            <v>123400</v>
          </cell>
          <cell r="AF312">
            <v>122920</v>
          </cell>
          <cell r="AG312">
            <v>105360</v>
          </cell>
          <cell r="AI312">
            <v>139640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5400</v>
          </cell>
          <cell r="AE313">
            <v>5160</v>
          </cell>
          <cell r="AF313">
            <v>5800</v>
          </cell>
          <cell r="AG313">
            <v>5000</v>
          </cell>
          <cell r="AI313">
            <v>0</v>
          </cell>
        </row>
        <row r="314">
          <cell r="I314">
            <v>487375</v>
          </cell>
          <cell r="J314">
            <v>527389</v>
          </cell>
          <cell r="K314">
            <v>1607729</v>
          </cell>
          <cell r="L314">
            <v>1651058</v>
          </cell>
          <cell r="M314">
            <v>1738280</v>
          </cell>
          <cell r="N314">
            <v>1721902</v>
          </cell>
          <cell r="O314">
            <v>1875366</v>
          </cell>
          <cell r="P314">
            <v>1639589</v>
          </cell>
          <cell r="Q314">
            <v>1514998</v>
          </cell>
          <cell r="R314">
            <v>1824556</v>
          </cell>
          <cell r="S314">
            <v>1688626</v>
          </cell>
          <cell r="T314">
            <v>1813057</v>
          </cell>
          <cell r="U314">
            <v>1643313</v>
          </cell>
          <cell r="V314">
            <v>1499947</v>
          </cell>
          <cell r="W314">
            <v>1806876</v>
          </cell>
          <cell r="X314">
            <v>1781930</v>
          </cell>
          <cell r="Y314">
            <v>1792371</v>
          </cell>
          <cell r="Z314">
            <v>1958672</v>
          </cell>
          <cell r="AA314">
            <v>1802178</v>
          </cell>
          <cell r="AB314">
            <v>1683966</v>
          </cell>
          <cell r="AC314">
            <v>1634380</v>
          </cell>
          <cell r="AD314">
            <v>1692010</v>
          </cell>
          <cell r="AE314">
            <v>1618190</v>
          </cell>
          <cell r="AF314">
            <v>1571434</v>
          </cell>
          <cell r="AG314">
            <v>1733380</v>
          </cell>
          <cell r="AI314">
            <v>527389</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I315">
            <v>0</v>
          </cell>
        </row>
        <row r="316">
          <cell r="I316">
            <v>20074</v>
          </cell>
          <cell r="J316">
            <v>21157</v>
          </cell>
          <cell r="K316">
            <v>21182</v>
          </cell>
          <cell r="L316">
            <v>22072</v>
          </cell>
          <cell r="M316">
            <v>21831</v>
          </cell>
          <cell r="N316">
            <v>22724</v>
          </cell>
          <cell r="O316">
            <v>18966</v>
          </cell>
          <cell r="P316">
            <v>19360</v>
          </cell>
          <cell r="Q316">
            <v>18225</v>
          </cell>
          <cell r="R316">
            <v>20107</v>
          </cell>
          <cell r="S316">
            <v>21928</v>
          </cell>
          <cell r="T316">
            <v>18867</v>
          </cell>
          <cell r="U316">
            <v>17173</v>
          </cell>
          <cell r="V316">
            <v>16153</v>
          </cell>
          <cell r="W316">
            <v>19529</v>
          </cell>
          <cell r="X316">
            <v>22127</v>
          </cell>
          <cell r="Y316">
            <v>20525</v>
          </cell>
          <cell r="Z316">
            <v>18737</v>
          </cell>
          <cell r="AA316">
            <v>18584</v>
          </cell>
          <cell r="AB316">
            <v>19520</v>
          </cell>
          <cell r="AC316">
            <v>17825</v>
          </cell>
          <cell r="AD316">
            <v>18347</v>
          </cell>
          <cell r="AE316">
            <v>17448</v>
          </cell>
          <cell r="AF316">
            <v>13347</v>
          </cell>
          <cell r="AG316">
            <v>15573</v>
          </cell>
          <cell r="AI316">
            <v>21157</v>
          </cell>
        </row>
        <row r="317">
          <cell r="I317">
            <v>49393</v>
          </cell>
          <cell r="J317">
            <v>38793</v>
          </cell>
          <cell r="K317">
            <v>32489</v>
          </cell>
          <cell r="L317">
            <v>28207</v>
          </cell>
          <cell r="M317">
            <v>30485</v>
          </cell>
          <cell r="N317">
            <v>30837</v>
          </cell>
          <cell r="O317">
            <v>29144</v>
          </cell>
          <cell r="P317">
            <v>32640</v>
          </cell>
          <cell r="Q317">
            <v>41385</v>
          </cell>
          <cell r="R317">
            <v>53987</v>
          </cell>
          <cell r="S317">
            <v>56028</v>
          </cell>
          <cell r="T317">
            <v>64427</v>
          </cell>
          <cell r="U317">
            <v>52553</v>
          </cell>
          <cell r="V317">
            <v>42533</v>
          </cell>
          <cell r="W317">
            <v>32329</v>
          </cell>
          <cell r="X317">
            <v>32667</v>
          </cell>
          <cell r="Y317">
            <v>35885</v>
          </cell>
          <cell r="Z317">
            <v>35357</v>
          </cell>
          <cell r="AA317">
            <v>37844</v>
          </cell>
          <cell r="AB317">
            <v>39540</v>
          </cell>
          <cell r="AC317">
            <v>41425</v>
          </cell>
          <cell r="AD317">
            <v>64667</v>
          </cell>
          <cell r="AE317">
            <v>71528</v>
          </cell>
          <cell r="AF317">
            <v>71227</v>
          </cell>
          <cell r="AG317">
            <v>60613</v>
          </cell>
          <cell r="AI317">
            <v>38793</v>
          </cell>
        </row>
        <row r="318">
          <cell r="I318">
            <v>6019</v>
          </cell>
          <cell r="J318">
            <v>5323</v>
          </cell>
          <cell r="K318">
            <v>5873</v>
          </cell>
          <cell r="L318">
            <v>8973</v>
          </cell>
          <cell r="M318">
            <v>8107</v>
          </cell>
          <cell r="N318">
            <v>7505</v>
          </cell>
          <cell r="O318">
            <v>8706</v>
          </cell>
          <cell r="P318">
            <v>6499</v>
          </cell>
          <cell r="Q318">
            <v>5538</v>
          </cell>
          <cell r="R318">
            <v>6213</v>
          </cell>
          <cell r="S318">
            <v>5947</v>
          </cell>
          <cell r="T318">
            <v>5438</v>
          </cell>
          <cell r="U318">
            <v>6744</v>
          </cell>
          <cell r="V318">
            <v>5480</v>
          </cell>
          <cell r="W318">
            <v>7982</v>
          </cell>
          <cell r="X318">
            <v>7097</v>
          </cell>
          <cell r="Y318">
            <v>9739</v>
          </cell>
          <cell r="Z318">
            <v>8632</v>
          </cell>
          <cell r="AA318">
            <v>9061</v>
          </cell>
          <cell r="AB318">
            <v>6282</v>
          </cell>
          <cell r="AC318">
            <v>4979</v>
          </cell>
          <cell r="AD318">
            <v>5577</v>
          </cell>
          <cell r="AE318">
            <v>5361</v>
          </cell>
          <cell r="AF318">
            <v>5134</v>
          </cell>
          <cell r="AG318">
            <v>6146</v>
          </cell>
          <cell r="AI318">
            <v>5323</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I319">
            <v>0</v>
          </cell>
        </row>
        <row r="320">
          <cell r="I320">
            <v>2830500</v>
          </cell>
          <cell r="J320">
            <v>102300</v>
          </cell>
          <cell r="K320">
            <v>100500</v>
          </cell>
          <cell r="L320">
            <v>90900</v>
          </cell>
          <cell r="M320">
            <v>116100</v>
          </cell>
          <cell r="N320">
            <v>117600</v>
          </cell>
          <cell r="O320">
            <v>145500</v>
          </cell>
          <cell r="P320">
            <v>119700</v>
          </cell>
          <cell r="Q320">
            <v>103801</v>
          </cell>
          <cell r="R320">
            <v>97563</v>
          </cell>
          <cell r="S320">
            <v>103865</v>
          </cell>
          <cell r="T320">
            <v>101518</v>
          </cell>
          <cell r="U320">
            <v>108398</v>
          </cell>
          <cell r="V320">
            <v>113927</v>
          </cell>
          <cell r="W320">
            <v>120306</v>
          </cell>
          <cell r="X320">
            <v>120299</v>
          </cell>
          <cell r="Y320">
            <v>118503</v>
          </cell>
          <cell r="Z320">
            <v>127627</v>
          </cell>
          <cell r="AA320">
            <v>118431</v>
          </cell>
          <cell r="AB320">
            <v>103309</v>
          </cell>
          <cell r="AC320">
            <v>98911</v>
          </cell>
          <cell r="AD320">
            <v>96309</v>
          </cell>
          <cell r="AE320">
            <v>13907</v>
          </cell>
          <cell r="AF320">
            <v>6613</v>
          </cell>
          <cell r="AG320">
            <v>3286</v>
          </cell>
          <cell r="AI320">
            <v>102300</v>
          </cell>
        </row>
        <row r="322">
          <cell r="I322">
            <v>824194</v>
          </cell>
          <cell r="J322">
            <v>844928</v>
          </cell>
          <cell r="K322">
            <v>1069608</v>
          </cell>
          <cell r="L322">
            <v>1190564</v>
          </cell>
          <cell r="M322">
            <v>1050456</v>
          </cell>
          <cell r="N322">
            <v>952116</v>
          </cell>
          <cell r="O322">
            <v>870411</v>
          </cell>
          <cell r="P322">
            <v>804427</v>
          </cell>
          <cell r="Q322">
            <v>808266</v>
          </cell>
          <cell r="R322">
            <v>801437</v>
          </cell>
          <cell r="S322">
            <v>697702</v>
          </cell>
          <cell r="T322">
            <v>730077</v>
          </cell>
          <cell r="U322">
            <v>730400</v>
          </cell>
          <cell r="V322">
            <v>846202</v>
          </cell>
          <cell r="W322">
            <v>921680</v>
          </cell>
          <cell r="X322">
            <v>1045531</v>
          </cell>
          <cell r="Y322">
            <v>775491</v>
          </cell>
          <cell r="Z322">
            <v>872521</v>
          </cell>
          <cell r="AA322">
            <v>866312</v>
          </cell>
          <cell r="AB322">
            <v>803770</v>
          </cell>
          <cell r="AC322">
            <v>739893</v>
          </cell>
          <cell r="AD322">
            <v>704546</v>
          </cell>
          <cell r="AE322">
            <v>617024</v>
          </cell>
          <cell r="AF322">
            <v>648382</v>
          </cell>
          <cell r="AG322">
            <v>695633</v>
          </cell>
          <cell r="AI322">
            <v>844928</v>
          </cell>
        </row>
        <row r="323">
          <cell r="I323">
            <v>3558000</v>
          </cell>
          <cell r="J323">
            <v>3454500</v>
          </cell>
          <cell r="K323">
            <v>4188000</v>
          </cell>
          <cell r="L323">
            <v>3894000</v>
          </cell>
          <cell r="M323">
            <v>3594000</v>
          </cell>
          <cell r="N323">
            <v>3966000</v>
          </cell>
          <cell r="O323">
            <v>3453000</v>
          </cell>
          <cell r="P323">
            <v>3610500</v>
          </cell>
          <cell r="Q323">
            <v>3184500</v>
          </cell>
          <cell r="R323">
            <v>3069000</v>
          </cell>
          <cell r="S323">
            <v>2469000</v>
          </cell>
          <cell r="T323">
            <v>3184500</v>
          </cell>
          <cell r="U323">
            <v>2989500</v>
          </cell>
          <cell r="V323">
            <v>3541500</v>
          </cell>
          <cell r="W323">
            <v>3240000</v>
          </cell>
          <cell r="X323">
            <v>2943000</v>
          </cell>
          <cell r="Y323">
            <v>3460500</v>
          </cell>
          <cell r="Z323">
            <v>3316500</v>
          </cell>
          <cell r="AA323">
            <v>3223500</v>
          </cell>
          <cell r="AB323">
            <v>2586000</v>
          </cell>
          <cell r="AC323">
            <v>2629500</v>
          </cell>
          <cell r="AD323">
            <v>2673000</v>
          </cell>
          <cell r="AE323">
            <v>2550000</v>
          </cell>
          <cell r="AF323">
            <v>2511000</v>
          </cell>
          <cell r="AG323">
            <v>2842500</v>
          </cell>
          <cell r="AI323">
            <v>3454500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2560</v>
          </cell>
          <cell r="W324">
            <v>4480</v>
          </cell>
          <cell r="X324">
            <v>640</v>
          </cell>
          <cell r="Y324">
            <v>640</v>
          </cell>
          <cell r="Z324">
            <v>1600</v>
          </cell>
          <cell r="AA324">
            <v>3520</v>
          </cell>
          <cell r="AB324">
            <v>2880</v>
          </cell>
          <cell r="AC324">
            <v>2880</v>
          </cell>
          <cell r="AD324">
            <v>2560</v>
          </cell>
          <cell r="AE324">
            <v>2240</v>
          </cell>
          <cell r="AF324">
            <v>2880</v>
          </cell>
          <cell r="AG324">
            <v>1600</v>
          </cell>
          <cell r="AI324">
            <v>0</v>
          </cell>
        </row>
        <row r="325">
          <cell r="I325">
            <v>1011678</v>
          </cell>
          <cell r="J325">
            <v>1042752</v>
          </cell>
          <cell r="K325">
            <v>1213632</v>
          </cell>
          <cell r="L325">
            <v>1237203</v>
          </cell>
          <cell r="M325">
            <v>1120669</v>
          </cell>
          <cell r="N325">
            <v>1216869</v>
          </cell>
          <cell r="O325">
            <v>991823</v>
          </cell>
          <cell r="P325">
            <v>864800</v>
          </cell>
          <cell r="Q325">
            <v>898115</v>
          </cell>
          <cell r="R325">
            <v>900828</v>
          </cell>
          <cell r="S325">
            <v>744809</v>
          </cell>
          <cell r="T325">
            <v>864873</v>
          </cell>
          <cell r="U325">
            <v>897257</v>
          </cell>
          <cell r="V325">
            <v>1007696</v>
          </cell>
          <cell r="W325">
            <v>1274282</v>
          </cell>
          <cell r="X325">
            <v>1300448</v>
          </cell>
          <cell r="Y325">
            <v>1336178</v>
          </cell>
          <cell r="Z325">
            <v>1394591</v>
          </cell>
          <cell r="AA325">
            <v>1105113</v>
          </cell>
          <cell r="AB325">
            <v>967019</v>
          </cell>
          <cell r="AC325">
            <v>997296</v>
          </cell>
          <cell r="AD325">
            <v>948279</v>
          </cell>
          <cell r="AE325">
            <v>841696</v>
          </cell>
          <cell r="AF325">
            <v>819726</v>
          </cell>
          <cell r="AG325">
            <v>852481</v>
          </cell>
          <cell r="AI325">
            <v>1042752</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I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I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I328">
            <v>0</v>
          </cell>
        </row>
        <row r="329">
          <cell r="I329">
            <v>4</v>
          </cell>
          <cell r="J329">
            <v>8</v>
          </cell>
          <cell r="K329">
            <v>2</v>
          </cell>
          <cell r="L329">
            <v>5</v>
          </cell>
          <cell r="M329">
            <v>2</v>
          </cell>
          <cell r="N329">
            <v>30</v>
          </cell>
          <cell r="O329">
            <v>7</v>
          </cell>
          <cell r="P329">
            <v>4</v>
          </cell>
          <cell r="Q329">
            <v>6</v>
          </cell>
          <cell r="R329">
            <v>9</v>
          </cell>
          <cell r="S329">
            <v>10</v>
          </cell>
          <cell r="T329">
            <v>2</v>
          </cell>
          <cell r="U329">
            <v>21</v>
          </cell>
          <cell r="V329">
            <v>4</v>
          </cell>
          <cell r="W329">
            <v>30</v>
          </cell>
          <cell r="X329">
            <v>6</v>
          </cell>
          <cell r="Y329">
            <v>3</v>
          </cell>
          <cell r="Z329">
            <v>2</v>
          </cell>
          <cell r="AA329">
            <v>0</v>
          </cell>
          <cell r="AB329">
            <v>0</v>
          </cell>
          <cell r="AC329">
            <v>0</v>
          </cell>
          <cell r="AD329">
            <v>7</v>
          </cell>
          <cell r="AE329">
            <v>2</v>
          </cell>
          <cell r="AF329">
            <v>10</v>
          </cell>
          <cell r="AG329">
            <v>16</v>
          </cell>
          <cell r="AI329">
            <v>8</v>
          </cell>
        </row>
        <row r="330">
          <cell r="I330">
            <v>474800</v>
          </cell>
          <cell r="J330">
            <v>546800</v>
          </cell>
          <cell r="K330">
            <v>598800</v>
          </cell>
          <cell r="L330">
            <v>540800</v>
          </cell>
          <cell r="M330">
            <v>518800</v>
          </cell>
          <cell r="N330">
            <v>603600</v>
          </cell>
          <cell r="O330">
            <v>514400</v>
          </cell>
          <cell r="P330">
            <v>494800</v>
          </cell>
          <cell r="Q330">
            <v>583200</v>
          </cell>
          <cell r="R330">
            <v>521200</v>
          </cell>
          <cell r="S330">
            <v>546800</v>
          </cell>
          <cell r="T330">
            <v>504800</v>
          </cell>
          <cell r="U330">
            <v>587200</v>
          </cell>
          <cell r="V330">
            <v>531200</v>
          </cell>
          <cell r="W330">
            <v>682800</v>
          </cell>
          <cell r="X330">
            <v>732400</v>
          </cell>
          <cell r="Y330">
            <v>738000</v>
          </cell>
          <cell r="Z330">
            <v>832800</v>
          </cell>
          <cell r="AA330">
            <v>778000</v>
          </cell>
          <cell r="AB330">
            <v>756400</v>
          </cell>
          <cell r="AC330">
            <v>730000</v>
          </cell>
          <cell r="AD330">
            <v>683200</v>
          </cell>
          <cell r="AE330">
            <v>761200</v>
          </cell>
          <cell r="AF330">
            <v>747600</v>
          </cell>
          <cell r="AG330">
            <v>717200</v>
          </cell>
          <cell r="AI330">
            <v>546800</v>
          </cell>
        </row>
        <row r="331">
          <cell r="I331">
            <v>1037</v>
          </cell>
          <cell r="J331">
            <v>1459</v>
          </cell>
          <cell r="K331">
            <v>3462</v>
          </cell>
          <cell r="L331">
            <v>4842</v>
          </cell>
          <cell r="M331">
            <v>5814</v>
          </cell>
          <cell r="N331">
            <v>4440</v>
          </cell>
          <cell r="O331">
            <v>6553</v>
          </cell>
          <cell r="P331">
            <v>3313</v>
          </cell>
          <cell r="Q331">
            <v>2624</v>
          </cell>
          <cell r="R331">
            <v>2055</v>
          </cell>
          <cell r="S331">
            <v>872</v>
          </cell>
          <cell r="T331">
            <v>760</v>
          </cell>
          <cell r="U331">
            <v>854</v>
          </cell>
          <cell r="V331">
            <v>865</v>
          </cell>
          <cell r="W331">
            <v>2523</v>
          </cell>
          <cell r="X331">
            <v>3962</v>
          </cell>
          <cell r="Y331">
            <v>7505</v>
          </cell>
          <cell r="Z331">
            <v>2518</v>
          </cell>
          <cell r="AA331">
            <v>2617</v>
          </cell>
          <cell r="AB331">
            <v>530</v>
          </cell>
          <cell r="AC331">
            <v>482</v>
          </cell>
          <cell r="AD331">
            <v>663</v>
          </cell>
          <cell r="AE331">
            <v>701</v>
          </cell>
          <cell r="AF331">
            <v>770</v>
          </cell>
          <cell r="AG331">
            <v>527</v>
          </cell>
          <cell r="AI331">
            <v>1459</v>
          </cell>
        </row>
        <row r="332">
          <cell r="I332">
            <v>2496633</v>
          </cell>
          <cell r="J332">
            <v>2711856</v>
          </cell>
          <cell r="K332">
            <v>2881245</v>
          </cell>
          <cell r="L332">
            <v>3341153</v>
          </cell>
          <cell r="M332">
            <v>2861865</v>
          </cell>
          <cell r="N332">
            <v>3412291</v>
          </cell>
          <cell r="O332">
            <v>3193162</v>
          </cell>
          <cell r="P332">
            <v>2574515</v>
          </cell>
          <cell r="Q332">
            <v>2472712</v>
          </cell>
          <cell r="R332">
            <v>2498822</v>
          </cell>
          <cell r="S332">
            <v>3226381</v>
          </cell>
          <cell r="T332">
            <v>2895773</v>
          </cell>
          <cell r="U332">
            <v>3120933</v>
          </cell>
          <cell r="V332">
            <v>3008802</v>
          </cell>
          <cell r="W332">
            <v>3076077</v>
          </cell>
          <cell r="X332">
            <v>3331520</v>
          </cell>
          <cell r="Y332">
            <v>3255434</v>
          </cell>
          <cell r="Z332">
            <v>2296460</v>
          </cell>
          <cell r="AA332">
            <v>2540949</v>
          </cell>
          <cell r="AB332">
            <v>2358675</v>
          </cell>
          <cell r="AC332">
            <v>2257769</v>
          </cell>
          <cell r="AD332">
            <v>2220384</v>
          </cell>
          <cell r="AE332">
            <v>2234440</v>
          </cell>
          <cell r="AF332">
            <v>2204306</v>
          </cell>
          <cell r="AG332">
            <v>2080909</v>
          </cell>
          <cell r="AI332">
            <v>2711856</v>
          </cell>
        </row>
        <row r="333">
          <cell r="I333">
            <v>7872</v>
          </cell>
          <cell r="J333">
            <v>8736</v>
          </cell>
          <cell r="K333">
            <v>9312</v>
          </cell>
          <cell r="L333">
            <v>9312</v>
          </cell>
          <cell r="M333">
            <v>9792</v>
          </cell>
          <cell r="N333">
            <v>11616</v>
          </cell>
          <cell r="O333">
            <v>9600</v>
          </cell>
          <cell r="P333">
            <v>10752</v>
          </cell>
          <cell r="Q333">
            <v>7872</v>
          </cell>
          <cell r="R333">
            <v>7776</v>
          </cell>
          <cell r="S333">
            <v>7200</v>
          </cell>
          <cell r="T333">
            <v>8544</v>
          </cell>
          <cell r="U333">
            <v>9024</v>
          </cell>
          <cell r="V333">
            <v>8064</v>
          </cell>
          <cell r="W333">
            <v>12096</v>
          </cell>
          <cell r="X333">
            <v>10656</v>
          </cell>
          <cell r="Y333">
            <v>12672</v>
          </cell>
          <cell r="Z333">
            <v>13056</v>
          </cell>
          <cell r="AA333">
            <v>10656</v>
          </cell>
          <cell r="AB333">
            <v>8352</v>
          </cell>
          <cell r="AC333">
            <v>8352</v>
          </cell>
          <cell r="AD333">
            <v>8160</v>
          </cell>
          <cell r="AE333">
            <v>8064</v>
          </cell>
          <cell r="AF333">
            <v>6816</v>
          </cell>
          <cell r="AG333">
            <v>7680</v>
          </cell>
          <cell r="AI333">
            <v>8736</v>
          </cell>
        </row>
        <row r="334">
          <cell r="I334">
            <v>5252060</v>
          </cell>
          <cell r="J334">
            <v>4761873</v>
          </cell>
          <cell r="K334">
            <v>5604078</v>
          </cell>
          <cell r="L334">
            <v>4887753</v>
          </cell>
          <cell r="M334">
            <v>5169812</v>
          </cell>
          <cell r="N334">
            <v>5519434</v>
          </cell>
          <cell r="O334">
            <v>4995355</v>
          </cell>
          <cell r="P334">
            <v>4456520</v>
          </cell>
          <cell r="Q334">
            <v>4202130</v>
          </cell>
          <cell r="R334">
            <v>4631840</v>
          </cell>
          <cell r="S334">
            <v>4641869</v>
          </cell>
          <cell r="T334">
            <v>4572870</v>
          </cell>
          <cell r="U334">
            <v>4563991</v>
          </cell>
          <cell r="V334">
            <v>4667640</v>
          </cell>
          <cell r="W334">
            <v>5721241</v>
          </cell>
          <cell r="X334">
            <v>5450249</v>
          </cell>
          <cell r="Y334">
            <v>5692202</v>
          </cell>
          <cell r="Z334">
            <v>6133907</v>
          </cell>
          <cell r="AA334">
            <v>5134450</v>
          </cell>
          <cell r="AB334">
            <v>4996031</v>
          </cell>
          <cell r="AC334">
            <v>4921785</v>
          </cell>
          <cell r="AD334">
            <v>4361535</v>
          </cell>
          <cell r="AE334">
            <v>5101331</v>
          </cell>
          <cell r="AF334">
            <v>4848860</v>
          </cell>
          <cell r="AG334">
            <v>4792636</v>
          </cell>
          <cell r="AI334">
            <v>4761873</v>
          </cell>
        </row>
        <row r="335">
          <cell r="I335">
            <v>93088</v>
          </cell>
          <cell r="J335">
            <v>112431</v>
          </cell>
          <cell r="K335">
            <v>65613</v>
          </cell>
          <cell r="L335">
            <v>46307</v>
          </cell>
          <cell r="M335">
            <v>99534</v>
          </cell>
          <cell r="N335">
            <v>70992</v>
          </cell>
          <cell r="O335">
            <v>99095</v>
          </cell>
          <cell r="P335">
            <v>92161</v>
          </cell>
          <cell r="Q335">
            <v>92047</v>
          </cell>
          <cell r="R335">
            <v>85602</v>
          </cell>
          <cell r="S335">
            <v>91443</v>
          </cell>
          <cell r="T335">
            <v>70241</v>
          </cell>
          <cell r="U335">
            <v>14611</v>
          </cell>
          <cell r="V335">
            <v>32403</v>
          </cell>
          <cell r="W335">
            <v>88344</v>
          </cell>
          <cell r="X335">
            <v>53076</v>
          </cell>
          <cell r="Y335">
            <v>67776</v>
          </cell>
          <cell r="Z335">
            <v>82230</v>
          </cell>
          <cell r="AA335">
            <v>91696</v>
          </cell>
          <cell r="AB335">
            <v>99639</v>
          </cell>
          <cell r="AC335">
            <v>101734</v>
          </cell>
          <cell r="AD335">
            <v>78014</v>
          </cell>
          <cell r="AE335">
            <v>40528</v>
          </cell>
          <cell r="AF335">
            <v>38855</v>
          </cell>
          <cell r="AG335">
            <v>85539</v>
          </cell>
          <cell r="AI335">
            <v>112431</v>
          </cell>
        </row>
        <row r="336">
          <cell r="I336">
            <v>614400</v>
          </cell>
          <cell r="J336">
            <v>517200</v>
          </cell>
          <cell r="K336">
            <v>515400</v>
          </cell>
          <cell r="L336">
            <v>484200</v>
          </cell>
          <cell r="M336">
            <v>442200</v>
          </cell>
          <cell r="N336">
            <v>554400</v>
          </cell>
          <cell r="O336">
            <v>538800</v>
          </cell>
          <cell r="P336">
            <v>505200</v>
          </cell>
          <cell r="Q336">
            <v>439200</v>
          </cell>
          <cell r="R336">
            <v>473400</v>
          </cell>
          <cell r="S336">
            <v>514800</v>
          </cell>
          <cell r="T336">
            <v>444600</v>
          </cell>
          <cell r="U336">
            <v>512400</v>
          </cell>
          <cell r="V336">
            <v>396600</v>
          </cell>
          <cell r="W336">
            <v>556200</v>
          </cell>
          <cell r="X336">
            <v>539400</v>
          </cell>
          <cell r="Y336">
            <v>466200</v>
          </cell>
          <cell r="Z336">
            <v>573600</v>
          </cell>
          <cell r="AA336">
            <v>442200</v>
          </cell>
          <cell r="AB336">
            <v>472200</v>
          </cell>
          <cell r="AC336">
            <v>466800</v>
          </cell>
          <cell r="AD336">
            <v>455400</v>
          </cell>
          <cell r="AE336">
            <v>406800</v>
          </cell>
          <cell r="AF336">
            <v>383400</v>
          </cell>
          <cell r="AG336">
            <v>438600</v>
          </cell>
          <cell r="AI336">
            <v>517200</v>
          </cell>
        </row>
        <row r="337">
          <cell r="I337">
            <v>129000</v>
          </cell>
          <cell r="J337">
            <v>158640</v>
          </cell>
          <cell r="K337">
            <v>114920</v>
          </cell>
          <cell r="L337">
            <v>114600</v>
          </cell>
          <cell r="M337">
            <v>110240</v>
          </cell>
          <cell r="N337">
            <v>203280</v>
          </cell>
          <cell r="O337">
            <v>0</v>
          </cell>
          <cell r="P337">
            <v>54000</v>
          </cell>
          <cell r="Q337">
            <v>99080</v>
          </cell>
          <cell r="R337">
            <v>52800</v>
          </cell>
          <cell r="S337">
            <v>19800</v>
          </cell>
          <cell r="T337">
            <v>24840</v>
          </cell>
          <cell r="U337">
            <v>22360</v>
          </cell>
          <cell r="V337">
            <v>20720</v>
          </cell>
          <cell r="W337">
            <v>21320</v>
          </cell>
          <cell r="X337">
            <v>20400</v>
          </cell>
          <cell r="Y337">
            <v>21520</v>
          </cell>
          <cell r="Z337">
            <v>29200</v>
          </cell>
          <cell r="AA337">
            <v>26308</v>
          </cell>
          <cell r="AB337">
            <v>21606</v>
          </cell>
          <cell r="AC337">
            <v>13206</v>
          </cell>
          <cell r="AD337">
            <v>15080</v>
          </cell>
          <cell r="AE337">
            <v>13132</v>
          </cell>
          <cell r="AF337">
            <v>18668</v>
          </cell>
          <cell r="AG337">
            <v>69080</v>
          </cell>
          <cell r="AI337">
            <v>158640</v>
          </cell>
        </row>
        <row r="338">
          <cell r="I338">
            <v>1068</v>
          </cell>
          <cell r="J338">
            <v>1210</v>
          </cell>
          <cell r="K338">
            <v>1647</v>
          </cell>
          <cell r="L338">
            <v>2429</v>
          </cell>
          <cell r="M338">
            <v>1960</v>
          </cell>
          <cell r="N338">
            <v>1752</v>
          </cell>
          <cell r="O338">
            <v>1991</v>
          </cell>
          <cell r="P338">
            <v>1233</v>
          </cell>
          <cell r="Q338">
            <v>924</v>
          </cell>
          <cell r="R338">
            <v>1094</v>
          </cell>
          <cell r="S338">
            <v>1416</v>
          </cell>
          <cell r="T338">
            <v>1405</v>
          </cell>
          <cell r="U338">
            <v>1146</v>
          </cell>
          <cell r="V338">
            <v>985</v>
          </cell>
          <cell r="W338">
            <v>1736</v>
          </cell>
          <cell r="X338">
            <v>1883</v>
          </cell>
          <cell r="Y338">
            <v>2239</v>
          </cell>
          <cell r="Z338">
            <v>2613</v>
          </cell>
          <cell r="AA338">
            <v>2041</v>
          </cell>
          <cell r="AB338">
            <v>1191</v>
          </cell>
          <cell r="AC338">
            <v>1153</v>
          </cell>
          <cell r="AD338">
            <v>1432</v>
          </cell>
          <cell r="AE338">
            <v>1471</v>
          </cell>
          <cell r="AF338">
            <v>1224</v>
          </cell>
          <cell r="AG338">
            <v>929</v>
          </cell>
          <cell r="AI338">
            <v>1210</v>
          </cell>
        </row>
        <row r="339">
          <cell r="I339">
            <v>2495808</v>
          </cell>
          <cell r="J339">
            <v>2755788</v>
          </cell>
          <cell r="K339">
            <v>2698296</v>
          </cell>
          <cell r="L339">
            <v>3093396</v>
          </cell>
          <cell r="M339">
            <v>2973948</v>
          </cell>
          <cell r="N339">
            <v>4089912</v>
          </cell>
          <cell r="O339">
            <v>2108736</v>
          </cell>
          <cell r="P339">
            <v>2759976</v>
          </cell>
          <cell r="Q339">
            <v>2602980</v>
          </cell>
          <cell r="R339">
            <v>2458716</v>
          </cell>
          <cell r="S339">
            <v>2886432</v>
          </cell>
          <cell r="T339">
            <v>2401608</v>
          </cell>
          <cell r="U339">
            <v>2764200</v>
          </cell>
          <cell r="V339">
            <v>2786268</v>
          </cell>
          <cell r="W339">
            <v>3227028</v>
          </cell>
          <cell r="X339">
            <v>3142632</v>
          </cell>
          <cell r="Y339">
            <v>3183384</v>
          </cell>
          <cell r="Z339">
            <v>4504632</v>
          </cell>
          <cell r="AA339">
            <v>2111712</v>
          </cell>
          <cell r="AB339">
            <v>3014208</v>
          </cell>
          <cell r="AC339">
            <v>2863548</v>
          </cell>
          <cell r="AD339">
            <v>2572896</v>
          </cell>
          <cell r="AE339">
            <v>2666256</v>
          </cell>
          <cell r="AF339">
            <v>2698248</v>
          </cell>
          <cell r="AG339">
            <v>2835984</v>
          </cell>
          <cell r="AI339">
            <v>2755788</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I340">
            <v>0</v>
          </cell>
        </row>
        <row r="341">
          <cell r="I341">
            <v>1753200</v>
          </cell>
          <cell r="J341">
            <v>1860600</v>
          </cell>
          <cell r="K341">
            <v>1842600</v>
          </cell>
          <cell r="L341">
            <v>2137800</v>
          </cell>
          <cell r="M341">
            <v>2020200</v>
          </cell>
          <cell r="N341">
            <v>2068800</v>
          </cell>
          <cell r="O341">
            <v>1711200</v>
          </cell>
          <cell r="P341">
            <v>1821600</v>
          </cell>
          <cell r="Q341">
            <v>1698600</v>
          </cell>
          <cell r="R341">
            <v>1374600</v>
          </cell>
          <cell r="S341">
            <v>1416000</v>
          </cell>
          <cell r="T341">
            <v>1186800</v>
          </cell>
          <cell r="U341">
            <v>1378800</v>
          </cell>
          <cell r="V341">
            <v>1255800</v>
          </cell>
          <cell r="W341">
            <v>1455000</v>
          </cell>
          <cell r="X341">
            <v>1678800</v>
          </cell>
          <cell r="Y341">
            <v>1520400</v>
          </cell>
          <cell r="Z341">
            <v>1680000</v>
          </cell>
          <cell r="AA341">
            <v>1524000</v>
          </cell>
          <cell r="AB341">
            <v>1236600</v>
          </cell>
          <cell r="AC341">
            <v>1570800</v>
          </cell>
          <cell r="AD341">
            <v>1262400</v>
          </cell>
          <cell r="AE341">
            <v>1113000</v>
          </cell>
          <cell r="AF341">
            <v>937800</v>
          </cell>
          <cell r="AG341">
            <v>1143000</v>
          </cell>
          <cell r="AI341">
            <v>1860600</v>
          </cell>
        </row>
        <row r="343">
          <cell r="I343">
            <v>471</v>
          </cell>
          <cell r="J343">
            <v>1171</v>
          </cell>
          <cell r="K343">
            <v>995</v>
          </cell>
          <cell r="L343">
            <v>999</v>
          </cell>
          <cell r="M343">
            <v>1085</v>
          </cell>
          <cell r="N343">
            <v>3978</v>
          </cell>
          <cell r="O343">
            <v>1355</v>
          </cell>
          <cell r="P343">
            <v>1051</v>
          </cell>
          <cell r="Q343">
            <v>1298</v>
          </cell>
          <cell r="R343">
            <v>893</v>
          </cell>
          <cell r="S343">
            <v>864</v>
          </cell>
          <cell r="T343">
            <v>773</v>
          </cell>
          <cell r="U343">
            <v>866</v>
          </cell>
          <cell r="V343">
            <v>987</v>
          </cell>
          <cell r="W343">
            <v>900</v>
          </cell>
          <cell r="X343">
            <v>906</v>
          </cell>
          <cell r="Y343">
            <v>734</v>
          </cell>
          <cell r="Z343">
            <v>2458</v>
          </cell>
          <cell r="AA343">
            <v>1349</v>
          </cell>
          <cell r="AB343">
            <v>901</v>
          </cell>
          <cell r="AC343">
            <v>908</v>
          </cell>
          <cell r="AD343">
            <v>931</v>
          </cell>
          <cell r="AE343">
            <v>931</v>
          </cell>
          <cell r="AF343">
            <v>868</v>
          </cell>
          <cell r="AG343">
            <v>1019</v>
          </cell>
          <cell r="AI343">
            <v>1171</v>
          </cell>
        </row>
        <row r="344">
          <cell r="I344">
            <v>11569</v>
          </cell>
          <cell r="J344">
            <v>12651</v>
          </cell>
          <cell r="K344">
            <v>13550</v>
          </cell>
          <cell r="L344">
            <v>15622</v>
          </cell>
          <cell r="M344">
            <v>15485</v>
          </cell>
          <cell r="N344">
            <v>18322</v>
          </cell>
          <cell r="O344">
            <v>18684</v>
          </cell>
          <cell r="P344">
            <v>17377</v>
          </cell>
          <cell r="Q344">
            <v>16529</v>
          </cell>
          <cell r="R344">
            <v>14459</v>
          </cell>
          <cell r="S344">
            <v>13426</v>
          </cell>
          <cell r="T344">
            <v>12259</v>
          </cell>
          <cell r="U344">
            <v>11539</v>
          </cell>
          <cell r="V344">
            <v>12618</v>
          </cell>
          <cell r="W344">
            <v>13515</v>
          </cell>
          <cell r="X344">
            <v>15581</v>
          </cell>
          <cell r="Y344">
            <v>15445</v>
          </cell>
          <cell r="Z344">
            <v>18274</v>
          </cell>
          <cell r="AA344">
            <v>18635</v>
          </cell>
          <cell r="AB344">
            <v>17332</v>
          </cell>
          <cell r="AC344">
            <v>16523</v>
          </cell>
          <cell r="AD344">
            <v>14459</v>
          </cell>
          <cell r="AE344">
            <v>13426</v>
          </cell>
          <cell r="AF344">
            <v>12259</v>
          </cell>
          <cell r="AG344">
            <v>11539</v>
          </cell>
          <cell r="AI344">
            <v>12651</v>
          </cell>
        </row>
        <row r="345">
          <cell r="I345">
            <v>1290</v>
          </cell>
          <cell r="J345">
            <v>1371</v>
          </cell>
          <cell r="K345">
            <v>1423</v>
          </cell>
          <cell r="L345">
            <v>1667</v>
          </cell>
          <cell r="M345">
            <v>1645</v>
          </cell>
          <cell r="N345">
            <v>1961</v>
          </cell>
          <cell r="O345">
            <v>1871</v>
          </cell>
          <cell r="P345">
            <v>1788</v>
          </cell>
          <cell r="Q345">
            <v>1681</v>
          </cell>
          <cell r="R345">
            <v>1457</v>
          </cell>
          <cell r="S345">
            <v>1364</v>
          </cell>
          <cell r="T345">
            <v>1256</v>
          </cell>
          <cell r="U345">
            <v>1219</v>
          </cell>
          <cell r="V345">
            <v>16949</v>
          </cell>
          <cell r="W345">
            <v>608</v>
          </cell>
          <cell r="X345">
            <v>594</v>
          </cell>
          <cell r="Y345">
            <v>660</v>
          </cell>
          <cell r="Z345">
            <v>756</v>
          </cell>
          <cell r="AA345">
            <v>710</v>
          </cell>
          <cell r="AB345">
            <v>625</v>
          </cell>
          <cell r="AC345">
            <v>613</v>
          </cell>
          <cell r="AD345">
            <v>536</v>
          </cell>
          <cell r="AE345">
            <v>497</v>
          </cell>
          <cell r="AF345">
            <v>517</v>
          </cell>
          <cell r="AG345">
            <v>504</v>
          </cell>
          <cell r="AI345">
            <v>1371</v>
          </cell>
        </row>
        <row r="346">
          <cell r="I346">
            <v>296</v>
          </cell>
          <cell r="J346">
            <v>325</v>
          </cell>
          <cell r="K346">
            <v>347</v>
          </cell>
          <cell r="L346">
            <v>400</v>
          </cell>
          <cell r="M346">
            <v>397</v>
          </cell>
          <cell r="N346">
            <v>469</v>
          </cell>
          <cell r="O346">
            <v>479</v>
          </cell>
          <cell r="P346">
            <v>446</v>
          </cell>
          <cell r="Q346">
            <v>425</v>
          </cell>
          <cell r="R346">
            <v>372</v>
          </cell>
          <cell r="S346">
            <v>345</v>
          </cell>
          <cell r="T346">
            <v>316</v>
          </cell>
          <cell r="U346">
            <v>296</v>
          </cell>
          <cell r="V346">
            <v>325</v>
          </cell>
          <cell r="W346">
            <v>347</v>
          </cell>
          <cell r="X346">
            <v>400</v>
          </cell>
          <cell r="Y346">
            <v>397</v>
          </cell>
          <cell r="Z346">
            <v>469</v>
          </cell>
          <cell r="AA346">
            <v>479</v>
          </cell>
          <cell r="AB346">
            <v>621</v>
          </cell>
          <cell r="AC346">
            <v>258</v>
          </cell>
          <cell r="AD346">
            <v>226</v>
          </cell>
          <cell r="AE346">
            <v>210</v>
          </cell>
          <cell r="AF346">
            <v>192</v>
          </cell>
          <cell r="AG346">
            <v>180</v>
          </cell>
          <cell r="AI346">
            <v>325</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I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I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I349">
            <v>0</v>
          </cell>
        </row>
        <row r="350">
          <cell r="I350">
            <v>30</v>
          </cell>
          <cell r="J350">
            <v>33</v>
          </cell>
          <cell r="K350">
            <v>35</v>
          </cell>
          <cell r="L350">
            <v>41</v>
          </cell>
          <cell r="M350">
            <v>40</v>
          </cell>
          <cell r="N350">
            <v>48</v>
          </cell>
          <cell r="O350">
            <v>49</v>
          </cell>
          <cell r="P350">
            <v>45</v>
          </cell>
          <cell r="Q350">
            <v>43</v>
          </cell>
          <cell r="R350">
            <v>38</v>
          </cell>
          <cell r="S350">
            <v>35</v>
          </cell>
          <cell r="T350">
            <v>32</v>
          </cell>
          <cell r="U350">
            <v>30</v>
          </cell>
          <cell r="V350">
            <v>33</v>
          </cell>
          <cell r="W350">
            <v>35</v>
          </cell>
          <cell r="X350">
            <v>41</v>
          </cell>
          <cell r="Y350">
            <v>40</v>
          </cell>
          <cell r="Z350">
            <v>48</v>
          </cell>
          <cell r="AA350">
            <v>49</v>
          </cell>
          <cell r="AB350">
            <v>45</v>
          </cell>
          <cell r="AC350">
            <v>43</v>
          </cell>
          <cell r="AD350">
            <v>38</v>
          </cell>
          <cell r="AE350">
            <v>35</v>
          </cell>
          <cell r="AF350">
            <v>32</v>
          </cell>
          <cell r="AG350">
            <v>30</v>
          </cell>
          <cell r="AI350">
            <v>33</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I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I352">
            <v>0</v>
          </cell>
        </row>
        <row r="353">
          <cell r="I353">
            <v>10426</v>
          </cell>
          <cell r="J353">
            <v>11402</v>
          </cell>
          <cell r="K353">
            <v>12210</v>
          </cell>
          <cell r="L353">
            <v>14081</v>
          </cell>
          <cell r="M353">
            <v>13955</v>
          </cell>
          <cell r="N353">
            <v>16514</v>
          </cell>
          <cell r="O353">
            <v>16839</v>
          </cell>
          <cell r="P353">
            <v>15661</v>
          </cell>
          <cell r="Q353">
            <v>14930</v>
          </cell>
          <cell r="R353">
            <v>13065</v>
          </cell>
          <cell r="S353">
            <v>12132</v>
          </cell>
          <cell r="T353">
            <v>11078</v>
          </cell>
          <cell r="U353">
            <v>10426</v>
          </cell>
          <cell r="V353">
            <v>11402</v>
          </cell>
          <cell r="W353">
            <v>12210</v>
          </cell>
          <cell r="X353">
            <v>13997</v>
          </cell>
          <cell r="Y353">
            <v>13871</v>
          </cell>
          <cell r="Z353">
            <v>16330</v>
          </cell>
          <cell r="AA353">
            <v>16638</v>
          </cell>
          <cell r="AB353">
            <v>15474</v>
          </cell>
          <cell r="AC353">
            <v>14752</v>
          </cell>
          <cell r="AD353">
            <v>12909</v>
          </cell>
          <cell r="AE353">
            <v>11987</v>
          </cell>
          <cell r="AF353">
            <v>10946</v>
          </cell>
          <cell r="AG353">
            <v>10301</v>
          </cell>
          <cell r="AI353">
            <v>11402</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I354">
            <v>0</v>
          </cell>
        </row>
        <row r="355">
          <cell r="I355">
            <v>329</v>
          </cell>
          <cell r="J355">
            <v>310</v>
          </cell>
          <cell r="K355">
            <v>331</v>
          </cell>
          <cell r="L355">
            <v>371</v>
          </cell>
          <cell r="M355">
            <v>368</v>
          </cell>
          <cell r="N355">
            <v>439</v>
          </cell>
          <cell r="O355">
            <v>444</v>
          </cell>
          <cell r="P355">
            <v>428</v>
          </cell>
          <cell r="Q355">
            <v>402</v>
          </cell>
          <cell r="R355">
            <v>371</v>
          </cell>
          <cell r="S355">
            <v>343</v>
          </cell>
          <cell r="T355">
            <v>329</v>
          </cell>
          <cell r="U355">
            <v>302</v>
          </cell>
          <cell r="V355">
            <v>300</v>
          </cell>
          <cell r="W355">
            <v>322</v>
          </cell>
          <cell r="X355">
            <v>371</v>
          </cell>
          <cell r="Y355">
            <v>368</v>
          </cell>
          <cell r="Z355">
            <v>435</v>
          </cell>
          <cell r="AA355">
            <v>444</v>
          </cell>
          <cell r="AB355">
            <v>413</v>
          </cell>
          <cell r="AC355">
            <v>393</v>
          </cell>
          <cell r="AD355">
            <v>344</v>
          </cell>
          <cell r="AE355">
            <v>320</v>
          </cell>
          <cell r="AF355">
            <v>292</v>
          </cell>
          <cell r="AG355">
            <v>275</v>
          </cell>
          <cell r="AI355">
            <v>310</v>
          </cell>
        </row>
        <row r="356">
          <cell r="I356">
            <v>23081</v>
          </cell>
          <cell r="J356">
            <v>25239</v>
          </cell>
          <cell r="K356">
            <v>27036</v>
          </cell>
          <cell r="L356">
            <v>31168</v>
          </cell>
          <cell r="M356">
            <v>30899</v>
          </cell>
          <cell r="N356">
            <v>36556</v>
          </cell>
          <cell r="O356">
            <v>37274</v>
          </cell>
          <cell r="P356">
            <v>34667</v>
          </cell>
          <cell r="Q356">
            <v>33054</v>
          </cell>
          <cell r="R356">
            <v>28922</v>
          </cell>
          <cell r="S356">
            <v>26855</v>
          </cell>
          <cell r="T356">
            <v>24521</v>
          </cell>
          <cell r="U356">
            <v>23081</v>
          </cell>
          <cell r="V356">
            <v>25222</v>
          </cell>
          <cell r="W356">
            <v>27011</v>
          </cell>
          <cell r="X356">
            <v>31139</v>
          </cell>
          <cell r="Y356">
            <v>30870</v>
          </cell>
          <cell r="Z356">
            <v>36522</v>
          </cell>
          <cell r="AA356">
            <v>37236</v>
          </cell>
          <cell r="AB356">
            <v>34603</v>
          </cell>
          <cell r="AC356">
            <v>32993</v>
          </cell>
          <cell r="AD356">
            <v>28867</v>
          </cell>
          <cell r="AE356">
            <v>26727</v>
          </cell>
          <cell r="AF356">
            <v>24381</v>
          </cell>
          <cell r="AG356">
            <v>22949</v>
          </cell>
          <cell r="AI356">
            <v>25239</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I357">
            <v>0</v>
          </cell>
        </row>
        <row r="358">
          <cell r="I358">
            <v>5704</v>
          </cell>
          <cell r="J358">
            <v>6237</v>
          </cell>
          <cell r="K358">
            <v>6680</v>
          </cell>
          <cell r="L358">
            <v>7701</v>
          </cell>
          <cell r="M358">
            <v>7634</v>
          </cell>
          <cell r="N358">
            <v>9033</v>
          </cell>
          <cell r="O358">
            <v>9210</v>
          </cell>
          <cell r="P358">
            <v>8567</v>
          </cell>
          <cell r="Q358">
            <v>8168</v>
          </cell>
          <cell r="R358">
            <v>7147</v>
          </cell>
          <cell r="S358">
            <v>6636</v>
          </cell>
          <cell r="T358">
            <v>6060</v>
          </cell>
          <cell r="U358">
            <v>5704</v>
          </cell>
          <cell r="V358">
            <v>6237</v>
          </cell>
          <cell r="W358">
            <v>6680</v>
          </cell>
          <cell r="X358">
            <v>7701</v>
          </cell>
          <cell r="Y358">
            <v>7634</v>
          </cell>
          <cell r="Z358">
            <v>9033</v>
          </cell>
          <cell r="AA358">
            <v>9210</v>
          </cell>
          <cell r="AB358">
            <v>8567</v>
          </cell>
          <cell r="AC358">
            <v>8168</v>
          </cell>
          <cell r="AD358">
            <v>7147</v>
          </cell>
          <cell r="AE358">
            <v>6636</v>
          </cell>
          <cell r="AF358">
            <v>6060</v>
          </cell>
          <cell r="AG358">
            <v>5704</v>
          </cell>
          <cell r="AI358">
            <v>6237</v>
          </cell>
        </row>
        <row r="359">
          <cell r="I359">
            <v>20456</v>
          </cell>
          <cell r="J359">
            <v>22365</v>
          </cell>
          <cell r="K359">
            <v>23957</v>
          </cell>
          <cell r="L359">
            <v>27619</v>
          </cell>
          <cell r="M359">
            <v>27380</v>
          </cell>
          <cell r="N359">
            <v>32395</v>
          </cell>
          <cell r="O359">
            <v>33031</v>
          </cell>
          <cell r="P359">
            <v>30722</v>
          </cell>
          <cell r="Q359">
            <v>29289</v>
          </cell>
          <cell r="R359">
            <v>25630</v>
          </cell>
          <cell r="S359">
            <v>23798</v>
          </cell>
          <cell r="T359">
            <v>21728</v>
          </cell>
          <cell r="U359">
            <v>20456</v>
          </cell>
          <cell r="V359">
            <v>22365</v>
          </cell>
          <cell r="W359">
            <v>23957</v>
          </cell>
          <cell r="X359">
            <v>27619</v>
          </cell>
          <cell r="Y359">
            <v>27380</v>
          </cell>
          <cell r="Z359">
            <v>32395</v>
          </cell>
          <cell r="AA359">
            <v>33031</v>
          </cell>
          <cell r="AB359">
            <v>30722</v>
          </cell>
          <cell r="AC359">
            <v>29289</v>
          </cell>
          <cell r="AD359">
            <v>25630</v>
          </cell>
          <cell r="AE359">
            <v>23798</v>
          </cell>
          <cell r="AF359">
            <v>21802</v>
          </cell>
          <cell r="AG359">
            <v>20347</v>
          </cell>
          <cell r="AI359">
            <v>22365</v>
          </cell>
        </row>
        <row r="360">
          <cell r="I360">
            <v>226</v>
          </cell>
          <cell r="J360">
            <v>287</v>
          </cell>
          <cell r="K360">
            <v>189</v>
          </cell>
          <cell r="L360">
            <v>14</v>
          </cell>
          <cell r="M360">
            <v>2</v>
          </cell>
          <cell r="N360">
            <v>0</v>
          </cell>
          <cell r="O360">
            <v>-15</v>
          </cell>
          <cell r="P360">
            <v>15</v>
          </cell>
          <cell r="Q360">
            <v>0</v>
          </cell>
          <cell r="R360">
            <v>1</v>
          </cell>
          <cell r="S360">
            <v>0</v>
          </cell>
          <cell r="T360">
            <v>3</v>
          </cell>
          <cell r="U360">
            <v>5</v>
          </cell>
          <cell r="V360">
            <v>15</v>
          </cell>
          <cell r="W360">
            <v>40</v>
          </cell>
          <cell r="X360">
            <v>10</v>
          </cell>
          <cell r="Y360">
            <v>0</v>
          </cell>
          <cell r="Z360">
            <v>0</v>
          </cell>
          <cell r="AA360">
            <v>0</v>
          </cell>
          <cell r="AB360">
            <v>0</v>
          </cell>
          <cell r="AC360">
            <v>0</v>
          </cell>
          <cell r="AD360">
            <v>0</v>
          </cell>
          <cell r="AE360">
            <v>0</v>
          </cell>
          <cell r="AF360">
            <v>1</v>
          </cell>
          <cell r="AG360">
            <v>0</v>
          </cell>
          <cell r="AI360">
            <v>287</v>
          </cell>
        </row>
        <row r="361">
          <cell r="I361">
            <v>19572</v>
          </cell>
          <cell r="J361">
            <v>21294</v>
          </cell>
          <cell r="K361">
            <v>22651</v>
          </cell>
          <cell r="L361">
            <v>26085</v>
          </cell>
          <cell r="M361">
            <v>25862</v>
          </cell>
          <cell r="N361">
            <v>30339</v>
          </cell>
          <cell r="O361">
            <v>30946</v>
          </cell>
          <cell r="P361">
            <v>28954</v>
          </cell>
          <cell r="Q361">
            <v>27529</v>
          </cell>
          <cell r="R361">
            <v>24213</v>
          </cell>
          <cell r="S361">
            <v>22541</v>
          </cell>
          <cell r="T361">
            <v>20615</v>
          </cell>
          <cell r="U361">
            <v>19491</v>
          </cell>
          <cell r="V361">
            <v>21061</v>
          </cell>
          <cell r="W361">
            <v>22614</v>
          </cell>
          <cell r="X361">
            <v>25844</v>
          </cell>
          <cell r="Y361">
            <v>25680</v>
          </cell>
          <cell r="Z361">
            <v>30142</v>
          </cell>
          <cell r="AA361">
            <v>30842</v>
          </cell>
          <cell r="AB361">
            <v>28646</v>
          </cell>
          <cell r="AC361">
            <v>27338</v>
          </cell>
          <cell r="AD361">
            <v>24109</v>
          </cell>
          <cell r="AE361">
            <v>22391</v>
          </cell>
          <cell r="AF361">
            <v>20493</v>
          </cell>
          <cell r="AG361">
            <v>19344</v>
          </cell>
          <cell r="AI361">
            <v>21294</v>
          </cell>
        </row>
        <row r="362">
          <cell r="I362">
            <v>13405</v>
          </cell>
          <cell r="J362">
            <v>14508</v>
          </cell>
          <cell r="K362">
            <v>15427</v>
          </cell>
          <cell r="L362">
            <v>17544</v>
          </cell>
          <cell r="M362">
            <v>17405</v>
          </cell>
          <cell r="N362">
            <v>20303</v>
          </cell>
          <cell r="O362">
            <v>20673</v>
          </cell>
          <cell r="P362">
            <v>19337</v>
          </cell>
          <cell r="Q362">
            <v>18384</v>
          </cell>
          <cell r="R362">
            <v>16243</v>
          </cell>
          <cell r="S362">
            <v>15197</v>
          </cell>
          <cell r="T362">
            <v>14012</v>
          </cell>
          <cell r="U362">
            <v>13285</v>
          </cell>
          <cell r="V362">
            <v>14377</v>
          </cell>
          <cell r="W362">
            <v>15287</v>
          </cell>
          <cell r="X362">
            <v>17381</v>
          </cell>
          <cell r="Y362">
            <v>17244</v>
          </cell>
          <cell r="Z362">
            <v>20112</v>
          </cell>
          <cell r="AA362">
            <v>20479</v>
          </cell>
          <cell r="AB362">
            <v>19157</v>
          </cell>
          <cell r="AC362">
            <v>18337</v>
          </cell>
          <cell r="AD362">
            <v>16243</v>
          </cell>
          <cell r="AE362">
            <v>15197</v>
          </cell>
          <cell r="AF362">
            <v>14012</v>
          </cell>
          <cell r="AG362">
            <v>13285</v>
          </cell>
          <cell r="AI362">
            <v>14508</v>
          </cell>
        </row>
        <row r="364">
          <cell r="I364">
            <v>487357</v>
          </cell>
          <cell r="J364">
            <v>526900</v>
          </cell>
          <cell r="K364">
            <v>562820</v>
          </cell>
          <cell r="L364">
            <v>587479</v>
          </cell>
          <cell r="M364">
            <v>634679</v>
          </cell>
          <cell r="N364">
            <v>601462</v>
          </cell>
          <cell r="O364">
            <v>470357</v>
          </cell>
          <cell r="P364">
            <v>455834</v>
          </cell>
          <cell r="Q364">
            <v>482966</v>
          </cell>
          <cell r="R364">
            <v>458172</v>
          </cell>
          <cell r="S364">
            <v>389632</v>
          </cell>
          <cell r="T364">
            <v>381443</v>
          </cell>
          <cell r="U364">
            <v>472420</v>
          </cell>
          <cell r="V364">
            <v>531614</v>
          </cell>
          <cell r="W364">
            <v>495417</v>
          </cell>
          <cell r="X364">
            <v>532651</v>
          </cell>
          <cell r="Y364">
            <v>629860</v>
          </cell>
          <cell r="Z364">
            <v>563403</v>
          </cell>
          <cell r="AA364">
            <v>508118</v>
          </cell>
          <cell r="AB364">
            <v>441619</v>
          </cell>
          <cell r="AC364">
            <v>476972</v>
          </cell>
          <cell r="AD364">
            <v>498577</v>
          </cell>
          <cell r="AE364">
            <v>344905</v>
          </cell>
          <cell r="AF364">
            <v>342103</v>
          </cell>
          <cell r="AG364">
            <v>476843</v>
          </cell>
          <cell r="AI364">
            <v>526900</v>
          </cell>
        </row>
        <row r="365">
          <cell r="I365">
            <v>3825</v>
          </cell>
          <cell r="J365">
            <v>12231</v>
          </cell>
          <cell r="K365">
            <v>20606</v>
          </cell>
          <cell r="L365">
            <v>23071</v>
          </cell>
          <cell r="M365">
            <v>24327</v>
          </cell>
          <cell r="N365">
            <v>30957</v>
          </cell>
          <cell r="O365">
            <v>4991</v>
          </cell>
          <cell r="P365">
            <v>3405</v>
          </cell>
          <cell r="Q365">
            <v>4069</v>
          </cell>
          <cell r="R365">
            <v>3375</v>
          </cell>
          <cell r="S365">
            <v>3716</v>
          </cell>
          <cell r="T365">
            <v>4353</v>
          </cell>
          <cell r="U365">
            <v>4215</v>
          </cell>
          <cell r="V365">
            <v>5000</v>
          </cell>
          <cell r="W365">
            <v>6971</v>
          </cell>
          <cell r="X365">
            <v>8836</v>
          </cell>
          <cell r="Y365">
            <v>10826</v>
          </cell>
          <cell r="Z365">
            <v>10312</v>
          </cell>
          <cell r="AA365">
            <v>5628</v>
          </cell>
          <cell r="AB365">
            <v>3274</v>
          </cell>
          <cell r="AC365">
            <v>3255</v>
          </cell>
          <cell r="AD365">
            <v>3550</v>
          </cell>
          <cell r="AE365">
            <v>3495</v>
          </cell>
          <cell r="AF365">
            <v>3485</v>
          </cell>
          <cell r="AG365">
            <v>3161</v>
          </cell>
          <cell r="AI365">
            <v>12231</v>
          </cell>
        </row>
        <row r="366">
          <cell r="I366">
            <v>270655</v>
          </cell>
          <cell r="J366">
            <v>267237</v>
          </cell>
          <cell r="K366">
            <v>286795</v>
          </cell>
          <cell r="L366">
            <v>264622</v>
          </cell>
          <cell r="M366">
            <v>263775</v>
          </cell>
          <cell r="N366">
            <v>317874</v>
          </cell>
          <cell r="O366">
            <v>51786</v>
          </cell>
          <cell r="P366">
            <v>49035</v>
          </cell>
          <cell r="Q366">
            <v>56762</v>
          </cell>
          <cell r="R366">
            <v>61348</v>
          </cell>
          <cell r="S366">
            <v>53079</v>
          </cell>
          <cell r="T366">
            <v>59486</v>
          </cell>
          <cell r="U366">
            <v>66577</v>
          </cell>
          <cell r="V366">
            <v>64319</v>
          </cell>
          <cell r="W366">
            <v>69610</v>
          </cell>
          <cell r="X366">
            <v>72663</v>
          </cell>
          <cell r="Y366">
            <v>90472</v>
          </cell>
          <cell r="Z366">
            <v>95318</v>
          </cell>
          <cell r="AA366">
            <v>78305</v>
          </cell>
          <cell r="AB366">
            <v>63183</v>
          </cell>
          <cell r="AC366">
            <v>67324</v>
          </cell>
          <cell r="AD366">
            <v>71069</v>
          </cell>
          <cell r="AE366">
            <v>55656</v>
          </cell>
          <cell r="AF366">
            <v>49532</v>
          </cell>
          <cell r="AG366">
            <v>48027</v>
          </cell>
          <cell r="AI366">
            <v>267237</v>
          </cell>
        </row>
        <row r="367">
          <cell r="I367">
            <v>236915</v>
          </cell>
          <cell r="J367">
            <v>261708</v>
          </cell>
          <cell r="K367">
            <v>300399</v>
          </cell>
          <cell r="L367">
            <v>377055</v>
          </cell>
          <cell r="M367">
            <v>416843</v>
          </cell>
          <cell r="N367">
            <v>407752</v>
          </cell>
          <cell r="O367">
            <v>313270</v>
          </cell>
          <cell r="P367">
            <v>205139</v>
          </cell>
          <cell r="Q367">
            <v>188726</v>
          </cell>
          <cell r="R367">
            <v>215077</v>
          </cell>
          <cell r="S367">
            <v>195697</v>
          </cell>
          <cell r="T367">
            <v>199207</v>
          </cell>
          <cell r="U367">
            <v>214864</v>
          </cell>
          <cell r="V367">
            <v>223586</v>
          </cell>
          <cell r="W367">
            <v>328521</v>
          </cell>
          <cell r="X367">
            <v>361943</v>
          </cell>
          <cell r="Y367">
            <v>485913</v>
          </cell>
          <cell r="Z367">
            <v>402352</v>
          </cell>
          <cell r="AA367">
            <v>338344</v>
          </cell>
          <cell r="AB367">
            <v>215918</v>
          </cell>
          <cell r="AC367">
            <v>202296</v>
          </cell>
          <cell r="AD367">
            <v>231361</v>
          </cell>
          <cell r="AE367">
            <v>191773</v>
          </cell>
          <cell r="AF367">
            <v>182550</v>
          </cell>
          <cell r="AG367">
            <v>202344</v>
          </cell>
          <cell r="AI367">
            <v>261708</v>
          </cell>
        </row>
        <row r="368">
          <cell r="I368">
            <v>378026</v>
          </cell>
          <cell r="J368">
            <v>413424</v>
          </cell>
          <cell r="K368">
            <v>486771</v>
          </cell>
          <cell r="L368">
            <v>567869</v>
          </cell>
          <cell r="M368">
            <v>601123</v>
          </cell>
          <cell r="N368">
            <v>598494</v>
          </cell>
          <cell r="O368">
            <v>507503</v>
          </cell>
          <cell r="P368">
            <v>356994</v>
          </cell>
          <cell r="Q368">
            <v>347030</v>
          </cell>
          <cell r="R368">
            <v>402189</v>
          </cell>
          <cell r="S368">
            <v>352363</v>
          </cell>
          <cell r="T368">
            <v>373416</v>
          </cell>
          <cell r="U368">
            <v>379926</v>
          </cell>
          <cell r="V368">
            <v>180531</v>
          </cell>
          <cell r="W368">
            <v>295741</v>
          </cell>
          <cell r="X368">
            <v>330235</v>
          </cell>
          <cell r="Y368">
            <v>436558</v>
          </cell>
          <cell r="Z368">
            <v>391395</v>
          </cell>
          <cell r="AA368">
            <v>288368</v>
          </cell>
          <cell r="AB368">
            <v>192297</v>
          </cell>
          <cell r="AC368">
            <v>162692</v>
          </cell>
          <cell r="AD368">
            <v>167379</v>
          </cell>
          <cell r="AE368">
            <v>146158</v>
          </cell>
          <cell r="AF368">
            <v>142013</v>
          </cell>
          <cell r="AG368">
            <v>155541</v>
          </cell>
          <cell r="AI368">
            <v>413424</v>
          </cell>
        </row>
        <row r="369">
          <cell r="I369">
            <v>56210</v>
          </cell>
          <cell r="J369">
            <v>66863</v>
          </cell>
          <cell r="K369">
            <v>76404</v>
          </cell>
          <cell r="L369">
            <v>83114</v>
          </cell>
          <cell r="M369">
            <v>86245</v>
          </cell>
          <cell r="N369">
            <v>96820</v>
          </cell>
          <cell r="O369">
            <v>69775</v>
          </cell>
          <cell r="P369">
            <v>54415</v>
          </cell>
          <cell r="Q369">
            <v>69916</v>
          </cell>
          <cell r="R369">
            <v>54598</v>
          </cell>
          <cell r="S369">
            <v>51534</v>
          </cell>
          <cell r="T369">
            <v>54308</v>
          </cell>
          <cell r="U369">
            <v>56615</v>
          </cell>
          <cell r="V369">
            <v>61693</v>
          </cell>
          <cell r="W369">
            <v>71921</v>
          </cell>
          <cell r="X369">
            <v>82504</v>
          </cell>
          <cell r="Y369">
            <v>88447</v>
          </cell>
          <cell r="Z369">
            <v>89066</v>
          </cell>
          <cell r="AA369">
            <v>72303</v>
          </cell>
          <cell r="AB369">
            <v>56029</v>
          </cell>
          <cell r="AC369">
            <v>54363</v>
          </cell>
          <cell r="AD369">
            <v>77971</v>
          </cell>
          <cell r="AE369">
            <v>48815</v>
          </cell>
          <cell r="AF369">
            <v>49625</v>
          </cell>
          <cell r="AG369">
            <v>51741</v>
          </cell>
          <cell r="AI369">
            <v>66863</v>
          </cell>
        </row>
        <row r="370">
          <cell r="I370">
            <v>195693</v>
          </cell>
          <cell r="J370">
            <v>203855</v>
          </cell>
          <cell r="K370">
            <v>203986</v>
          </cell>
          <cell r="L370">
            <v>205431</v>
          </cell>
          <cell r="M370">
            <v>225736</v>
          </cell>
          <cell r="N370">
            <v>250068</v>
          </cell>
          <cell r="O370">
            <v>229767</v>
          </cell>
          <cell r="P370">
            <v>179781</v>
          </cell>
          <cell r="Q370">
            <v>217326</v>
          </cell>
          <cell r="R370">
            <v>192073</v>
          </cell>
          <cell r="S370">
            <v>150775</v>
          </cell>
          <cell r="T370">
            <v>154912</v>
          </cell>
          <cell r="U370">
            <v>206046</v>
          </cell>
          <cell r="V370">
            <v>176422</v>
          </cell>
          <cell r="W370">
            <v>201447</v>
          </cell>
          <cell r="X370">
            <v>197834</v>
          </cell>
          <cell r="Y370">
            <v>212879</v>
          </cell>
          <cell r="Z370">
            <v>239529</v>
          </cell>
          <cell r="AA370">
            <v>205019</v>
          </cell>
          <cell r="AB370">
            <v>191527</v>
          </cell>
          <cell r="AC370">
            <v>199964</v>
          </cell>
          <cell r="AD370">
            <v>210725</v>
          </cell>
          <cell r="AE370">
            <v>193220</v>
          </cell>
          <cell r="AF370">
            <v>160774</v>
          </cell>
          <cell r="AG370">
            <v>196804</v>
          </cell>
          <cell r="AI370">
            <v>203855</v>
          </cell>
        </row>
        <row r="371">
          <cell r="I371">
            <v>232494</v>
          </cell>
          <cell r="J371">
            <v>316636</v>
          </cell>
          <cell r="K371">
            <v>333000</v>
          </cell>
          <cell r="L371">
            <v>407980</v>
          </cell>
          <cell r="M371">
            <v>435862</v>
          </cell>
          <cell r="N371">
            <v>461167</v>
          </cell>
          <cell r="O371">
            <v>419274</v>
          </cell>
          <cell r="P371">
            <v>315223</v>
          </cell>
          <cell r="Q371">
            <v>254144</v>
          </cell>
          <cell r="R371">
            <v>343600</v>
          </cell>
          <cell r="S371">
            <v>227655</v>
          </cell>
          <cell r="T371">
            <v>219464</v>
          </cell>
          <cell r="U371">
            <v>271414</v>
          </cell>
          <cell r="V371">
            <v>316084</v>
          </cell>
          <cell r="W371">
            <v>384227</v>
          </cell>
          <cell r="X371">
            <v>385545</v>
          </cell>
          <cell r="Y371">
            <v>484722</v>
          </cell>
          <cell r="Z371">
            <v>480558</v>
          </cell>
          <cell r="AA371">
            <v>472902</v>
          </cell>
          <cell r="AB371">
            <v>245388</v>
          </cell>
          <cell r="AC371">
            <v>283075</v>
          </cell>
          <cell r="AD371">
            <v>368707</v>
          </cell>
          <cell r="AE371">
            <v>245529</v>
          </cell>
          <cell r="AF371">
            <v>234670</v>
          </cell>
          <cell r="AG371">
            <v>268434</v>
          </cell>
          <cell r="AI371">
            <v>316636</v>
          </cell>
        </row>
        <row r="372">
          <cell r="I372">
            <v>228272</v>
          </cell>
          <cell r="J372">
            <v>233034</v>
          </cell>
          <cell r="K372">
            <v>252020</v>
          </cell>
          <cell r="L372">
            <v>260052</v>
          </cell>
          <cell r="M372">
            <v>274301</v>
          </cell>
          <cell r="N372">
            <v>309258</v>
          </cell>
          <cell r="O372">
            <v>279163</v>
          </cell>
          <cell r="P372">
            <v>220434</v>
          </cell>
          <cell r="Q372">
            <v>222957</v>
          </cell>
          <cell r="R372">
            <v>244250</v>
          </cell>
          <cell r="S372">
            <v>216179</v>
          </cell>
          <cell r="T372">
            <v>224136</v>
          </cell>
          <cell r="U372">
            <v>255498</v>
          </cell>
          <cell r="V372">
            <v>196704</v>
          </cell>
          <cell r="W372">
            <v>252802</v>
          </cell>
          <cell r="X372">
            <v>244539</v>
          </cell>
          <cell r="Y372">
            <v>312216</v>
          </cell>
          <cell r="Z372">
            <v>307604</v>
          </cell>
          <cell r="AA372">
            <v>259407</v>
          </cell>
          <cell r="AB372">
            <v>201390</v>
          </cell>
          <cell r="AC372">
            <v>193906</v>
          </cell>
          <cell r="AD372">
            <v>247285</v>
          </cell>
          <cell r="AE372">
            <v>233811</v>
          </cell>
          <cell r="AF372">
            <v>237816</v>
          </cell>
          <cell r="AG372">
            <v>212593</v>
          </cell>
          <cell r="AI372">
            <v>233034</v>
          </cell>
        </row>
        <row r="373">
          <cell r="I373">
            <v>88902</v>
          </cell>
          <cell r="J373">
            <v>94581</v>
          </cell>
          <cell r="K373">
            <v>96964</v>
          </cell>
          <cell r="L373">
            <v>113176</v>
          </cell>
          <cell r="M373">
            <v>129091</v>
          </cell>
          <cell r="N373">
            <v>120898</v>
          </cell>
          <cell r="O373">
            <v>99395</v>
          </cell>
          <cell r="P373">
            <v>94269</v>
          </cell>
          <cell r="Q373">
            <v>95972</v>
          </cell>
          <cell r="R373">
            <v>103380</v>
          </cell>
          <cell r="S373">
            <v>67176</v>
          </cell>
          <cell r="T373">
            <v>57709</v>
          </cell>
          <cell r="U373">
            <v>90494</v>
          </cell>
          <cell r="V373">
            <v>88598</v>
          </cell>
          <cell r="W373">
            <v>92148</v>
          </cell>
          <cell r="X373">
            <v>99252</v>
          </cell>
          <cell r="Y373">
            <v>112840</v>
          </cell>
          <cell r="Z373">
            <v>103846</v>
          </cell>
          <cell r="AA373">
            <v>95899</v>
          </cell>
          <cell r="AB373">
            <v>74974</v>
          </cell>
          <cell r="AC373">
            <v>94780</v>
          </cell>
          <cell r="AD373">
            <v>95957</v>
          </cell>
          <cell r="AE373">
            <v>52305</v>
          </cell>
          <cell r="AF373">
            <v>49037</v>
          </cell>
          <cell r="AG373">
            <v>74493</v>
          </cell>
          <cell r="AI373">
            <v>94581</v>
          </cell>
        </row>
        <row r="374">
          <cell r="I374">
            <v>131275</v>
          </cell>
          <cell r="J374">
            <v>170014</v>
          </cell>
          <cell r="K374">
            <v>176926</v>
          </cell>
          <cell r="L374">
            <v>230766</v>
          </cell>
          <cell r="M374">
            <v>268714</v>
          </cell>
          <cell r="N374">
            <v>262719</v>
          </cell>
          <cell r="O374">
            <v>215014</v>
          </cell>
          <cell r="P374">
            <v>202395</v>
          </cell>
          <cell r="Q374">
            <v>125372</v>
          </cell>
          <cell r="R374">
            <v>128019</v>
          </cell>
          <cell r="S374">
            <v>102771</v>
          </cell>
          <cell r="T374">
            <v>102409</v>
          </cell>
          <cell r="U374">
            <v>116614</v>
          </cell>
          <cell r="V374">
            <v>161770</v>
          </cell>
          <cell r="W374">
            <v>203948</v>
          </cell>
          <cell r="X374">
            <v>214187</v>
          </cell>
          <cell r="Y374">
            <v>274904</v>
          </cell>
          <cell r="Z374">
            <v>302725</v>
          </cell>
          <cell r="AA374">
            <v>297493</v>
          </cell>
          <cell r="AB374">
            <v>255912</v>
          </cell>
          <cell r="AC374">
            <v>173158</v>
          </cell>
          <cell r="AD374">
            <v>123558</v>
          </cell>
          <cell r="AE374">
            <v>121878</v>
          </cell>
          <cell r="AF374">
            <v>127558</v>
          </cell>
          <cell r="AG374">
            <v>173337</v>
          </cell>
          <cell r="AI374">
            <v>170014</v>
          </cell>
        </row>
        <row r="375">
          <cell r="I375">
            <v>181901</v>
          </cell>
          <cell r="J375">
            <v>187087</v>
          </cell>
          <cell r="K375">
            <v>212228</v>
          </cell>
          <cell r="L375">
            <v>260393</v>
          </cell>
          <cell r="M375">
            <v>267823</v>
          </cell>
          <cell r="N375">
            <v>261707</v>
          </cell>
          <cell r="O375">
            <v>252170</v>
          </cell>
          <cell r="P375">
            <v>193705</v>
          </cell>
          <cell r="Q375">
            <v>172894</v>
          </cell>
          <cell r="R375">
            <v>207269</v>
          </cell>
          <cell r="S375">
            <v>161809</v>
          </cell>
          <cell r="T375">
            <v>180725</v>
          </cell>
          <cell r="U375">
            <v>178575</v>
          </cell>
          <cell r="V375">
            <v>165180</v>
          </cell>
          <cell r="W375">
            <v>218873</v>
          </cell>
          <cell r="X375">
            <v>218178</v>
          </cell>
          <cell r="Y375">
            <v>254305</v>
          </cell>
          <cell r="Z375">
            <v>270101</v>
          </cell>
          <cell r="AA375">
            <v>220210</v>
          </cell>
          <cell r="AB375">
            <v>182022</v>
          </cell>
          <cell r="AC375">
            <v>162668</v>
          </cell>
          <cell r="AD375">
            <v>178308</v>
          </cell>
          <cell r="AE375">
            <v>153642</v>
          </cell>
          <cell r="AF375">
            <v>156896</v>
          </cell>
          <cell r="AG375">
            <v>141452</v>
          </cell>
          <cell r="AI375">
            <v>187087</v>
          </cell>
        </row>
        <row r="376">
          <cell r="I376">
            <v>1193001</v>
          </cell>
          <cell r="J376">
            <v>1162696</v>
          </cell>
          <cell r="K376">
            <v>1422482</v>
          </cell>
          <cell r="L376">
            <v>1475655</v>
          </cell>
          <cell r="M376">
            <v>1624925</v>
          </cell>
          <cell r="N376">
            <v>1731419</v>
          </cell>
          <cell r="O376">
            <v>1299136</v>
          </cell>
          <cell r="P376">
            <v>884906</v>
          </cell>
          <cell r="Q376">
            <v>883635</v>
          </cell>
          <cell r="R376">
            <v>920478</v>
          </cell>
          <cell r="S376">
            <v>850493</v>
          </cell>
          <cell r="T376">
            <v>1070580</v>
          </cell>
          <cell r="U376">
            <v>932552</v>
          </cell>
          <cell r="V376">
            <v>881838</v>
          </cell>
          <cell r="W376">
            <v>1110757</v>
          </cell>
          <cell r="X376">
            <v>1239500</v>
          </cell>
          <cell r="Y376">
            <v>1415285</v>
          </cell>
          <cell r="Z376">
            <v>1585267</v>
          </cell>
          <cell r="AA376">
            <v>1287145</v>
          </cell>
          <cell r="AB376">
            <v>916034</v>
          </cell>
          <cell r="AC376">
            <v>872973</v>
          </cell>
          <cell r="AD376">
            <v>1077125</v>
          </cell>
          <cell r="AE376">
            <v>968580</v>
          </cell>
          <cell r="AF376">
            <v>972928</v>
          </cell>
          <cell r="AG376">
            <v>977736</v>
          </cell>
          <cell r="AI376">
            <v>1162696</v>
          </cell>
        </row>
        <row r="377">
          <cell r="I377">
            <v>229382</v>
          </cell>
          <cell r="J377">
            <v>285211</v>
          </cell>
          <cell r="K377">
            <v>299413</v>
          </cell>
          <cell r="L377">
            <v>415368</v>
          </cell>
          <cell r="M377">
            <v>437753</v>
          </cell>
          <cell r="N377">
            <v>413858</v>
          </cell>
          <cell r="O377">
            <v>398729</v>
          </cell>
          <cell r="P377">
            <v>262664</v>
          </cell>
          <cell r="Q377">
            <v>237193</v>
          </cell>
          <cell r="R377">
            <v>283993</v>
          </cell>
          <cell r="S377">
            <v>288968</v>
          </cell>
          <cell r="T377">
            <v>211497</v>
          </cell>
          <cell r="U377">
            <v>281535</v>
          </cell>
          <cell r="V377">
            <v>280954</v>
          </cell>
          <cell r="W377">
            <v>378188</v>
          </cell>
          <cell r="X377">
            <v>381251</v>
          </cell>
          <cell r="Y377">
            <v>431827</v>
          </cell>
          <cell r="Z377">
            <v>459995</v>
          </cell>
          <cell r="AA377">
            <v>364406</v>
          </cell>
          <cell r="AB377">
            <v>304729</v>
          </cell>
          <cell r="AC377">
            <v>292559</v>
          </cell>
          <cell r="AD377">
            <v>316895</v>
          </cell>
          <cell r="AE377">
            <v>275957</v>
          </cell>
          <cell r="AF377">
            <v>270089</v>
          </cell>
          <cell r="AG377">
            <v>280166</v>
          </cell>
          <cell r="AI377">
            <v>285211</v>
          </cell>
        </row>
        <row r="378">
          <cell r="I378">
            <v>46667</v>
          </cell>
          <cell r="J378">
            <v>40123</v>
          </cell>
          <cell r="K378">
            <v>45494</v>
          </cell>
          <cell r="L378">
            <v>61580</v>
          </cell>
          <cell r="M378">
            <v>61398</v>
          </cell>
          <cell r="N378">
            <v>73990</v>
          </cell>
          <cell r="O378">
            <v>58428</v>
          </cell>
          <cell r="P378">
            <v>36738</v>
          </cell>
          <cell r="Q378">
            <v>35335</v>
          </cell>
          <cell r="R378">
            <v>43772</v>
          </cell>
          <cell r="S378">
            <v>44976</v>
          </cell>
          <cell r="T378">
            <v>46068</v>
          </cell>
          <cell r="U378">
            <v>48821</v>
          </cell>
          <cell r="V378">
            <v>35205</v>
          </cell>
          <cell r="W378">
            <v>46817</v>
          </cell>
          <cell r="X378">
            <v>47440</v>
          </cell>
          <cell r="Y378">
            <v>59077</v>
          </cell>
          <cell r="Z378">
            <v>75718</v>
          </cell>
          <cell r="AA378">
            <v>44384</v>
          </cell>
          <cell r="AB378">
            <v>37922</v>
          </cell>
          <cell r="AC378">
            <v>39411</v>
          </cell>
          <cell r="AD378">
            <v>44316</v>
          </cell>
          <cell r="AE378">
            <v>35103</v>
          </cell>
          <cell r="AF378">
            <v>56886</v>
          </cell>
          <cell r="AG378">
            <v>38316</v>
          </cell>
          <cell r="AI378">
            <v>40123</v>
          </cell>
        </row>
        <row r="379">
          <cell r="I379">
            <v>160185</v>
          </cell>
          <cell r="J379">
            <v>166278</v>
          </cell>
          <cell r="K379">
            <v>151284</v>
          </cell>
          <cell r="L379">
            <v>162416</v>
          </cell>
          <cell r="M379">
            <v>180255</v>
          </cell>
          <cell r="N379">
            <v>192123</v>
          </cell>
          <cell r="O379">
            <v>177035</v>
          </cell>
          <cell r="P379">
            <v>144048</v>
          </cell>
          <cell r="Q379">
            <v>154591</v>
          </cell>
          <cell r="R379">
            <v>194150</v>
          </cell>
          <cell r="S379">
            <v>166945</v>
          </cell>
          <cell r="T379">
            <v>153504</v>
          </cell>
          <cell r="U379">
            <v>155696</v>
          </cell>
          <cell r="V379">
            <v>185231</v>
          </cell>
          <cell r="W379">
            <v>160314</v>
          </cell>
          <cell r="X379">
            <v>170800</v>
          </cell>
          <cell r="Y379">
            <v>191731</v>
          </cell>
          <cell r="Z379">
            <v>191620</v>
          </cell>
          <cell r="AA379">
            <v>191114</v>
          </cell>
          <cell r="AB379">
            <v>149734</v>
          </cell>
          <cell r="AC379">
            <v>163210</v>
          </cell>
          <cell r="AD379">
            <v>207181</v>
          </cell>
          <cell r="AE379">
            <v>194836</v>
          </cell>
          <cell r="AF379">
            <v>135142</v>
          </cell>
          <cell r="AG379">
            <v>147303</v>
          </cell>
          <cell r="AI379">
            <v>166278</v>
          </cell>
        </row>
        <row r="380">
          <cell r="I380">
            <v>62101</v>
          </cell>
          <cell r="J380">
            <v>68279</v>
          </cell>
          <cell r="K380">
            <v>77095</v>
          </cell>
          <cell r="L380">
            <v>93896</v>
          </cell>
          <cell r="M380">
            <v>110426</v>
          </cell>
          <cell r="N380">
            <v>127748</v>
          </cell>
          <cell r="O380">
            <v>109313</v>
          </cell>
          <cell r="P380">
            <v>73987</v>
          </cell>
          <cell r="Q380">
            <v>73623</v>
          </cell>
          <cell r="R380">
            <v>65821</v>
          </cell>
          <cell r="S380">
            <v>67779</v>
          </cell>
          <cell r="T380">
            <v>60338</v>
          </cell>
          <cell r="U380">
            <v>62381</v>
          </cell>
          <cell r="V380">
            <v>67709</v>
          </cell>
          <cell r="W380">
            <v>75643</v>
          </cell>
          <cell r="X380">
            <v>93663</v>
          </cell>
          <cell r="Y380">
            <v>114987</v>
          </cell>
          <cell r="Z380">
            <v>147280</v>
          </cell>
          <cell r="AA380">
            <v>174927</v>
          </cell>
          <cell r="AB380">
            <v>17001</v>
          </cell>
          <cell r="AC380">
            <v>67149</v>
          </cell>
          <cell r="AD380">
            <v>58388</v>
          </cell>
          <cell r="AE380">
            <v>63506</v>
          </cell>
          <cell r="AF380">
            <v>58667</v>
          </cell>
          <cell r="AG380">
            <v>51480</v>
          </cell>
          <cell r="AI380">
            <v>68279</v>
          </cell>
        </row>
        <row r="381">
          <cell r="I381">
            <v>41644</v>
          </cell>
          <cell r="J381">
            <v>42097</v>
          </cell>
          <cell r="K381">
            <v>41926</v>
          </cell>
          <cell r="L381">
            <v>69415</v>
          </cell>
          <cell r="M381">
            <v>79279</v>
          </cell>
          <cell r="N381">
            <v>67487</v>
          </cell>
          <cell r="O381">
            <v>85593</v>
          </cell>
          <cell r="P381">
            <v>50564</v>
          </cell>
          <cell r="Q381">
            <v>48054</v>
          </cell>
          <cell r="R381">
            <v>54493</v>
          </cell>
          <cell r="S381">
            <v>40578</v>
          </cell>
          <cell r="T381">
            <v>33261</v>
          </cell>
          <cell r="U381">
            <v>37039</v>
          </cell>
          <cell r="V381">
            <v>47753</v>
          </cell>
          <cell r="W381">
            <v>50243</v>
          </cell>
          <cell r="X381">
            <v>59539</v>
          </cell>
          <cell r="Y381">
            <v>74999</v>
          </cell>
          <cell r="Z381">
            <v>83967</v>
          </cell>
          <cell r="AA381">
            <v>87156</v>
          </cell>
          <cell r="AB381">
            <v>56736</v>
          </cell>
          <cell r="AC381">
            <v>51211</v>
          </cell>
          <cell r="AD381">
            <v>52296</v>
          </cell>
          <cell r="AE381">
            <v>40994</v>
          </cell>
          <cell r="AF381">
            <v>30012</v>
          </cell>
          <cell r="AG381">
            <v>29482</v>
          </cell>
          <cell r="AI381">
            <v>42097</v>
          </cell>
        </row>
        <row r="382">
          <cell r="I382">
            <v>405341</v>
          </cell>
          <cell r="J382">
            <v>397304</v>
          </cell>
          <cell r="K382">
            <v>348262</v>
          </cell>
          <cell r="L382">
            <v>550233</v>
          </cell>
          <cell r="M382">
            <v>542833</v>
          </cell>
          <cell r="N382">
            <v>788951</v>
          </cell>
          <cell r="O382">
            <v>403171</v>
          </cell>
          <cell r="P382">
            <v>425308</v>
          </cell>
          <cell r="Q382">
            <v>276417</v>
          </cell>
          <cell r="R382">
            <v>389202</v>
          </cell>
          <cell r="S382">
            <v>419779</v>
          </cell>
          <cell r="T382">
            <v>392018</v>
          </cell>
          <cell r="U382">
            <v>421099</v>
          </cell>
          <cell r="V382">
            <v>418887</v>
          </cell>
          <cell r="W382">
            <v>434232</v>
          </cell>
          <cell r="X382">
            <v>443076</v>
          </cell>
          <cell r="Y382">
            <v>552294</v>
          </cell>
          <cell r="Z382">
            <v>796913</v>
          </cell>
          <cell r="AA382">
            <v>385444</v>
          </cell>
          <cell r="AB382">
            <v>398832</v>
          </cell>
          <cell r="AC382">
            <v>341666</v>
          </cell>
          <cell r="AD382">
            <v>389442</v>
          </cell>
          <cell r="AE382">
            <v>420455</v>
          </cell>
          <cell r="AF382">
            <v>416043</v>
          </cell>
          <cell r="AG382">
            <v>386878</v>
          </cell>
          <cell r="AI382">
            <v>397304</v>
          </cell>
        </row>
        <row r="383">
          <cell r="I383">
            <v>1029641</v>
          </cell>
          <cell r="J383">
            <v>1663367</v>
          </cell>
          <cell r="K383">
            <v>371792</v>
          </cell>
          <cell r="L383">
            <v>1161799</v>
          </cell>
          <cell r="M383">
            <v>1207386</v>
          </cell>
          <cell r="N383">
            <v>1156964</v>
          </cell>
          <cell r="O383">
            <v>1270418</v>
          </cell>
          <cell r="P383">
            <v>1153374</v>
          </cell>
          <cell r="Q383">
            <v>1043678</v>
          </cell>
          <cell r="R383">
            <v>1204609</v>
          </cell>
          <cell r="S383">
            <v>1148956</v>
          </cell>
          <cell r="T383">
            <v>1149357</v>
          </cell>
          <cell r="U383">
            <v>1024509</v>
          </cell>
          <cell r="V383">
            <v>1115739</v>
          </cell>
          <cell r="W383">
            <v>1155335</v>
          </cell>
          <cell r="X383">
            <v>1168826</v>
          </cell>
          <cell r="Y383">
            <v>1338379</v>
          </cell>
          <cell r="Z383">
            <v>1336147</v>
          </cell>
          <cell r="AA383">
            <v>1260041</v>
          </cell>
          <cell r="AB383">
            <v>1184175</v>
          </cell>
          <cell r="AC383">
            <v>1054176</v>
          </cell>
          <cell r="AD383">
            <v>1202066</v>
          </cell>
          <cell r="AE383">
            <v>441258</v>
          </cell>
          <cell r="AF383">
            <v>377139</v>
          </cell>
          <cell r="AG383">
            <v>303055</v>
          </cell>
          <cell r="AI383">
            <v>1663367</v>
          </cell>
        </row>
        <row r="385">
          <cell r="I385">
            <v>12530</v>
          </cell>
          <cell r="J385">
            <v>11030</v>
          </cell>
          <cell r="K385">
            <v>14180</v>
          </cell>
          <cell r="L385">
            <v>14870</v>
          </cell>
          <cell r="M385">
            <v>14960</v>
          </cell>
          <cell r="N385">
            <v>19690</v>
          </cell>
          <cell r="O385">
            <v>12890</v>
          </cell>
          <cell r="P385">
            <v>10540</v>
          </cell>
          <cell r="Q385">
            <v>11180</v>
          </cell>
          <cell r="R385">
            <v>12730</v>
          </cell>
          <cell r="S385">
            <v>10790</v>
          </cell>
          <cell r="T385">
            <v>12010</v>
          </cell>
          <cell r="U385">
            <v>14420</v>
          </cell>
          <cell r="V385">
            <v>11480</v>
          </cell>
          <cell r="W385">
            <v>12800</v>
          </cell>
          <cell r="X385">
            <v>15900</v>
          </cell>
          <cell r="Y385">
            <v>12520</v>
          </cell>
          <cell r="Z385">
            <v>14080</v>
          </cell>
          <cell r="AA385">
            <v>12850</v>
          </cell>
          <cell r="AB385">
            <v>10360</v>
          </cell>
          <cell r="AC385">
            <v>13510</v>
          </cell>
          <cell r="AD385">
            <v>13350</v>
          </cell>
          <cell r="AE385">
            <v>12870</v>
          </cell>
          <cell r="AF385">
            <v>13640</v>
          </cell>
          <cell r="AG385">
            <v>15920</v>
          </cell>
          <cell r="AI385">
            <v>11030</v>
          </cell>
        </row>
        <row r="386">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I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I387">
            <v>0</v>
          </cell>
        </row>
        <row r="388">
          <cell r="I388">
            <v>12281</v>
          </cell>
          <cell r="J388">
            <v>10250</v>
          </cell>
          <cell r="K388">
            <v>10361</v>
          </cell>
          <cell r="L388">
            <v>11493</v>
          </cell>
          <cell r="M388">
            <v>11466</v>
          </cell>
          <cell r="N388">
            <v>12299</v>
          </cell>
          <cell r="O388">
            <v>10356</v>
          </cell>
          <cell r="P388">
            <v>8315</v>
          </cell>
          <cell r="Q388">
            <v>7931</v>
          </cell>
          <cell r="R388">
            <v>10512</v>
          </cell>
          <cell r="S388">
            <v>8829</v>
          </cell>
          <cell r="T388">
            <v>9090</v>
          </cell>
          <cell r="U388">
            <v>9912</v>
          </cell>
          <cell r="V388">
            <v>10136</v>
          </cell>
          <cell r="W388">
            <v>9580</v>
          </cell>
          <cell r="X388">
            <v>11070</v>
          </cell>
          <cell r="Y388">
            <v>10988</v>
          </cell>
          <cell r="Z388">
            <v>11113</v>
          </cell>
          <cell r="AA388">
            <v>9588</v>
          </cell>
          <cell r="AB388">
            <v>10161</v>
          </cell>
          <cell r="AC388">
            <v>9133</v>
          </cell>
          <cell r="AD388">
            <v>10028</v>
          </cell>
          <cell r="AE388">
            <v>9551</v>
          </cell>
          <cell r="AF388">
            <v>9767</v>
          </cell>
          <cell r="AG388">
            <v>10987</v>
          </cell>
          <cell r="AI388">
            <v>10250</v>
          </cell>
        </row>
        <row r="389">
          <cell r="I389">
            <v>5</v>
          </cell>
          <cell r="J389">
            <v>6</v>
          </cell>
          <cell r="K389">
            <v>5</v>
          </cell>
          <cell r="L389">
            <v>6</v>
          </cell>
          <cell r="M389">
            <v>5</v>
          </cell>
          <cell r="N389">
            <v>5</v>
          </cell>
          <cell r="O389">
            <v>5</v>
          </cell>
          <cell r="P389">
            <v>5</v>
          </cell>
          <cell r="Q389">
            <v>4</v>
          </cell>
          <cell r="R389">
            <v>4</v>
          </cell>
          <cell r="S389">
            <v>5</v>
          </cell>
          <cell r="T389">
            <v>3</v>
          </cell>
          <cell r="U389">
            <v>3</v>
          </cell>
          <cell r="V389">
            <v>4</v>
          </cell>
          <cell r="W389">
            <v>3</v>
          </cell>
          <cell r="X389">
            <v>7</v>
          </cell>
          <cell r="Y389">
            <v>6</v>
          </cell>
          <cell r="Z389">
            <v>4</v>
          </cell>
          <cell r="AA389">
            <v>5</v>
          </cell>
          <cell r="AB389">
            <v>4</v>
          </cell>
          <cell r="AC389">
            <v>3</v>
          </cell>
          <cell r="AD389">
            <v>4</v>
          </cell>
          <cell r="AE389">
            <v>4</v>
          </cell>
          <cell r="AF389">
            <v>7</v>
          </cell>
          <cell r="AG389">
            <v>6</v>
          </cell>
          <cell r="AI389">
            <v>6</v>
          </cell>
        </row>
        <row r="390">
          <cell r="I390">
            <v>12238</v>
          </cell>
          <cell r="J390">
            <v>12655</v>
          </cell>
          <cell r="K390">
            <v>12283</v>
          </cell>
          <cell r="L390">
            <v>12321</v>
          </cell>
          <cell r="M390">
            <v>15756</v>
          </cell>
          <cell r="N390">
            <v>20138</v>
          </cell>
          <cell r="O390">
            <v>15160</v>
          </cell>
          <cell r="P390">
            <v>13720</v>
          </cell>
          <cell r="Q390">
            <v>15600</v>
          </cell>
          <cell r="R390">
            <v>16240</v>
          </cell>
          <cell r="S390">
            <v>14000</v>
          </cell>
          <cell r="T390">
            <v>14200</v>
          </cell>
          <cell r="U390">
            <v>15240</v>
          </cell>
          <cell r="V390">
            <v>13480</v>
          </cell>
          <cell r="W390">
            <v>17880</v>
          </cell>
          <cell r="X390">
            <v>18120</v>
          </cell>
          <cell r="Y390">
            <v>18760</v>
          </cell>
          <cell r="Z390">
            <v>21600</v>
          </cell>
          <cell r="AA390">
            <v>18160</v>
          </cell>
          <cell r="AB390">
            <v>14880</v>
          </cell>
          <cell r="AC390">
            <v>11560</v>
          </cell>
          <cell r="AD390">
            <v>14920</v>
          </cell>
          <cell r="AE390">
            <v>16760</v>
          </cell>
          <cell r="AF390">
            <v>16960</v>
          </cell>
          <cell r="AG390">
            <v>15880</v>
          </cell>
          <cell r="AI390">
            <v>12655</v>
          </cell>
        </row>
        <row r="391">
          <cell r="I391">
            <v>88738</v>
          </cell>
          <cell r="J391">
            <v>84910</v>
          </cell>
          <cell r="K391">
            <v>97315</v>
          </cell>
          <cell r="L391">
            <v>98111</v>
          </cell>
          <cell r="M391">
            <v>101627</v>
          </cell>
          <cell r="N391">
            <v>119163</v>
          </cell>
          <cell r="O391">
            <v>89514</v>
          </cell>
          <cell r="P391">
            <v>86377</v>
          </cell>
          <cell r="Q391">
            <v>93996</v>
          </cell>
          <cell r="R391">
            <v>91830</v>
          </cell>
          <cell r="S391">
            <v>89530</v>
          </cell>
          <cell r="T391">
            <v>98880</v>
          </cell>
          <cell r="U391">
            <v>89471</v>
          </cell>
          <cell r="V391">
            <v>80549</v>
          </cell>
          <cell r="W391">
            <v>97585</v>
          </cell>
          <cell r="X391">
            <v>91860</v>
          </cell>
          <cell r="Y391">
            <v>110831</v>
          </cell>
          <cell r="Z391">
            <v>124452</v>
          </cell>
          <cell r="AA391">
            <v>106029</v>
          </cell>
          <cell r="AB391">
            <v>83880</v>
          </cell>
          <cell r="AC391">
            <v>89410</v>
          </cell>
          <cell r="AD391">
            <v>92655</v>
          </cell>
          <cell r="AE391">
            <v>96238</v>
          </cell>
          <cell r="AF391">
            <v>94935</v>
          </cell>
          <cell r="AG391">
            <v>84474</v>
          </cell>
          <cell r="AI391">
            <v>84910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I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I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I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I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I396">
            <v>0</v>
          </cell>
        </row>
        <row r="397">
          <cell r="I397">
            <v>17936</v>
          </cell>
          <cell r="J397">
            <v>24056</v>
          </cell>
          <cell r="K397">
            <v>29644</v>
          </cell>
          <cell r="L397">
            <v>33140</v>
          </cell>
          <cell r="M397">
            <v>35248</v>
          </cell>
          <cell r="N397">
            <v>43080</v>
          </cell>
          <cell r="O397">
            <v>29228</v>
          </cell>
          <cell r="P397">
            <v>24356</v>
          </cell>
          <cell r="Q397">
            <v>18968</v>
          </cell>
          <cell r="R397">
            <v>26152</v>
          </cell>
          <cell r="S397">
            <v>16324</v>
          </cell>
          <cell r="T397">
            <v>18512</v>
          </cell>
          <cell r="U397">
            <v>16192</v>
          </cell>
          <cell r="V397">
            <v>18756</v>
          </cell>
          <cell r="W397">
            <v>28192</v>
          </cell>
          <cell r="X397">
            <v>31556</v>
          </cell>
          <cell r="Y397">
            <v>37350</v>
          </cell>
          <cell r="Z397">
            <v>41518</v>
          </cell>
          <cell r="AA397">
            <v>35362</v>
          </cell>
          <cell r="AB397">
            <v>30228</v>
          </cell>
          <cell r="AC397">
            <v>28091</v>
          </cell>
          <cell r="AD397">
            <v>19064</v>
          </cell>
          <cell r="AE397">
            <v>20499</v>
          </cell>
          <cell r="AF397">
            <v>25718</v>
          </cell>
          <cell r="AG397">
            <v>26275</v>
          </cell>
          <cell r="AI397">
            <v>24056</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I398">
            <v>0</v>
          </cell>
        </row>
        <row r="399">
          <cell r="I399">
            <v>10560</v>
          </cell>
          <cell r="J399">
            <v>11616</v>
          </cell>
          <cell r="K399">
            <v>12192</v>
          </cell>
          <cell r="L399">
            <v>12576</v>
          </cell>
          <cell r="M399">
            <v>13056</v>
          </cell>
          <cell r="N399">
            <v>15168</v>
          </cell>
          <cell r="O399">
            <v>12480</v>
          </cell>
          <cell r="P399">
            <v>10272</v>
          </cell>
          <cell r="Q399">
            <v>11424</v>
          </cell>
          <cell r="R399">
            <v>10368</v>
          </cell>
          <cell r="S399">
            <v>11232</v>
          </cell>
          <cell r="T399">
            <v>11136</v>
          </cell>
          <cell r="U399">
            <v>11904</v>
          </cell>
          <cell r="V399">
            <v>9696</v>
          </cell>
          <cell r="W399">
            <v>13536</v>
          </cell>
          <cell r="X399">
            <v>12384</v>
          </cell>
          <cell r="Y399">
            <v>13728</v>
          </cell>
          <cell r="Z399">
            <v>12672</v>
          </cell>
          <cell r="AA399">
            <v>12480</v>
          </cell>
          <cell r="AB399">
            <v>9984</v>
          </cell>
          <cell r="AC399">
            <v>10848</v>
          </cell>
          <cell r="AD399">
            <v>11136</v>
          </cell>
          <cell r="AE399">
            <v>11520</v>
          </cell>
          <cell r="AF399">
            <v>10368</v>
          </cell>
          <cell r="AG399">
            <v>10080</v>
          </cell>
          <cell r="AI399">
            <v>11616</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I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I401">
            <v>0</v>
          </cell>
        </row>
        <row r="402">
          <cell r="I402">
            <v>946</v>
          </cell>
          <cell r="J402">
            <v>1146</v>
          </cell>
          <cell r="K402">
            <v>945</v>
          </cell>
          <cell r="L402">
            <v>1404</v>
          </cell>
          <cell r="M402">
            <v>1362</v>
          </cell>
          <cell r="N402">
            <v>1796</v>
          </cell>
          <cell r="O402">
            <v>1025</v>
          </cell>
          <cell r="P402">
            <v>864</v>
          </cell>
          <cell r="Q402">
            <v>909</v>
          </cell>
          <cell r="R402">
            <v>704</v>
          </cell>
          <cell r="S402">
            <v>787</v>
          </cell>
          <cell r="T402">
            <v>480</v>
          </cell>
          <cell r="U402">
            <v>943</v>
          </cell>
          <cell r="V402">
            <v>931</v>
          </cell>
          <cell r="W402">
            <v>1203</v>
          </cell>
          <cell r="X402">
            <v>1411</v>
          </cell>
          <cell r="Y402">
            <v>1616</v>
          </cell>
          <cell r="Z402">
            <v>1448</v>
          </cell>
          <cell r="AA402">
            <v>224</v>
          </cell>
          <cell r="AB402">
            <v>256</v>
          </cell>
          <cell r="AC402">
            <v>227</v>
          </cell>
          <cell r="AD402">
            <v>189</v>
          </cell>
          <cell r="AE402">
            <v>42</v>
          </cell>
          <cell r="AF402">
            <v>-482</v>
          </cell>
          <cell r="AG402">
            <v>591</v>
          </cell>
          <cell r="AI402">
            <v>1146</v>
          </cell>
        </row>
        <row r="403">
          <cell r="I403">
            <v>0</v>
          </cell>
          <cell r="J403">
            <v>3330</v>
          </cell>
          <cell r="K403">
            <v>5270</v>
          </cell>
          <cell r="L403">
            <v>6680</v>
          </cell>
          <cell r="M403">
            <v>6970</v>
          </cell>
          <cell r="N403">
            <v>7350</v>
          </cell>
          <cell r="O403">
            <v>6480</v>
          </cell>
          <cell r="P403">
            <v>5440</v>
          </cell>
          <cell r="Q403">
            <v>4470</v>
          </cell>
          <cell r="R403">
            <v>5010</v>
          </cell>
          <cell r="S403">
            <v>6120</v>
          </cell>
          <cell r="T403">
            <v>6670</v>
          </cell>
          <cell r="U403">
            <v>6530</v>
          </cell>
          <cell r="V403">
            <v>5390</v>
          </cell>
          <cell r="W403">
            <v>6310</v>
          </cell>
          <cell r="X403">
            <v>6600</v>
          </cell>
          <cell r="Y403">
            <v>7320</v>
          </cell>
          <cell r="Z403">
            <v>6640</v>
          </cell>
          <cell r="AA403">
            <v>6150</v>
          </cell>
          <cell r="AB403">
            <v>6150</v>
          </cell>
          <cell r="AC403">
            <v>5540</v>
          </cell>
          <cell r="AD403">
            <v>5120</v>
          </cell>
          <cell r="AE403">
            <v>4710</v>
          </cell>
          <cell r="AF403">
            <v>4340</v>
          </cell>
          <cell r="AG403">
            <v>4710</v>
          </cell>
          <cell r="AI403">
            <v>3330</v>
          </cell>
        </row>
        <row r="404">
          <cell r="I404">
            <v>3093</v>
          </cell>
          <cell r="J404">
            <v>3826</v>
          </cell>
          <cell r="K404">
            <v>3571</v>
          </cell>
          <cell r="L404">
            <v>4702</v>
          </cell>
          <cell r="M404">
            <v>4256</v>
          </cell>
          <cell r="N404">
            <v>3634</v>
          </cell>
          <cell r="O404">
            <v>5590</v>
          </cell>
          <cell r="P404">
            <v>3396</v>
          </cell>
          <cell r="Q404">
            <v>2725</v>
          </cell>
          <cell r="R404">
            <v>4043</v>
          </cell>
          <cell r="S404">
            <v>4203</v>
          </cell>
          <cell r="T404">
            <v>3755</v>
          </cell>
          <cell r="U404">
            <v>4741</v>
          </cell>
          <cell r="V404">
            <v>3880</v>
          </cell>
          <cell r="W404">
            <v>4211</v>
          </cell>
          <cell r="X404">
            <v>4974</v>
          </cell>
          <cell r="Y404">
            <v>4559</v>
          </cell>
          <cell r="Z404">
            <v>4227</v>
          </cell>
          <cell r="AA404">
            <v>5315</v>
          </cell>
          <cell r="AB404">
            <v>2182</v>
          </cell>
          <cell r="AC404">
            <v>2361</v>
          </cell>
          <cell r="AD404">
            <v>2223</v>
          </cell>
          <cell r="AE404">
            <v>2741</v>
          </cell>
          <cell r="AF404">
            <v>2822</v>
          </cell>
          <cell r="AG404">
            <v>2651</v>
          </cell>
          <cell r="AI404">
            <v>3826</v>
          </cell>
        </row>
        <row r="406">
          <cell r="I406">
            <v>2813890</v>
          </cell>
          <cell r="J406">
            <v>3229623</v>
          </cell>
          <cell r="K406">
            <v>4256346</v>
          </cell>
          <cell r="L406">
            <v>4509978</v>
          </cell>
          <cell r="M406">
            <v>4623069</v>
          </cell>
          <cell r="N406">
            <v>4876609</v>
          </cell>
          <cell r="O406">
            <v>3531606</v>
          </cell>
          <cell r="P406">
            <v>2870824</v>
          </cell>
          <cell r="Q406">
            <v>2813592</v>
          </cell>
          <cell r="R406">
            <v>2861370</v>
          </cell>
          <cell r="S406">
            <v>2951150</v>
          </cell>
          <cell r="T406">
            <v>2674993</v>
          </cell>
          <cell r="U406">
            <v>2807308</v>
          </cell>
          <cell r="V406">
            <v>3271605</v>
          </cell>
          <cell r="W406">
            <v>3567155</v>
          </cell>
          <cell r="X406">
            <v>4347638</v>
          </cell>
          <cell r="Y406">
            <v>4794199</v>
          </cell>
          <cell r="Z406">
            <v>4689605</v>
          </cell>
          <cell r="AA406">
            <v>3654041</v>
          </cell>
          <cell r="AB406">
            <v>2886253</v>
          </cell>
          <cell r="AC406">
            <v>2728068</v>
          </cell>
          <cell r="AD406">
            <v>3037262</v>
          </cell>
          <cell r="AE406">
            <v>2667590</v>
          </cell>
          <cell r="AF406">
            <v>2492789</v>
          </cell>
          <cell r="AG406">
            <v>2681795</v>
          </cell>
          <cell r="AI406">
            <v>3229623</v>
          </cell>
        </row>
        <row r="407">
          <cell r="I407">
            <v>4861108</v>
          </cell>
          <cell r="J407">
            <v>5085582</v>
          </cell>
          <cell r="K407">
            <v>6632222</v>
          </cell>
          <cell r="L407">
            <v>6655675</v>
          </cell>
          <cell r="M407">
            <v>6591617</v>
          </cell>
          <cell r="N407">
            <v>7363557</v>
          </cell>
          <cell r="O407">
            <v>5496246</v>
          </cell>
          <cell r="P407">
            <v>4923486</v>
          </cell>
          <cell r="Q407">
            <v>4482022</v>
          </cell>
          <cell r="R407">
            <v>4416630</v>
          </cell>
          <cell r="S407">
            <v>4042442</v>
          </cell>
          <cell r="T407">
            <v>4606024</v>
          </cell>
          <cell r="U407">
            <v>4302407</v>
          </cell>
          <cell r="V407">
            <v>5133744</v>
          </cell>
          <cell r="W407">
            <v>5371522</v>
          </cell>
          <cell r="X407">
            <v>5589826</v>
          </cell>
          <cell r="Y407">
            <v>6959648</v>
          </cell>
          <cell r="Z407">
            <v>6663394</v>
          </cell>
          <cell r="AA407">
            <v>5431465</v>
          </cell>
          <cell r="AB407">
            <v>4105136</v>
          </cell>
          <cell r="AC407">
            <v>3899890</v>
          </cell>
          <cell r="AD407">
            <v>4282857</v>
          </cell>
          <cell r="AE407">
            <v>4083212</v>
          </cell>
          <cell r="AF407">
            <v>3820244</v>
          </cell>
          <cell r="AG407">
            <v>4055935</v>
          </cell>
          <cell r="AI407">
            <v>5085582</v>
          </cell>
        </row>
        <row r="408">
          <cell r="I408">
            <v>1544641</v>
          </cell>
          <cell r="J408">
            <v>1789187</v>
          </cell>
          <cell r="K408">
            <v>2330982</v>
          </cell>
          <cell r="L408">
            <v>2733661</v>
          </cell>
          <cell r="M408">
            <v>2923821</v>
          </cell>
          <cell r="N408">
            <v>3224117</v>
          </cell>
          <cell r="O408">
            <v>2209872</v>
          </cell>
          <cell r="P408">
            <v>1511938</v>
          </cell>
          <cell r="Q408">
            <v>1560987</v>
          </cell>
          <cell r="R408">
            <v>1723832</v>
          </cell>
          <cell r="S408">
            <v>1774725</v>
          </cell>
          <cell r="T408">
            <v>1724043</v>
          </cell>
          <cell r="U408">
            <v>1599040</v>
          </cell>
          <cell r="V408">
            <v>1808174</v>
          </cell>
          <cell r="W408">
            <v>2276965</v>
          </cell>
          <cell r="X408">
            <v>2597226</v>
          </cell>
          <cell r="Y408">
            <v>3303179</v>
          </cell>
          <cell r="Z408">
            <v>3278325</v>
          </cell>
          <cell r="AA408">
            <v>2263047</v>
          </cell>
          <cell r="AB408">
            <v>1649722</v>
          </cell>
          <cell r="AC408">
            <v>1541852</v>
          </cell>
          <cell r="AD408">
            <v>1837147</v>
          </cell>
          <cell r="AE408">
            <v>1691259</v>
          </cell>
          <cell r="AF408">
            <v>1656491</v>
          </cell>
          <cell r="AG408">
            <v>1426701</v>
          </cell>
          <cell r="AI408">
            <v>1789187</v>
          </cell>
        </row>
        <row r="409">
          <cell r="I409">
            <v>2877407</v>
          </cell>
          <cell r="J409">
            <v>3182357</v>
          </cell>
          <cell r="K409">
            <v>4195690</v>
          </cell>
          <cell r="L409">
            <v>4704446</v>
          </cell>
          <cell r="M409">
            <v>4943444</v>
          </cell>
          <cell r="N409">
            <v>5201884</v>
          </cell>
          <cell r="O409">
            <v>3859509</v>
          </cell>
          <cell r="P409">
            <v>2628211</v>
          </cell>
          <cell r="Q409">
            <v>2660348</v>
          </cell>
          <cell r="R409">
            <v>2872080</v>
          </cell>
          <cell r="S409">
            <v>2812545</v>
          </cell>
          <cell r="T409">
            <v>2964662</v>
          </cell>
          <cell r="U409">
            <v>2729102</v>
          </cell>
          <cell r="V409">
            <v>3083634</v>
          </cell>
          <cell r="W409">
            <v>4126833</v>
          </cell>
          <cell r="X409">
            <v>4590834</v>
          </cell>
          <cell r="Y409">
            <v>5786684</v>
          </cell>
          <cell r="Z409">
            <v>5470984</v>
          </cell>
          <cell r="AA409">
            <v>4020444</v>
          </cell>
          <cell r="AB409">
            <v>2932621</v>
          </cell>
          <cell r="AC409">
            <v>2787654</v>
          </cell>
          <cell r="AD409">
            <v>3106029</v>
          </cell>
          <cell r="AE409">
            <v>2767588</v>
          </cell>
          <cell r="AF409">
            <v>2693631</v>
          </cell>
          <cell r="AG409">
            <v>2629308</v>
          </cell>
          <cell r="AI409">
            <v>3182357</v>
          </cell>
        </row>
        <row r="410">
          <cell r="I410">
            <v>2036816</v>
          </cell>
          <cell r="J410">
            <v>2432162</v>
          </cell>
          <cell r="K410">
            <v>3131686</v>
          </cell>
          <cell r="L410">
            <v>3730740</v>
          </cell>
          <cell r="M410">
            <v>4262916</v>
          </cell>
          <cell r="N410">
            <v>4177166</v>
          </cell>
          <cell r="O410">
            <v>3171848</v>
          </cell>
          <cell r="P410">
            <v>1968181</v>
          </cell>
          <cell r="Q410">
            <v>1956990</v>
          </cell>
          <cell r="R410">
            <v>2313572</v>
          </cell>
          <cell r="S410">
            <v>2265007</v>
          </cell>
          <cell r="T410">
            <v>2224977</v>
          </cell>
          <cell r="U410">
            <v>2100417</v>
          </cell>
          <cell r="V410">
            <v>2211558</v>
          </cell>
          <cell r="W410">
            <v>3075273</v>
          </cell>
          <cell r="X410">
            <v>3412629</v>
          </cell>
          <cell r="Y410">
            <v>4564557</v>
          </cell>
          <cell r="Z410">
            <v>4443481</v>
          </cell>
          <cell r="AA410">
            <v>3242229</v>
          </cell>
          <cell r="AB410">
            <v>2104537</v>
          </cell>
          <cell r="AC410">
            <v>2053439</v>
          </cell>
          <cell r="AD410">
            <v>2442627</v>
          </cell>
          <cell r="AE410">
            <v>2162976</v>
          </cell>
          <cell r="AF410">
            <v>2164068</v>
          </cell>
          <cell r="AG410">
            <v>1981798</v>
          </cell>
          <cell r="AI410">
            <v>2432162</v>
          </cell>
        </row>
        <row r="411">
          <cell r="I411">
            <v>2652551</v>
          </cell>
          <cell r="J411">
            <v>3002645</v>
          </cell>
          <cell r="K411">
            <v>3625149</v>
          </cell>
          <cell r="L411">
            <v>4354403</v>
          </cell>
          <cell r="M411">
            <v>4681916</v>
          </cell>
          <cell r="N411">
            <v>5145366</v>
          </cell>
          <cell r="O411">
            <v>3841373</v>
          </cell>
          <cell r="P411">
            <v>2707215</v>
          </cell>
          <cell r="Q411">
            <v>2700502</v>
          </cell>
          <cell r="R411">
            <v>2953879</v>
          </cell>
          <cell r="S411">
            <v>3050157</v>
          </cell>
          <cell r="T411">
            <v>3077450</v>
          </cell>
          <cell r="U411">
            <v>2896901</v>
          </cell>
          <cell r="V411">
            <v>2883528</v>
          </cell>
          <cell r="W411">
            <v>3710579</v>
          </cell>
          <cell r="X411">
            <v>4264069</v>
          </cell>
          <cell r="Y411">
            <v>5182997</v>
          </cell>
          <cell r="Z411">
            <v>5351389</v>
          </cell>
          <cell r="AA411">
            <v>4017186</v>
          </cell>
          <cell r="AB411">
            <v>2803164</v>
          </cell>
          <cell r="AC411">
            <v>2748761</v>
          </cell>
          <cell r="AD411">
            <v>3271249</v>
          </cell>
          <cell r="AE411">
            <v>3041159</v>
          </cell>
          <cell r="AF411">
            <v>2936649</v>
          </cell>
          <cell r="AG411">
            <v>2688172</v>
          </cell>
          <cell r="AI411">
            <v>3002645</v>
          </cell>
        </row>
        <row r="412">
          <cell r="I412">
            <v>2378373</v>
          </cell>
          <cell r="J412">
            <v>2634715</v>
          </cell>
          <cell r="K412">
            <v>3069092</v>
          </cell>
          <cell r="L412">
            <v>3810981</v>
          </cell>
          <cell r="M412">
            <v>4063534</v>
          </cell>
          <cell r="N412">
            <v>4415545</v>
          </cell>
          <cell r="O412">
            <v>3313592</v>
          </cell>
          <cell r="P412">
            <v>2386228</v>
          </cell>
          <cell r="Q412">
            <v>2242470</v>
          </cell>
          <cell r="R412">
            <v>2500566</v>
          </cell>
          <cell r="S412">
            <v>2400939</v>
          </cell>
          <cell r="T412">
            <v>2557383</v>
          </cell>
          <cell r="U412">
            <v>2287582</v>
          </cell>
          <cell r="V412">
            <v>2306719</v>
          </cell>
          <cell r="W412">
            <v>3327047</v>
          </cell>
          <cell r="X412">
            <v>3245012</v>
          </cell>
          <cell r="Y412">
            <v>3623444</v>
          </cell>
          <cell r="Z412">
            <v>4235883</v>
          </cell>
          <cell r="AA412">
            <v>3160600</v>
          </cell>
          <cell r="AB412">
            <v>2209770</v>
          </cell>
          <cell r="AC412">
            <v>2404553</v>
          </cell>
          <cell r="AD412">
            <v>2576315</v>
          </cell>
          <cell r="AE412">
            <v>1949423</v>
          </cell>
          <cell r="AF412">
            <v>2066117</v>
          </cell>
          <cell r="AG412">
            <v>1737022</v>
          </cell>
          <cell r="AI412">
            <v>2634715</v>
          </cell>
        </row>
        <row r="413">
          <cell r="I413">
            <v>2119726</v>
          </cell>
          <cell r="J413">
            <v>2531752</v>
          </cell>
          <cell r="K413">
            <v>3117398</v>
          </cell>
          <cell r="L413">
            <v>3971526</v>
          </cell>
          <cell r="M413">
            <v>4386871</v>
          </cell>
          <cell r="N413">
            <v>4444384</v>
          </cell>
          <cell r="O413">
            <v>3298414</v>
          </cell>
          <cell r="P413">
            <v>2204975</v>
          </cell>
          <cell r="Q413">
            <v>2068278</v>
          </cell>
          <cell r="R413">
            <v>2429838</v>
          </cell>
          <cell r="S413">
            <v>2332475</v>
          </cell>
          <cell r="T413">
            <v>2457277</v>
          </cell>
          <cell r="U413">
            <v>2162082</v>
          </cell>
          <cell r="V413">
            <v>2191506</v>
          </cell>
          <cell r="W413">
            <v>3299628</v>
          </cell>
          <cell r="X413">
            <v>3573807</v>
          </cell>
          <cell r="Y413">
            <v>4829232</v>
          </cell>
          <cell r="Z413">
            <v>4945385</v>
          </cell>
          <cell r="AA413">
            <v>3692153</v>
          </cell>
          <cell r="AB413">
            <v>2423778</v>
          </cell>
          <cell r="AC413">
            <v>2215919</v>
          </cell>
          <cell r="AD413">
            <v>2620416</v>
          </cell>
          <cell r="AE413">
            <v>2342069</v>
          </cell>
          <cell r="AF413">
            <v>2346034</v>
          </cell>
          <cell r="AG413">
            <v>2084821</v>
          </cell>
          <cell r="AI413">
            <v>2531752</v>
          </cell>
        </row>
        <row r="414">
          <cell r="I414">
            <v>2311646</v>
          </cell>
          <cell r="J414">
            <v>2606484</v>
          </cell>
          <cell r="K414">
            <v>3116724</v>
          </cell>
          <cell r="L414">
            <v>3785148</v>
          </cell>
          <cell r="M414">
            <v>4165942</v>
          </cell>
          <cell r="N414">
            <v>4315154</v>
          </cell>
          <cell r="O414">
            <v>3323994</v>
          </cell>
          <cell r="P414">
            <v>2429689</v>
          </cell>
          <cell r="Q414">
            <v>2383807</v>
          </cell>
          <cell r="R414">
            <v>2476906</v>
          </cell>
          <cell r="S414">
            <v>2549343</v>
          </cell>
          <cell r="T414">
            <v>2582656</v>
          </cell>
          <cell r="U414">
            <v>2578488</v>
          </cell>
          <cell r="V414">
            <v>2316450</v>
          </cell>
          <cell r="W414">
            <v>3340712</v>
          </cell>
          <cell r="X414">
            <v>3664434</v>
          </cell>
          <cell r="Y414">
            <v>4646737</v>
          </cell>
          <cell r="Z414">
            <v>5000687</v>
          </cell>
          <cell r="AA414">
            <v>3840783</v>
          </cell>
          <cell r="AB414">
            <v>2754022</v>
          </cell>
          <cell r="AC414">
            <v>2646935</v>
          </cell>
          <cell r="AD414">
            <v>2761826</v>
          </cell>
          <cell r="AE414">
            <v>2773576</v>
          </cell>
          <cell r="AF414">
            <v>2846821</v>
          </cell>
          <cell r="AG414">
            <v>2497911</v>
          </cell>
          <cell r="AI414">
            <v>2606484</v>
          </cell>
        </row>
        <row r="415">
          <cell r="I415">
            <v>1949044</v>
          </cell>
          <cell r="J415">
            <v>2137785</v>
          </cell>
          <cell r="K415">
            <v>2433925</v>
          </cell>
          <cell r="L415">
            <v>3404151</v>
          </cell>
          <cell r="M415">
            <v>3786600</v>
          </cell>
          <cell r="N415">
            <v>3707575</v>
          </cell>
          <cell r="O415">
            <v>2877045</v>
          </cell>
          <cell r="P415">
            <v>2114262</v>
          </cell>
          <cell r="Q415">
            <v>1755789</v>
          </cell>
          <cell r="R415">
            <v>1998276</v>
          </cell>
          <cell r="S415">
            <v>2027517</v>
          </cell>
          <cell r="T415">
            <v>2008761</v>
          </cell>
          <cell r="U415">
            <v>1965488</v>
          </cell>
          <cell r="V415">
            <v>1758292</v>
          </cell>
          <cell r="W415">
            <v>2672808</v>
          </cell>
          <cell r="X415">
            <v>2965429</v>
          </cell>
          <cell r="Y415">
            <v>3852989</v>
          </cell>
          <cell r="Z415">
            <v>4149237</v>
          </cell>
          <cell r="AA415">
            <v>3159836</v>
          </cell>
          <cell r="AB415">
            <v>2035451</v>
          </cell>
          <cell r="AC415">
            <v>1815243</v>
          </cell>
          <cell r="AD415">
            <v>2106018</v>
          </cell>
          <cell r="AE415">
            <v>1918691</v>
          </cell>
          <cell r="AF415">
            <v>1950479</v>
          </cell>
          <cell r="AG415">
            <v>1761656</v>
          </cell>
          <cell r="AI415">
            <v>2137785</v>
          </cell>
        </row>
        <row r="416">
          <cell r="I416">
            <v>4199923</v>
          </cell>
          <cell r="J416">
            <v>4870921</v>
          </cell>
          <cell r="K416">
            <v>5247048</v>
          </cell>
          <cell r="L416">
            <v>6900876</v>
          </cell>
          <cell r="M416">
            <v>6813692</v>
          </cell>
          <cell r="N416">
            <v>7629160</v>
          </cell>
          <cell r="O416">
            <v>6178716</v>
          </cell>
          <cell r="P416">
            <v>4667862</v>
          </cell>
          <cell r="Q416">
            <v>4119605</v>
          </cell>
          <cell r="R416">
            <v>4262784</v>
          </cell>
          <cell r="S416">
            <v>4898629</v>
          </cell>
          <cell r="T416">
            <v>4862936</v>
          </cell>
          <cell r="U416">
            <v>4806855</v>
          </cell>
          <cell r="V416">
            <v>4711081</v>
          </cell>
          <cell r="W416">
            <v>5734176</v>
          </cell>
          <cell r="X416">
            <v>6326943</v>
          </cell>
          <cell r="Y416">
            <v>7505156</v>
          </cell>
          <cell r="Z416">
            <v>6858817</v>
          </cell>
          <cell r="AA416">
            <v>6041777</v>
          </cell>
          <cell r="AB416">
            <v>4535222</v>
          </cell>
          <cell r="AC416">
            <v>4012992</v>
          </cell>
          <cell r="AD416">
            <v>4043266</v>
          </cell>
          <cell r="AE416">
            <v>4124695</v>
          </cell>
          <cell r="AF416">
            <v>3924357</v>
          </cell>
          <cell r="AG416">
            <v>3737194</v>
          </cell>
          <cell r="AI416">
            <v>4870921</v>
          </cell>
        </row>
        <row r="417">
          <cell r="I417">
            <v>1744895</v>
          </cell>
          <cell r="J417">
            <v>1887304</v>
          </cell>
          <cell r="K417">
            <v>2229430</v>
          </cell>
          <cell r="L417">
            <v>3081545</v>
          </cell>
          <cell r="M417">
            <v>3346284</v>
          </cell>
          <cell r="N417">
            <v>3612972</v>
          </cell>
          <cell r="O417">
            <v>2714441</v>
          </cell>
          <cell r="P417">
            <v>1917337</v>
          </cell>
          <cell r="Q417">
            <v>1631916</v>
          </cell>
          <cell r="R417">
            <v>1768168</v>
          </cell>
          <cell r="S417">
            <v>1727295</v>
          </cell>
          <cell r="T417">
            <v>1906620</v>
          </cell>
          <cell r="U417">
            <v>1687904</v>
          </cell>
          <cell r="V417">
            <v>1636924</v>
          </cell>
          <cell r="W417">
            <v>2431240</v>
          </cell>
          <cell r="X417">
            <v>2702667</v>
          </cell>
          <cell r="Y417">
            <v>3548832</v>
          </cell>
          <cell r="Z417">
            <v>3958917</v>
          </cell>
          <cell r="AA417">
            <v>2957266</v>
          </cell>
          <cell r="AB417">
            <v>1977617</v>
          </cell>
          <cell r="AC417">
            <v>1716402</v>
          </cell>
          <cell r="AD417">
            <v>1785641</v>
          </cell>
          <cell r="AE417">
            <v>1809426</v>
          </cell>
          <cell r="AF417">
            <v>1784461</v>
          </cell>
          <cell r="AG417">
            <v>1528983</v>
          </cell>
          <cell r="AI417">
            <v>1887304</v>
          </cell>
        </row>
        <row r="418">
          <cell r="I418">
            <v>8857451</v>
          </cell>
          <cell r="J418">
            <v>8318579</v>
          </cell>
          <cell r="K418">
            <v>9762838</v>
          </cell>
          <cell r="L418">
            <v>10032482</v>
          </cell>
          <cell r="M418">
            <v>10558397</v>
          </cell>
          <cell r="N418">
            <v>11530356</v>
          </cell>
          <cell r="O418">
            <v>9419787</v>
          </cell>
          <cell r="P418">
            <v>8063549</v>
          </cell>
          <cell r="Q418">
            <v>7589689</v>
          </cell>
          <cell r="R418">
            <v>8418752</v>
          </cell>
          <cell r="S418">
            <v>8089792</v>
          </cell>
          <cell r="T418">
            <v>8634438</v>
          </cell>
          <cell r="U418">
            <v>8144594</v>
          </cell>
          <cell r="V418">
            <v>7964265</v>
          </cell>
          <cell r="W418">
            <v>10057652</v>
          </cell>
          <cell r="X418">
            <v>10066736</v>
          </cell>
          <cell r="Y418">
            <v>11173307</v>
          </cell>
          <cell r="Z418">
            <v>12572420</v>
          </cell>
          <cell r="AA418">
            <v>10085476</v>
          </cell>
          <cell r="AB418">
            <v>8739582</v>
          </cell>
          <cell r="AC418">
            <v>8108216</v>
          </cell>
          <cell r="AD418">
            <v>8276491</v>
          </cell>
          <cell r="AE418">
            <v>8757840</v>
          </cell>
          <cell r="AF418">
            <v>8680330</v>
          </cell>
          <cell r="AG418">
            <v>8210361</v>
          </cell>
          <cell r="AI418">
            <v>8318579</v>
          </cell>
        </row>
        <row r="419">
          <cell r="I419">
            <v>2914015</v>
          </cell>
          <cell r="J419">
            <v>3132914</v>
          </cell>
          <cell r="K419">
            <v>4403061</v>
          </cell>
          <cell r="L419">
            <v>5703196</v>
          </cell>
          <cell r="M419">
            <v>6193527</v>
          </cell>
          <cell r="N419">
            <v>6325348</v>
          </cell>
          <cell r="O419">
            <v>5814233</v>
          </cell>
          <cell r="P419">
            <v>4208528</v>
          </cell>
          <cell r="Q419">
            <v>3785373</v>
          </cell>
          <cell r="R419">
            <v>4408701</v>
          </cell>
          <cell r="S419">
            <v>4132426</v>
          </cell>
          <cell r="T419">
            <v>4385856</v>
          </cell>
          <cell r="U419">
            <v>4011337</v>
          </cell>
          <cell r="V419">
            <v>3726035</v>
          </cell>
          <cell r="W419">
            <v>5048474</v>
          </cell>
          <cell r="X419">
            <v>5330156</v>
          </cell>
          <cell r="Y419">
            <v>6419970</v>
          </cell>
          <cell r="Z419">
            <v>7259277</v>
          </cell>
          <cell r="AA419">
            <v>6048539</v>
          </cell>
          <cell r="AB419">
            <v>4440577</v>
          </cell>
          <cell r="AC419">
            <v>4169056</v>
          </cell>
          <cell r="AD419">
            <v>4256482</v>
          </cell>
          <cell r="AE419">
            <v>4140035</v>
          </cell>
          <cell r="AF419">
            <v>4173946</v>
          </cell>
          <cell r="AG419">
            <v>4110462</v>
          </cell>
          <cell r="AI419">
            <v>3132914</v>
          </cell>
        </row>
        <row r="420">
          <cell r="I420">
            <v>1714415</v>
          </cell>
          <cell r="J420">
            <v>2318233</v>
          </cell>
          <cell r="K420">
            <v>2413004</v>
          </cell>
          <cell r="L420">
            <v>3087081</v>
          </cell>
          <cell r="M420">
            <v>3088402</v>
          </cell>
          <cell r="N420">
            <v>3537201</v>
          </cell>
          <cell r="O420">
            <v>3263895</v>
          </cell>
          <cell r="P420">
            <v>2294014</v>
          </cell>
          <cell r="Q420">
            <v>2115345</v>
          </cell>
          <cell r="R420">
            <v>2301411</v>
          </cell>
          <cell r="S420">
            <v>2435926</v>
          </cell>
          <cell r="T420">
            <v>2346109</v>
          </cell>
          <cell r="U420">
            <v>2484760</v>
          </cell>
          <cell r="V420">
            <v>1984911</v>
          </cell>
          <cell r="W420">
            <v>2700230</v>
          </cell>
          <cell r="X420">
            <v>2906213</v>
          </cell>
          <cell r="Y420">
            <v>3260487</v>
          </cell>
          <cell r="Z420">
            <v>4127441</v>
          </cell>
          <cell r="AA420">
            <v>2925641</v>
          </cell>
          <cell r="AB420">
            <v>2412314</v>
          </cell>
          <cell r="AC420">
            <v>2254699</v>
          </cell>
          <cell r="AD420">
            <v>2331174</v>
          </cell>
          <cell r="AE420">
            <v>2439938</v>
          </cell>
          <cell r="AF420">
            <v>2310178</v>
          </cell>
          <cell r="AG420">
            <v>2169526</v>
          </cell>
          <cell r="AI420">
            <v>2318233</v>
          </cell>
        </row>
        <row r="421">
          <cell r="I421">
            <v>2082567</v>
          </cell>
          <cell r="J421">
            <v>2193873</v>
          </cell>
          <cell r="K421">
            <v>2291184</v>
          </cell>
          <cell r="L421">
            <v>3161767</v>
          </cell>
          <cell r="M421">
            <v>3346584</v>
          </cell>
          <cell r="N421">
            <v>3867607</v>
          </cell>
          <cell r="O421">
            <v>3403203</v>
          </cell>
          <cell r="P421">
            <v>2150425</v>
          </cell>
          <cell r="Q421">
            <v>1950496</v>
          </cell>
          <cell r="R421">
            <v>2112918</v>
          </cell>
          <cell r="S421">
            <v>2023682</v>
          </cell>
          <cell r="T421">
            <v>2248553</v>
          </cell>
          <cell r="U421">
            <v>1936948</v>
          </cell>
          <cell r="V421">
            <v>2010147</v>
          </cell>
          <cell r="W421">
            <v>2341282</v>
          </cell>
          <cell r="X421">
            <v>2766867</v>
          </cell>
          <cell r="Y421">
            <v>3560489</v>
          </cell>
          <cell r="Z421">
            <v>3890061</v>
          </cell>
          <cell r="AA421">
            <v>3615703</v>
          </cell>
          <cell r="AB421">
            <v>2153983</v>
          </cell>
          <cell r="AC421">
            <v>1935485</v>
          </cell>
          <cell r="AD421">
            <v>2126639</v>
          </cell>
          <cell r="AE421">
            <v>2225839</v>
          </cell>
          <cell r="AF421">
            <v>2074486</v>
          </cell>
          <cell r="AG421">
            <v>1933879</v>
          </cell>
          <cell r="AI421">
            <v>2193873</v>
          </cell>
        </row>
        <row r="422">
          <cell r="I422">
            <v>3006392</v>
          </cell>
          <cell r="J422">
            <v>2780787</v>
          </cell>
          <cell r="K422">
            <v>2857036</v>
          </cell>
          <cell r="L422">
            <v>3860835</v>
          </cell>
          <cell r="M422">
            <v>3787227</v>
          </cell>
          <cell r="N422">
            <v>4102827</v>
          </cell>
          <cell r="O422">
            <v>4310199</v>
          </cell>
          <cell r="P422">
            <v>2772926</v>
          </cell>
          <cell r="Q422">
            <v>2577462</v>
          </cell>
          <cell r="R422">
            <v>2824531</v>
          </cell>
          <cell r="S422">
            <v>2748144</v>
          </cell>
          <cell r="T422">
            <v>3239392</v>
          </cell>
          <cell r="U422">
            <v>2639752</v>
          </cell>
          <cell r="V422">
            <v>2584957</v>
          </cell>
          <cell r="W422">
            <v>3048499</v>
          </cell>
          <cell r="X422">
            <v>3315854</v>
          </cell>
          <cell r="Y422">
            <v>4029525</v>
          </cell>
          <cell r="Z422">
            <v>4471270</v>
          </cell>
          <cell r="AA422">
            <v>4748679</v>
          </cell>
          <cell r="AB422">
            <v>2447893</v>
          </cell>
          <cell r="AC422">
            <v>2712834</v>
          </cell>
          <cell r="AD422">
            <v>2737698</v>
          </cell>
          <cell r="AE422">
            <v>2864279</v>
          </cell>
          <cell r="AF422">
            <v>2960923</v>
          </cell>
          <cell r="AG422">
            <v>2504584</v>
          </cell>
          <cell r="AI422">
            <v>2780787</v>
          </cell>
        </row>
        <row r="423">
          <cell r="I423">
            <v>4077814</v>
          </cell>
          <cell r="J423">
            <v>4273127</v>
          </cell>
          <cell r="K423">
            <v>4294405</v>
          </cell>
          <cell r="L423">
            <v>5988288</v>
          </cell>
          <cell r="M423">
            <v>5889480</v>
          </cell>
          <cell r="N423">
            <v>6942866</v>
          </cell>
          <cell r="O423">
            <v>5490341</v>
          </cell>
          <cell r="P423">
            <v>4640046</v>
          </cell>
          <cell r="Q423">
            <v>4018496</v>
          </cell>
          <cell r="R423">
            <v>4028075</v>
          </cell>
          <cell r="S423">
            <v>4379894</v>
          </cell>
          <cell r="T423">
            <v>4042086</v>
          </cell>
          <cell r="U423">
            <v>4294915</v>
          </cell>
          <cell r="V423">
            <v>4185100</v>
          </cell>
          <cell r="W423">
            <v>5046104</v>
          </cell>
          <cell r="X423">
            <v>5392303</v>
          </cell>
          <cell r="Y423">
            <v>6206147</v>
          </cell>
          <cell r="Z423">
            <v>7903046</v>
          </cell>
          <cell r="AA423">
            <v>5446361</v>
          </cell>
          <cell r="AB423">
            <v>4872727</v>
          </cell>
          <cell r="AC423">
            <v>4380498</v>
          </cell>
          <cell r="AD423">
            <v>3975962</v>
          </cell>
          <cell r="AE423">
            <v>4230718</v>
          </cell>
          <cell r="AF423">
            <v>4286122</v>
          </cell>
          <cell r="AG423">
            <v>4148444</v>
          </cell>
          <cell r="AI423">
            <v>4273127</v>
          </cell>
        </row>
        <row r="424">
          <cell r="I424">
            <v>2025275</v>
          </cell>
          <cell r="J424">
            <v>2066549</v>
          </cell>
          <cell r="K424">
            <v>2141385</v>
          </cell>
          <cell r="L424">
            <v>3677489</v>
          </cell>
          <cell r="M424">
            <v>3678706</v>
          </cell>
          <cell r="N424">
            <v>4313497</v>
          </cell>
          <cell r="O424">
            <v>3901037</v>
          </cell>
          <cell r="P424">
            <v>2588763</v>
          </cell>
          <cell r="Q424">
            <v>1844991</v>
          </cell>
          <cell r="R424">
            <v>1999375</v>
          </cell>
          <cell r="S424">
            <v>2229782</v>
          </cell>
          <cell r="T424">
            <v>2152630</v>
          </cell>
          <cell r="U424">
            <v>2128335</v>
          </cell>
          <cell r="V424">
            <v>2068198</v>
          </cell>
          <cell r="W424">
            <v>2474405</v>
          </cell>
          <cell r="X424">
            <v>2906299</v>
          </cell>
          <cell r="Y424">
            <v>4056282</v>
          </cell>
          <cell r="Z424">
            <v>4864901</v>
          </cell>
          <cell r="AA424">
            <v>4149241</v>
          </cell>
          <cell r="AB424">
            <v>2562925</v>
          </cell>
          <cell r="AC424">
            <v>2094385</v>
          </cell>
          <cell r="AD424">
            <v>1985142</v>
          </cell>
          <cell r="AE424">
            <v>2240077</v>
          </cell>
          <cell r="AF424">
            <v>2169987</v>
          </cell>
          <cell r="AG424">
            <v>1954367</v>
          </cell>
          <cell r="AI424">
            <v>2066549</v>
          </cell>
        </row>
        <row r="425">
          <cell r="I425">
            <v>8605053</v>
          </cell>
          <cell r="J425">
            <v>6881615</v>
          </cell>
          <cell r="K425">
            <v>5533696</v>
          </cell>
          <cell r="L425">
            <v>8600756</v>
          </cell>
          <cell r="M425">
            <v>8605429</v>
          </cell>
          <cell r="N425">
            <v>8729896</v>
          </cell>
          <cell r="O425">
            <v>9312413</v>
          </cell>
          <cell r="P425">
            <v>7055686</v>
          </cell>
          <cell r="Q425">
            <v>5724378</v>
          </cell>
          <cell r="R425">
            <v>5515764</v>
          </cell>
          <cell r="S425">
            <v>5811699</v>
          </cell>
          <cell r="T425">
            <v>5691965</v>
          </cell>
          <cell r="U425">
            <v>5390564</v>
          </cell>
          <cell r="V425">
            <v>5388725</v>
          </cell>
          <cell r="W425">
            <v>6031653</v>
          </cell>
          <cell r="X425">
            <v>7049902</v>
          </cell>
          <cell r="Y425">
            <v>8444669</v>
          </cell>
          <cell r="Z425">
            <v>9164621</v>
          </cell>
          <cell r="AA425">
            <v>9249999</v>
          </cell>
          <cell r="AB425">
            <v>6254323</v>
          </cell>
          <cell r="AC425">
            <v>5710659</v>
          </cell>
          <cell r="AD425">
            <v>5390150</v>
          </cell>
          <cell r="AE425">
            <v>5685470</v>
          </cell>
          <cell r="AF425">
            <v>5662314</v>
          </cell>
          <cell r="AG425">
            <v>4142890</v>
          </cell>
          <cell r="AI425">
            <v>6881615</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 val="Oth"/>
      <sheetName val="Tot"/>
      <sheetName val="Pd"/>
      <sheetName val="408"/>
      <sheetName val="Intco"/>
      <sheetName val="Rpt"/>
      <sheetName val="1"/>
      <sheetName val="2"/>
      <sheetName val="3"/>
      <sheetName val="4"/>
      <sheetName val="5"/>
      <sheetName val="6"/>
      <sheetName val="7"/>
      <sheetName val="8"/>
      <sheetName val="9"/>
      <sheetName val="10"/>
      <sheetName val="11"/>
      <sheetName val="12"/>
      <sheetName val="Sheet1"/>
      <sheetName val="Sheet2"/>
      <sheetName val="Sheet3"/>
      <sheetName val="Rp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sheetName val="BellarExhibits"/>
      <sheetName val="#REF"/>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comes"/>
      <sheetName val="LGE Electric"/>
      <sheetName val="LGE Gas"/>
      <sheetName val="Cap"/>
      <sheetName val="Ex 1"/>
      <sheetName val="Ex 2"/>
      <sheetName val="Ex 3"/>
      <sheetName val="Ex 4"/>
      <sheetName val="A"/>
      <sheetName val="B"/>
      <sheetName val="C"/>
      <sheetName val="D"/>
      <sheetName val="E"/>
      <sheetName val="G"/>
      <sheetName val="F"/>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W"/>
      <sheetName val="Gross up Factor"/>
      <sheetName val="not used Ex 4"/>
      <sheetName val="not used Ex 5"/>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C8156"/>
  <sheetViews>
    <sheetView view="pageBreakPreview" topLeftCell="C747" zoomScaleNormal="85" zoomScaleSheetLayoutView="100" workbookViewId="0">
      <selection activeCell="A769" sqref="A769:XFD769"/>
    </sheetView>
  </sheetViews>
  <sheetFormatPr defaultColWidth="9.15625" defaultRowHeight="12.6" x14ac:dyDescent="0.45"/>
  <cols>
    <col min="1" max="1" width="4.41796875" style="53" customWidth="1"/>
    <col min="2" max="2" width="47.578125" style="53" bestFit="1" customWidth="1"/>
    <col min="3" max="3" width="11.578125" style="53" customWidth="1"/>
    <col min="4" max="4" width="14.83984375" style="53" customWidth="1"/>
    <col min="5" max="5" width="1.578125" style="53" customWidth="1"/>
    <col min="6" max="6" width="14.83984375" style="53" customWidth="1"/>
    <col min="7" max="7" width="1.578125" style="53" customWidth="1"/>
    <col min="8" max="9" width="14.83984375" style="53" customWidth="1"/>
    <col min="10" max="11" width="1.578125" style="53" customWidth="1"/>
    <col min="12" max="12" width="14.83984375" style="53" customWidth="1"/>
    <col min="13" max="13" width="2" style="53" customWidth="1"/>
    <col min="14" max="17" width="14.83984375" style="53" customWidth="1"/>
    <col min="18" max="19" width="1.83984375" style="53" customWidth="1"/>
    <col min="20" max="20" width="14.83984375" style="53" customWidth="1"/>
    <col min="21" max="21" width="15.68359375" style="53" customWidth="1"/>
    <col min="22" max="22" width="9.83984375" style="53" customWidth="1"/>
    <col min="23" max="23" width="18.41796875" style="53" customWidth="1"/>
    <col min="24" max="24" width="13.41796875" style="53" customWidth="1"/>
    <col min="25" max="25" width="19.83984375" style="53" customWidth="1"/>
    <col min="26" max="26" width="38.26171875" style="53" customWidth="1"/>
    <col min="27" max="27" width="13.41796875" style="53" customWidth="1"/>
    <col min="28" max="28" width="35" style="53" customWidth="1"/>
    <col min="29" max="31" width="14.83984375" style="53" customWidth="1"/>
    <col min="32" max="32" width="33" style="53" customWidth="1"/>
    <col min="33" max="255" width="14.83984375" style="53" customWidth="1"/>
    <col min="256" max="16384" width="9.15625" style="53"/>
  </cols>
  <sheetData>
    <row r="1" spans="1:173 16383:16383" hidden="1" x14ac:dyDescent="0.45">
      <c r="F1" s="366"/>
      <c r="G1" s="366"/>
      <c r="H1" s="366"/>
      <c r="I1" s="366"/>
      <c r="J1" s="308"/>
      <c r="K1" s="308"/>
      <c r="U1" s="308"/>
      <c r="V1" s="308"/>
      <c r="AD1" s="308"/>
      <c r="AE1" s="308"/>
      <c r="AQ1" s="308"/>
      <c r="AR1" s="308"/>
      <c r="BG1" s="308"/>
      <c r="BH1" s="308"/>
      <c r="BO1" s="308"/>
      <c r="BP1" s="308"/>
      <c r="BW1" s="308"/>
      <c r="BX1" s="308"/>
      <c r="CE1" s="308"/>
      <c r="CF1" s="308"/>
      <c r="CM1" s="308"/>
      <c r="CN1" s="308"/>
      <c r="CU1" s="308"/>
      <c r="CV1" s="308"/>
      <c r="DI1" s="308"/>
      <c r="DJ1" s="308"/>
      <c r="DW1" s="308"/>
      <c r="DX1" s="308"/>
      <c r="EE1" s="308"/>
      <c r="EF1" s="308"/>
      <c r="EM1" s="308"/>
      <c r="EN1" s="308"/>
      <c r="FC1" s="308"/>
      <c r="FD1" s="320"/>
      <c r="FK1" s="308"/>
      <c r="FL1" s="308"/>
      <c r="FP1" s="308"/>
      <c r="FQ1" s="308"/>
    </row>
    <row r="2" spans="1:173 16383:16383" hidden="1" x14ac:dyDescent="0.45">
      <c r="A2" s="325"/>
      <c r="F2" s="366"/>
      <c r="G2" s="367"/>
      <c r="H2" s="368"/>
      <c r="I2" s="366"/>
      <c r="V2" s="308"/>
      <c r="AE2" s="308"/>
      <c r="AR2" s="308"/>
      <c r="BH2" s="308"/>
      <c r="BP2" s="308"/>
      <c r="BX2" s="308"/>
      <c r="CF2" s="308"/>
      <c r="CN2" s="308"/>
      <c r="CV2" s="308"/>
      <c r="DJ2" s="308"/>
      <c r="DX2" s="308"/>
      <c r="EF2" s="308"/>
      <c r="EN2" s="308"/>
      <c r="FC2" s="308"/>
      <c r="FD2" s="320"/>
      <c r="FK2" s="308"/>
      <c r="FL2" s="308"/>
      <c r="FQ2" s="308"/>
      <c r="XFC2" s="310"/>
    </row>
    <row r="3" spans="1:173 16383:16383" hidden="1" x14ac:dyDescent="0.45">
      <c r="B3" s="308"/>
      <c r="F3" s="366"/>
      <c r="G3" s="369"/>
      <c r="H3" s="368"/>
      <c r="I3" s="366"/>
      <c r="J3" s="308"/>
      <c r="K3" s="308"/>
      <c r="V3" s="308"/>
      <c r="AE3" s="308"/>
      <c r="AR3" s="308"/>
      <c r="BH3" s="308"/>
      <c r="BP3" s="308"/>
      <c r="BX3" s="308"/>
      <c r="CF3" s="308"/>
      <c r="CN3" s="308"/>
      <c r="CV3" s="308"/>
      <c r="DJ3" s="308"/>
      <c r="DW3" s="320"/>
      <c r="DX3" s="308"/>
      <c r="EE3" s="308"/>
      <c r="EF3" s="308"/>
      <c r="EN3" s="308"/>
      <c r="EO3" s="308"/>
      <c r="EX3" s="308"/>
      <c r="FC3" s="308"/>
      <c r="FD3" s="320"/>
      <c r="FK3" s="308"/>
      <c r="FL3" s="308"/>
      <c r="FQ3" s="308"/>
    </row>
    <row r="4" spans="1:173 16383:16383" hidden="1" x14ac:dyDescent="0.45">
      <c r="A4" s="308"/>
      <c r="F4" s="366"/>
      <c r="G4" s="368"/>
      <c r="H4" s="368"/>
      <c r="I4" s="366"/>
      <c r="V4" s="308"/>
      <c r="AE4" s="308"/>
      <c r="AR4" s="308"/>
      <c r="BH4" s="308"/>
      <c r="BP4" s="308"/>
      <c r="BX4" s="308"/>
      <c r="CF4" s="308"/>
      <c r="CN4" s="308"/>
      <c r="CV4" s="308"/>
      <c r="DJ4" s="308"/>
      <c r="DX4" s="308"/>
      <c r="EF4" s="308"/>
      <c r="EN4" s="308"/>
      <c r="EO4" s="308"/>
      <c r="EX4" s="308"/>
      <c r="FC4" s="308"/>
      <c r="FD4" s="320"/>
      <c r="FK4" s="308"/>
      <c r="FL4" s="308"/>
      <c r="FQ4" s="308"/>
    </row>
    <row r="5" spans="1:173 16383:16383" hidden="1" x14ac:dyDescent="0.45">
      <c r="B5" s="325"/>
      <c r="F5" s="366"/>
      <c r="G5" s="368"/>
      <c r="H5" s="368"/>
      <c r="I5" s="366"/>
      <c r="J5" s="308"/>
      <c r="K5" s="308"/>
      <c r="V5" s="308"/>
      <c r="AE5" s="308"/>
      <c r="AR5" s="308"/>
      <c r="BH5" s="308"/>
      <c r="BP5" s="308"/>
      <c r="BX5" s="308"/>
      <c r="CF5" s="308"/>
      <c r="CN5" s="308"/>
      <c r="CV5" s="308"/>
      <c r="DJ5" s="308"/>
      <c r="DX5" s="325"/>
      <c r="EF5" s="308"/>
      <c r="EG5" s="308"/>
      <c r="EN5" s="308"/>
      <c r="EO5" s="308"/>
      <c r="FC5" s="308"/>
      <c r="FD5" s="325"/>
      <c r="FK5" s="308"/>
      <c r="FL5" s="308"/>
      <c r="FQ5" s="308"/>
    </row>
    <row r="6" spans="1:173 16383:16383" hidden="1" x14ac:dyDescent="0.45">
      <c r="B6" s="355"/>
      <c r="F6" s="366"/>
      <c r="G6" s="368"/>
      <c r="H6" s="368"/>
      <c r="I6" s="366"/>
      <c r="U6" s="311"/>
      <c r="V6" s="308"/>
      <c r="W6" s="308"/>
      <c r="AE6" s="308"/>
      <c r="AR6" s="308"/>
      <c r="BH6" s="308"/>
      <c r="BP6" s="308"/>
      <c r="BX6" s="308"/>
      <c r="CF6" s="308"/>
      <c r="CN6" s="308"/>
      <c r="CV6" s="308"/>
      <c r="DJ6" s="308"/>
      <c r="DX6" s="308"/>
      <c r="EF6" s="308"/>
      <c r="EG6" s="308"/>
      <c r="EM6" s="308"/>
      <c r="EN6" s="308"/>
      <c r="EO6" s="325"/>
      <c r="EX6" s="308"/>
      <c r="FC6" s="308"/>
      <c r="FD6" s="320"/>
      <c r="FK6" s="308"/>
      <c r="FL6" s="308"/>
      <c r="FQ6" s="320"/>
    </row>
    <row r="7" spans="1:173 16383:16383" hidden="1" x14ac:dyDescent="0.45">
      <c r="F7" s="366"/>
      <c r="G7" s="368"/>
      <c r="H7" s="368"/>
      <c r="I7" s="366"/>
      <c r="J7" s="308"/>
      <c r="K7" s="308"/>
      <c r="V7" s="308"/>
      <c r="W7" s="308"/>
      <c r="AE7" s="308"/>
      <c r="AF7" s="308"/>
      <c r="AR7" s="308"/>
      <c r="AS7" s="308"/>
      <c r="BH7" s="308"/>
      <c r="BI7" s="308"/>
      <c r="BP7" s="308"/>
      <c r="BQ7" s="308"/>
      <c r="BX7" s="308"/>
      <c r="BY7" s="308"/>
      <c r="CF7" s="308"/>
      <c r="CG7" s="308"/>
      <c r="CN7" s="308"/>
      <c r="CO7" s="308"/>
      <c r="CV7" s="308"/>
      <c r="CW7" s="308"/>
      <c r="DJ7" s="308"/>
      <c r="DK7" s="308"/>
      <c r="DX7" s="308"/>
      <c r="EF7" s="308"/>
      <c r="EG7" s="308"/>
      <c r="EN7" s="308"/>
      <c r="EX7" s="308"/>
      <c r="FC7" s="308"/>
      <c r="FD7" s="325"/>
      <c r="FK7" s="308"/>
      <c r="FL7" s="308"/>
      <c r="FQ7" s="308"/>
    </row>
    <row r="8" spans="1:173 16383:16383" hidden="1" x14ac:dyDescent="0.45">
      <c r="B8" s="325"/>
      <c r="C8" s="320"/>
      <c r="D8" s="320"/>
      <c r="F8" s="366"/>
      <c r="G8" s="368"/>
      <c r="H8" s="368"/>
      <c r="I8" s="366"/>
      <c r="V8" s="308"/>
      <c r="W8" s="308"/>
      <c r="AE8" s="308"/>
      <c r="AF8" s="308"/>
      <c r="AR8" s="308"/>
      <c r="AS8" s="308"/>
      <c r="BH8" s="308"/>
      <c r="BI8" s="308"/>
      <c r="BP8" s="308"/>
      <c r="BQ8" s="308"/>
      <c r="BX8" s="308"/>
      <c r="BY8" s="308"/>
      <c r="CF8" s="308"/>
      <c r="CG8" s="308"/>
      <c r="CN8" s="308"/>
      <c r="CO8" s="308"/>
      <c r="CV8" s="308"/>
      <c r="CW8" s="308"/>
      <c r="DJ8" s="308"/>
      <c r="DK8" s="308"/>
      <c r="DX8" s="308"/>
      <c r="EE8" s="308"/>
      <c r="EF8" s="308"/>
      <c r="EG8" s="308"/>
      <c r="EM8" s="308"/>
      <c r="EN8" s="308"/>
      <c r="FC8" s="308"/>
      <c r="FD8" s="320"/>
      <c r="FK8" s="308"/>
      <c r="FL8" s="308"/>
      <c r="FQ8" s="308"/>
    </row>
    <row r="9" spans="1:173 16383:16383" hidden="1" x14ac:dyDescent="0.45">
      <c r="C9" s="325"/>
      <c r="E9" s="370"/>
      <c r="F9" s="366"/>
      <c r="G9" s="368"/>
      <c r="H9" s="368"/>
      <c r="I9" s="366"/>
      <c r="J9" s="308"/>
      <c r="K9" s="308"/>
      <c r="U9" s="308"/>
      <c r="V9" s="308"/>
      <c r="AE9" s="308"/>
      <c r="AF9" s="308"/>
      <c r="AR9" s="308"/>
      <c r="AS9" s="308"/>
      <c r="BH9" s="308"/>
      <c r="BI9" s="308"/>
      <c r="BP9" s="308"/>
      <c r="BQ9" s="308"/>
      <c r="BX9" s="308"/>
      <c r="BY9" s="308"/>
      <c r="CF9" s="308"/>
      <c r="CG9" s="308"/>
      <c r="CN9" s="308"/>
      <c r="CO9" s="308"/>
      <c r="CV9" s="308"/>
      <c r="CW9" s="308"/>
      <c r="DJ9" s="308"/>
      <c r="DK9" s="308"/>
      <c r="DX9" s="308"/>
      <c r="EF9" s="308"/>
      <c r="EN9" s="308"/>
      <c r="FK9" s="308"/>
      <c r="FL9" s="308"/>
      <c r="FQ9" s="308"/>
    </row>
    <row r="10" spans="1:173 16383:16383" hidden="1" x14ac:dyDescent="0.45">
      <c r="C10" s="325"/>
      <c r="E10" s="370"/>
      <c r="F10" s="366"/>
      <c r="G10" s="368"/>
      <c r="H10" s="368"/>
      <c r="I10" s="366"/>
      <c r="V10" s="308"/>
      <c r="AD10" s="308"/>
      <c r="AE10" s="308"/>
      <c r="AQ10" s="308"/>
      <c r="AR10" s="308"/>
      <c r="BG10" s="308"/>
      <c r="BH10" s="308"/>
      <c r="BO10" s="308"/>
      <c r="BP10" s="308"/>
      <c r="BW10" s="308"/>
      <c r="BX10" s="308"/>
      <c r="CE10" s="308"/>
      <c r="CF10" s="308"/>
      <c r="CM10" s="308"/>
      <c r="CN10" s="308"/>
      <c r="CU10" s="308"/>
      <c r="CV10" s="308"/>
      <c r="DI10" s="308"/>
      <c r="DJ10" s="308"/>
      <c r="DX10" s="308"/>
      <c r="EE10" s="308"/>
      <c r="EF10" s="308"/>
      <c r="EG10" s="308"/>
      <c r="EN10" s="308"/>
      <c r="FK10" s="308"/>
      <c r="FL10" s="308"/>
      <c r="FQ10" s="308"/>
    </row>
    <row r="11" spans="1:173 16383:16383" hidden="1" x14ac:dyDescent="0.45">
      <c r="B11" s="308"/>
      <c r="E11" s="370"/>
      <c r="F11" s="366"/>
      <c r="G11" s="368"/>
      <c r="H11" s="368"/>
      <c r="I11" s="366"/>
      <c r="J11" s="308"/>
      <c r="K11" s="308"/>
      <c r="U11" s="308"/>
      <c r="V11" s="308"/>
      <c r="AE11" s="308"/>
      <c r="AR11" s="308"/>
      <c r="BH11" s="308"/>
      <c r="BP11" s="308"/>
      <c r="BX11" s="308"/>
      <c r="CF11" s="308"/>
      <c r="CN11" s="308"/>
      <c r="CV11" s="308"/>
      <c r="DJ11" s="308"/>
      <c r="DX11" s="308"/>
      <c r="EE11" s="308"/>
      <c r="EF11" s="308"/>
      <c r="EN11" s="308"/>
      <c r="EO11" s="325"/>
      <c r="EX11" s="308"/>
      <c r="FC11" s="308"/>
      <c r="FD11" s="308"/>
      <c r="FK11" s="308"/>
      <c r="FL11" s="308"/>
      <c r="FQ11" s="308"/>
    </row>
    <row r="12" spans="1:173 16383:16383" x14ac:dyDescent="0.45">
      <c r="A12" s="320">
        <v>1</v>
      </c>
      <c r="B12" s="366"/>
      <c r="C12" s="366"/>
      <c r="D12" s="366">
        <v>0</v>
      </c>
      <c r="E12" s="366">
        <v>1</v>
      </c>
      <c r="F12" s="311">
        <v>2</v>
      </c>
      <c r="G12" s="311">
        <v>3</v>
      </c>
      <c r="H12" s="311">
        <v>4</v>
      </c>
      <c r="I12" s="311">
        <v>5</v>
      </c>
      <c r="J12" s="311">
        <v>6</v>
      </c>
      <c r="K12" s="311">
        <v>7</v>
      </c>
      <c r="L12" s="311">
        <v>8</v>
      </c>
      <c r="M12" s="311">
        <v>9</v>
      </c>
      <c r="N12" s="311">
        <v>10</v>
      </c>
      <c r="O12" s="311">
        <v>11</v>
      </c>
      <c r="P12" s="311">
        <v>12</v>
      </c>
      <c r="Q12" s="311"/>
      <c r="R12" s="311"/>
      <c r="S12" s="311"/>
      <c r="T12" s="311"/>
      <c r="U12" s="311"/>
      <c r="V12" s="311"/>
      <c r="W12" s="311"/>
      <c r="X12" s="311"/>
      <c r="Y12" s="311">
        <v>21</v>
      </c>
    </row>
    <row r="13" spans="1:173 16383:16383" x14ac:dyDescent="0.45">
      <c r="B13" s="482">
        <v>44145.767851504628</v>
      </c>
      <c r="C13" s="476"/>
      <c r="D13" s="476"/>
      <c r="E13" s="478" t="s">
        <v>1245</v>
      </c>
      <c r="F13" s="476"/>
      <c r="G13" s="476"/>
      <c r="H13" s="476"/>
      <c r="I13" s="476"/>
      <c r="J13" s="476"/>
      <c r="K13" s="476"/>
      <c r="L13" s="476"/>
      <c r="M13" s="481"/>
      <c r="N13" s="476"/>
      <c r="O13" s="476"/>
      <c r="P13" s="476"/>
      <c r="Q13" s="476"/>
      <c r="R13" s="476"/>
      <c r="S13" s="476"/>
      <c r="T13" s="476"/>
    </row>
    <row r="14" spans="1:173 16383:16383" x14ac:dyDescent="0.45">
      <c r="B14" s="483">
        <v>44145.767851504628</v>
      </c>
      <c r="C14" s="476"/>
      <c r="D14" s="476"/>
      <c r="E14" s="478" t="s">
        <v>1246</v>
      </c>
      <c r="F14" s="476"/>
      <c r="G14" s="476"/>
      <c r="H14" s="476"/>
      <c r="I14" s="478"/>
      <c r="J14" s="476"/>
      <c r="K14" s="476"/>
      <c r="L14" s="476"/>
      <c r="M14" s="481"/>
      <c r="N14" s="476"/>
      <c r="O14" s="476"/>
      <c r="P14" s="476"/>
      <c r="Q14" s="486"/>
      <c r="R14" s="476"/>
      <c r="S14" s="476"/>
      <c r="T14" s="476"/>
    </row>
    <row r="15" spans="1:173 16383:16383" x14ac:dyDescent="0.45">
      <c r="B15" s="476"/>
      <c r="C15" s="476"/>
      <c r="D15" s="476"/>
      <c r="E15" s="478" t="s">
        <v>1247</v>
      </c>
      <c r="F15" s="476"/>
      <c r="G15" s="476"/>
      <c r="H15" s="476"/>
      <c r="I15" s="476"/>
      <c r="J15" s="476"/>
      <c r="K15" s="476"/>
      <c r="L15" s="476"/>
      <c r="M15" s="481"/>
      <c r="N15" s="476"/>
      <c r="O15" s="476"/>
      <c r="P15" s="476"/>
      <c r="Q15" s="476"/>
      <c r="R15" s="476"/>
      <c r="S15" s="476"/>
      <c r="T15" s="476"/>
    </row>
    <row r="16" spans="1:173 16383:16383" x14ac:dyDescent="0.45">
      <c r="B16" s="484" t="s">
        <v>2221</v>
      </c>
      <c r="C16" s="476"/>
      <c r="D16" s="476"/>
      <c r="E16" s="476"/>
      <c r="F16" s="476"/>
      <c r="G16" s="476"/>
      <c r="H16" s="476"/>
      <c r="I16" s="476"/>
      <c r="J16" s="476"/>
      <c r="K16" s="476"/>
      <c r="L16" s="476"/>
      <c r="M16" s="476"/>
      <c r="N16" s="476"/>
      <c r="O16" s="476"/>
      <c r="P16" s="476"/>
      <c r="Q16" s="476"/>
      <c r="R16" s="476"/>
      <c r="S16" s="476"/>
      <c r="T16" s="476"/>
    </row>
    <row r="17" spans="1:27" x14ac:dyDescent="0.45">
      <c r="B17" s="484" t="s">
        <v>1847</v>
      </c>
      <c r="C17" s="476"/>
      <c r="D17" s="479"/>
      <c r="E17" s="487" t="s">
        <v>2495</v>
      </c>
      <c r="F17" s="476"/>
      <c r="G17" s="476"/>
      <c r="H17" s="476"/>
      <c r="I17" s="476"/>
      <c r="J17" s="476"/>
      <c r="K17" s="476"/>
      <c r="L17" s="476"/>
      <c r="M17" s="481"/>
      <c r="N17" s="476"/>
      <c r="O17" s="476"/>
      <c r="P17" s="476"/>
      <c r="Q17" s="476"/>
      <c r="R17" s="476"/>
      <c r="S17" s="476"/>
      <c r="T17" s="476"/>
    </row>
    <row r="19" spans="1:27" x14ac:dyDescent="0.45">
      <c r="B19" s="476"/>
      <c r="C19" s="476"/>
      <c r="D19" s="480" t="s">
        <v>1248</v>
      </c>
      <c r="E19" s="476"/>
      <c r="F19" s="480" t="s">
        <v>1249</v>
      </c>
      <c r="G19" s="476"/>
      <c r="H19" s="480" t="s">
        <v>1250</v>
      </c>
      <c r="I19" s="480"/>
      <c r="J19" s="476"/>
      <c r="K19" s="476"/>
      <c r="L19" s="480" t="s">
        <v>2496</v>
      </c>
      <c r="M19" s="476"/>
      <c r="N19" s="476"/>
      <c r="O19" s="476"/>
      <c r="P19" s="476"/>
      <c r="Q19" s="490" t="s">
        <v>2497</v>
      </c>
      <c r="R19" s="476"/>
      <c r="S19" s="476"/>
      <c r="T19" s="485" t="s">
        <v>1251</v>
      </c>
      <c r="U19" s="320"/>
      <c r="V19" s="320"/>
      <c r="W19" s="320"/>
      <c r="X19" s="320"/>
      <c r="Y19" s="320"/>
    </row>
    <row r="20" spans="1:27" x14ac:dyDescent="0.45">
      <c r="B20" s="476"/>
      <c r="C20" s="476"/>
      <c r="D20" s="480" t="s">
        <v>1249</v>
      </c>
      <c r="E20" s="476"/>
      <c r="F20" s="480" t="s">
        <v>1252</v>
      </c>
      <c r="G20" s="476"/>
      <c r="H20" s="480" t="s">
        <v>1252</v>
      </c>
      <c r="I20" s="480" t="s">
        <v>2563</v>
      </c>
      <c r="J20" s="476"/>
      <c r="K20" s="476"/>
      <c r="L20" s="480" t="s">
        <v>2498</v>
      </c>
      <c r="M20" s="480"/>
      <c r="N20" s="480" t="s">
        <v>1253</v>
      </c>
      <c r="O20" s="476"/>
      <c r="P20" s="476"/>
      <c r="Q20" s="490" t="s">
        <v>2498</v>
      </c>
      <c r="R20" s="476"/>
      <c r="S20" s="476"/>
      <c r="T20" s="485" t="s">
        <v>1248</v>
      </c>
      <c r="U20" s="320"/>
      <c r="V20" s="320"/>
      <c r="W20" s="320"/>
      <c r="X20" s="320"/>
      <c r="Y20" s="320"/>
    </row>
    <row r="21" spans="1:27" x14ac:dyDescent="0.45">
      <c r="B21" s="476"/>
      <c r="C21" s="477" t="s">
        <v>1254</v>
      </c>
      <c r="D21" s="480" t="s">
        <v>1255</v>
      </c>
      <c r="E21" s="476"/>
      <c r="F21" s="480" t="s">
        <v>1256</v>
      </c>
      <c r="G21" s="476"/>
      <c r="H21" s="480" t="s">
        <v>1256</v>
      </c>
      <c r="I21" s="480" t="s">
        <v>1256</v>
      </c>
      <c r="J21" s="476"/>
      <c r="K21" s="476"/>
      <c r="L21" s="480" t="s">
        <v>2499</v>
      </c>
      <c r="M21" s="480"/>
      <c r="N21" s="480" t="s">
        <v>1256</v>
      </c>
      <c r="O21" s="480" t="s">
        <v>1257</v>
      </c>
      <c r="P21" s="480" t="s">
        <v>1258</v>
      </c>
      <c r="Q21" s="488" t="s">
        <v>2499</v>
      </c>
      <c r="R21" s="476"/>
      <c r="S21" s="476"/>
      <c r="T21" s="485" t="s">
        <v>1249</v>
      </c>
      <c r="U21" s="320"/>
      <c r="V21" s="320"/>
      <c r="W21" s="320"/>
      <c r="X21" s="320"/>
      <c r="Y21" s="320"/>
    </row>
    <row r="22" spans="1:27" x14ac:dyDescent="0.45">
      <c r="B22" s="476"/>
      <c r="C22" s="476"/>
      <c r="D22" s="489">
        <v>-1</v>
      </c>
      <c r="E22" s="476"/>
      <c r="F22" s="480" t="s">
        <v>1259</v>
      </c>
      <c r="G22" s="476"/>
      <c r="H22" s="480">
        <v>-3</v>
      </c>
      <c r="I22" s="480"/>
      <c r="J22" s="476"/>
      <c r="K22" s="476"/>
      <c r="L22" s="480"/>
      <c r="M22" s="480"/>
      <c r="N22" s="480">
        <v>-4</v>
      </c>
      <c r="O22" s="480">
        <v>-5</v>
      </c>
      <c r="P22" s="480">
        <v>-6</v>
      </c>
      <c r="Q22" s="488"/>
      <c r="R22" s="476"/>
      <c r="S22" s="476"/>
      <c r="T22" s="485" t="s">
        <v>1255</v>
      </c>
      <c r="U22" s="320"/>
      <c r="V22" s="320"/>
      <c r="W22" s="320"/>
      <c r="X22" s="320"/>
      <c r="Y22" s="320"/>
      <c r="Z22" s="320"/>
      <c r="AA22" s="320"/>
    </row>
    <row r="23" spans="1:27" x14ac:dyDescent="0.45">
      <c r="B23" s="485" t="s">
        <v>1264</v>
      </c>
      <c r="C23" s="476"/>
      <c r="D23" s="476"/>
      <c r="E23" s="476"/>
      <c r="F23" s="476"/>
      <c r="G23" s="476"/>
      <c r="H23" s="476"/>
      <c r="I23" s="476"/>
      <c r="J23" s="476"/>
      <c r="K23" s="476"/>
      <c r="L23" s="476"/>
      <c r="M23" s="476"/>
      <c r="N23" s="476"/>
      <c r="O23" s="476"/>
      <c r="P23" s="476"/>
      <c r="Q23" s="476"/>
      <c r="R23" s="476"/>
      <c r="S23" s="476"/>
      <c r="T23" s="476"/>
    </row>
    <row r="24" spans="1:27" x14ac:dyDescent="0.45">
      <c r="D24" s="45"/>
      <c r="E24" s="45"/>
      <c r="F24" s="45"/>
      <c r="G24" s="45"/>
      <c r="H24" s="45"/>
      <c r="I24" s="45"/>
      <c r="J24" s="45"/>
      <c r="K24" s="45"/>
      <c r="L24" s="45"/>
      <c r="M24" s="45"/>
      <c r="N24" s="45"/>
      <c r="O24" s="45"/>
      <c r="P24" s="45"/>
      <c r="Q24" s="45"/>
    </row>
    <row r="25" spans="1:27" x14ac:dyDescent="0.45">
      <c r="B25" s="327" t="s">
        <v>1265</v>
      </c>
      <c r="D25" s="314"/>
      <c r="E25" s="45"/>
      <c r="F25" s="314"/>
      <c r="G25" s="45"/>
      <c r="H25" s="314"/>
      <c r="I25" s="45"/>
      <c r="J25" s="314"/>
      <c r="K25" s="314"/>
      <c r="L25" s="45"/>
      <c r="M25" s="314"/>
      <c r="N25" s="314"/>
      <c r="O25" s="45"/>
      <c r="P25" s="45"/>
      <c r="Q25" s="45"/>
    </row>
    <row r="26" spans="1:27" x14ac:dyDescent="0.45">
      <c r="B26" s="319" t="s">
        <v>1266</v>
      </c>
      <c r="D26" s="45"/>
      <c r="E26" s="45"/>
      <c r="F26" s="45"/>
      <c r="G26" s="45"/>
      <c r="H26" s="45"/>
      <c r="I26" s="45"/>
      <c r="J26" s="45"/>
      <c r="K26" s="45"/>
      <c r="L26" s="45"/>
      <c r="M26" s="45"/>
      <c r="N26" s="45"/>
      <c r="O26" s="45"/>
      <c r="P26" s="45"/>
      <c r="Q26" s="45"/>
    </row>
    <row r="27" spans="1:27" x14ac:dyDescent="0.45">
      <c r="B27" s="327" t="s">
        <v>1267</v>
      </c>
      <c r="D27" s="45"/>
      <c r="E27" s="45"/>
      <c r="F27" s="312"/>
      <c r="G27" s="312"/>
      <c r="H27" s="312"/>
      <c r="I27" s="312"/>
      <c r="J27" s="312"/>
      <c r="K27" s="312"/>
      <c r="L27" s="312"/>
      <c r="M27" s="312"/>
      <c r="N27" s="313"/>
      <c r="O27" s="312"/>
      <c r="P27" s="312"/>
      <c r="Q27" s="312"/>
      <c r="R27" s="320"/>
      <c r="S27" s="320"/>
      <c r="T27" s="320"/>
    </row>
    <row r="28" spans="1:27" x14ac:dyDescent="0.45">
      <c r="A28" s="311">
        <v>1</v>
      </c>
      <c r="B28" s="308" t="s">
        <v>1268</v>
      </c>
      <c r="C28" s="423" t="s">
        <v>1269</v>
      </c>
      <c r="D28" s="371">
        <v>3509040</v>
      </c>
      <c r="E28" s="71"/>
      <c r="F28" s="374">
        <v>3291876</v>
      </c>
      <c r="G28" s="375"/>
      <c r="H28" s="374">
        <v>149082</v>
      </c>
      <c r="I28" s="371"/>
      <c r="J28" s="71">
        <v>68082</v>
      </c>
      <c r="K28" s="71">
        <v>34535</v>
      </c>
      <c r="L28" s="374">
        <v>33547</v>
      </c>
      <c r="M28" s="375"/>
      <c r="N28" s="371"/>
      <c r="O28" s="374"/>
      <c r="P28" s="374"/>
      <c r="Q28" s="309"/>
    </row>
    <row r="29" spans="1:27" x14ac:dyDescent="0.45">
      <c r="A29" s="313">
        <v>2</v>
      </c>
      <c r="B29" s="424" t="s">
        <v>1270</v>
      </c>
      <c r="C29" s="425" t="s">
        <v>1271</v>
      </c>
      <c r="D29" s="348">
        <v>447183</v>
      </c>
      <c r="E29" s="50"/>
      <c r="F29" s="376">
        <v>230019</v>
      </c>
      <c r="G29" s="376"/>
      <c r="H29" s="376">
        <v>149082</v>
      </c>
      <c r="I29" s="348"/>
      <c r="J29" s="50">
        <v>68082</v>
      </c>
      <c r="K29" s="50">
        <v>34535</v>
      </c>
      <c r="L29" s="376">
        <v>33547</v>
      </c>
      <c r="M29" s="376"/>
      <c r="N29" s="348"/>
      <c r="O29" s="376"/>
      <c r="P29" s="376"/>
      <c r="Q29" s="315"/>
    </row>
    <row r="30" spans="1:27" x14ac:dyDescent="0.45">
      <c r="A30" s="313">
        <v>3</v>
      </c>
      <c r="B30" s="424" t="s">
        <v>1272</v>
      </c>
      <c r="C30" s="425" t="s">
        <v>1273</v>
      </c>
      <c r="D30" s="348">
        <v>149082</v>
      </c>
      <c r="E30" s="50"/>
      <c r="F30" s="376">
        <v>0</v>
      </c>
      <c r="G30" s="376"/>
      <c r="H30" s="376">
        <v>149082</v>
      </c>
      <c r="I30" s="348"/>
      <c r="J30" s="50">
        <v>0</v>
      </c>
      <c r="K30" s="50">
        <v>0</v>
      </c>
      <c r="L30" s="376">
        <v>0</v>
      </c>
      <c r="M30" s="376"/>
      <c r="N30" s="348"/>
      <c r="O30" s="376"/>
      <c r="P30" s="376"/>
      <c r="Q30" s="315"/>
    </row>
    <row r="31" spans="1:27" x14ac:dyDescent="0.45">
      <c r="A31" s="313">
        <v>4</v>
      </c>
      <c r="B31" s="424" t="s">
        <v>1274</v>
      </c>
      <c r="C31" s="425" t="s">
        <v>1275</v>
      </c>
      <c r="D31" s="348">
        <v>3359958</v>
      </c>
      <c r="E31" s="50"/>
      <c r="F31" s="376">
        <v>3291876</v>
      </c>
      <c r="G31" s="376"/>
      <c r="H31" s="376">
        <v>0</v>
      </c>
      <c r="I31" s="348"/>
      <c r="J31" s="50">
        <v>68082</v>
      </c>
      <c r="K31" s="50">
        <v>34535</v>
      </c>
      <c r="L31" s="376">
        <v>33547</v>
      </c>
      <c r="M31" s="376"/>
      <c r="N31" s="348"/>
      <c r="O31" s="376"/>
      <c r="P31" s="376"/>
      <c r="Q31" s="315"/>
    </row>
    <row r="32" spans="1:27" x14ac:dyDescent="0.45">
      <c r="A32" s="313">
        <v>5</v>
      </c>
      <c r="B32" s="424" t="s">
        <v>1276</v>
      </c>
      <c r="C32" s="425" t="s">
        <v>1277</v>
      </c>
      <c r="D32" s="348">
        <v>298101</v>
      </c>
      <c r="E32" s="50"/>
      <c r="F32" s="376">
        <v>230019</v>
      </c>
      <c r="G32" s="376"/>
      <c r="H32" s="376">
        <v>0</v>
      </c>
      <c r="I32" s="348"/>
      <c r="J32" s="50">
        <v>68082</v>
      </c>
      <c r="K32" s="50">
        <v>34535</v>
      </c>
      <c r="L32" s="376">
        <v>33547</v>
      </c>
      <c r="M32" s="376"/>
      <c r="N32" s="348"/>
      <c r="O32" s="376"/>
      <c r="P32" s="376"/>
      <c r="Q32" s="315"/>
    </row>
    <row r="33" spans="1:20" x14ac:dyDescent="0.45">
      <c r="A33" s="313">
        <v>6</v>
      </c>
      <c r="B33" s="424" t="s">
        <v>1278</v>
      </c>
      <c r="C33" s="425" t="s">
        <v>1279</v>
      </c>
      <c r="D33" s="348">
        <v>3359958</v>
      </c>
      <c r="E33" s="50"/>
      <c r="F33" s="376">
        <v>3291876</v>
      </c>
      <c r="G33" s="376"/>
      <c r="H33" s="376">
        <v>0</v>
      </c>
      <c r="I33" s="348"/>
      <c r="J33" s="50">
        <v>68082</v>
      </c>
      <c r="K33" s="50">
        <v>34535</v>
      </c>
      <c r="L33" s="376">
        <v>33547</v>
      </c>
      <c r="M33" s="376"/>
      <c r="N33" s="348"/>
      <c r="O33" s="376"/>
      <c r="P33" s="376"/>
      <c r="Q33" s="315"/>
    </row>
    <row r="34" spans="1:20" x14ac:dyDescent="0.45">
      <c r="A34" s="45"/>
      <c r="B34" s="426" t="s">
        <v>1280</v>
      </c>
      <c r="C34" s="45"/>
      <c r="D34" s="50"/>
      <c r="E34" s="50"/>
      <c r="F34" s="50"/>
      <c r="G34" s="50"/>
      <c r="H34" s="50"/>
      <c r="I34" s="50"/>
      <c r="J34" s="50"/>
      <c r="K34" s="50"/>
      <c r="L34" s="50"/>
      <c r="M34" s="50"/>
      <c r="N34" s="50"/>
      <c r="O34" s="50"/>
      <c r="P34" s="50"/>
      <c r="Q34" s="45"/>
    </row>
    <row r="35" spans="1:20" x14ac:dyDescent="0.45">
      <c r="A35" s="313">
        <v>7</v>
      </c>
      <c r="B35" s="424" t="s">
        <v>1281</v>
      </c>
      <c r="C35" s="425" t="s">
        <v>1282</v>
      </c>
      <c r="D35" s="348">
        <v>3509040</v>
      </c>
      <c r="E35" s="50"/>
      <c r="F35" s="376">
        <v>3291876</v>
      </c>
      <c r="G35" s="376"/>
      <c r="H35" s="376">
        <v>149082</v>
      </c>
      <c r="I35" s="348"/>
      <c r="J35" s="50">
        <v>68082</v>
      </c>
      <c r="K35" s="50">
        <v>34535</v>
      </c>
      <c r="L35" s="376">
        <v>33547</v>
      </c>
      <c r="M35" s="376"/>
      <c r="N35" s="348"/>
      <c r="O35" s="376"/>
      <c r="P35" s="376"/>
      <c r="Q35" s="315"/>
    </row>
    <row r="36" spans="1:20" x14ac:dyDescent="0.45">
      <c r="A36" s="313">
        <v>8</v>
      </c>
      <c r="B36" s="424" t="s">
        <v>1283</v>
      </c>
      <c r="C36" s="425" t="s">
        <v>1284</v>
      </c>
      <c r="D36" s="348">
        <v>149082</v>
      </c>
      <c r="E36" s="50"/>
      <c r="F36" s="376">
        <v>0</v>
      </c>
      <c r="G36" s="376"/>
      <c r="H36" s="376">
        <v>149082</v>
      </c>
      <c r="I36" s="348"/>
      <c r="J36" s="50">
        <v>0</v>
      </c>
      <c r="K36" s="50">
        <v>0</v>
      </c>
      <c r="L36" s="376">
        <v>0</v>
      </c>
      <c r="M36" s="376"/>
      <c r="N36" s="348"/>
      <c r="O36" s="376"/>
      <c r="P36" s="376"/>
      <c r="Q36" s="315"/>
    </row>
    <row r="37" spans="1:20" x14ac:dyDescent="0.45">
      <c r="A37" s="313">
        <v>9</v>
      </c>
      <c r="B37" s="427" t="s">
        <v>1848</v>
      </c>
      <c r="C37" s="428" t="s">
        <v>1849</v>
      </c>
      <c r="D37" s="348">
        <v>3440958</v>
      </c>
      <c r="E37" s="50"/>
      <c r="F37" s="376">
        <v>3291876</v>
      </c>
      <c r="G37" s="376"/>
      <c r="H37" s="376">
        <v>149082</v>
      </c>
      <c r="I37" s="348"/>
      <c r="J37" s="50">
        <v>0</v>
      </c>
      <c r="K37" s="50">
        <v>0</v>
      </c>
      <c r="L37" s="376">
        <v>0</v>
      </c>
      <c r="M37" s="376"/>
      <c r="N37" s="348"/>
      <c r="O37" s="376"/>
      <c r="P37" s="376"/>
      <c r="Q37" s="315"/>
    </row>
    <row r="38" spans="1:20" x14ac:dyDescent="0.45">
      <c r="A38" s="313">
        <v>10</v>
      </c>
      <c r="B38" s="424" t="s">
        <v>1285</v>
      </c>
      <c r="C38" s="425" t="s">
        <v>1286</v>
      </c>
      <c r="D38" s="348">
        <v>217164</v>
      </c>
      <c r="E38" s="50"/>
      <c r="F38" s="376">
        <v>0</v>
      </c>
      <c r="G38" s="376"/>
      <c r="H38" s="376">
        <v>149082</v>
      </c>
      <c r="I38" s="348"/>
      <c r="J38" s="50">
        <v>68082</v>
      </c>
      <c r="K38" s="50">
        <v>34535</v>
      </c>
      <c r="L38" s="376">
        <v>33547</v>
      </c>
      <c r="M38" s="376"/>
      <c r="N38" s="348"/>
      <c r="O38" s="376"/>
      <c r="P38" s="376"/>
      <c r="Q38" s="315"/>
    </row>
    <row r="39" spans="1:20" x14ac:dyDescent="0.45">
      <c r="A39" s="313">
        <v>11</v>
      </c>
      <c r="B39" s="427" t="s">
        <v>2131</v>
      </c>
      <c r="C39" s="428" t="s">
        <v>2132</v>
      </c>
      <c r="D39" s="348">
        <v>3291876</v>
      </c>
      <c r="E39" s="50"/>
      <c r="F39" s="376">
        <v>3291876</v>
      </c>
      <c r="G39" s="376"/>
      <c r="H39" s="376">
        <v>0</v>
      </c>
      <c r="I39" s="348"/>
      <c r="J39" s="50">
        <v>0</v>
      </c>
      <c r="K39" s="50">
        <v>0</v>
      </c>
      <c r="L39" s="376">
        <v>0</v>
      </c>
      <c r="M39" s="376"/>
      <c r="N39" s="348"/>
      <c r="O39" s="376"/>
      <c r="P39" s="376"/>
      <c r="Q39" s="315"/>
    </row>
    <row r="40" spans="1:20" x14ac:dyDescent="0.45">
      <c r="A40" s="313"/>
      <c r="B40" s="45"/>
      <c r="C40" s="45"/>
      <c r="D40" s="45"/>
      <c r="E40" s="45"/>
      <c r="F40" s="45"/>
      <c r="G40" s="45"/>
      <c r="H40" s="45"/>
      <c r="I40" s="45"/>
      <c r="J40" s="45"/>
      <c r="K40" s="45"/>
      <c r="L40" s="45"/>
      <c r="M40" s="45"/>
      <c r="N40" s="45"/>
      <c r="O40" s="45"/>
      <c r="P40" s="45"/>
      <c r="Q40" s="45"/>
    </row>
    <row r="41" spans="1:20" x14ac:dyDescent="0.45">
      <c r="A41" s="45"/>
      <c r="B41" s="426" t="s">
        <v>1287</v>
      </c>
      <c r="C41" s="45"/>
      <c r="D41" s="45"/>
      <c r="E41" s="45"/>
      <c r="F41" s="45"/>
      <c r="G41" s="45"/>
      <c r="H41" s="45"/>
      <c r="I41" s="45"/>
      <c r="J41" s="45"/>
      <c r="K41" s="45"/>
      <c r="L41" s="45"/>
      <c r="M41" s="45"/>
      <c r="N41" s="45"/>
      <c r="O41" s="45"/>
      <c r="P41" s="45"/>
      <c r="Q41" s="45"/>
    </row>
    <row r="42" spans="1:20" x14ac:dyDescent="0.45">
      <c r="A42" s="311">
        <v>12</v>
      </c>
      <c r="B42" s="316" t="s">
        <v>1850</v>
      </c>
      <c r="C42" s="429" t="s">
        <v>1851</v>
      </c>
      <c r="D42" s="371">
        <v>9194562</v>
      </c>
      <c r="E42" s="71"/>
      <c r="F42" s="377">
        <v>9185405</v>
      </c>
      <c r="G42" s="375"/>
      <c r="H42" s="375">
        <v>0</v>
      </c>
      <c r="I42" s="371"/>
      <c r="J42" s="71">
        <v>9157</v>
      </c>
      <c r="K42" s="71">
        <v>9157</v>
      </c>
      <c r="L42" s="375">
        <v>0</v>
      </c>
      <c r="M42" s="375"/>
      <c r="N42" s="371"/>
      <c r="O42" s="374"/>
      <c r="P42" s="375"/>
      <c r="Q42" s="375"/>
      <c r="T42" s="317"/>
    </row>
    <row r="43" spans="1:20" x14ac:dyDescent="0.45">
      <c r="A43" s="311">
        <v>13</v>
      </c>
      <c r="B43" s="316" t="s">
        <v>1852</v>
      </c>
      <c r="C43" s="429" t="s">
        <v>1853</v>
      </c>
      <c r="D43" s="371">
        <v>30821242</v>
      </c>
      <c r="E43" s="71"/>
      <c r="F43" s="377">
        <v>30451904</v>
      </c>
      <c r="G43" s="375"/>
      <c r="H43" s="375">
        <v>0</v>
      </c>
      <c r="I43" s="371"/>
      <c r="J43" s="71">
        <v>369338</v>
      </c>
      <c r="K43" s="71">
        <v>369338</v>
      </c>
      <c r="L43" s="375">
        <v>0</v>
      </c>
      <c r="M43" s="375"/>
      <c r="N43" s="371"/>
      <c r="O43" s="374"/>
      <c r="P43" s="375"/>
      <c r="Q43" s="375"/>
      <c r="T43" s="317"/>
    </row>
    <row r="44" spans="1:20" x14ac:dyDescent="0.45">
      <c r="A44" s="311">
        <v>14</v>
      </c>
      <c r="B44" s="316" t="s">
        <v>1854</v>
      </c>
      <c r="C44" s="429" t="s">
        <v>1855</v>
      </c>
      <c r="D44" s="371">
        <v>305122025</v>
      </c>
      <c r="E44" s="71"/>
      <c r="F44" s="377">
        <v>302019357</v>
      </c>
      <c r="G44" s="375"/>
      <c r="H44" s="375">
        <v>0</v>
      </c>
      <c r="I44" s="371"/>
      <c r="J44" s="71">
        <v>3102668</v>
      </c>
      <c r="K44" s="71">
        <v>3102668</v>
      </c>
      <c r="L44" s="375">
        <v>0</v>
      </c>
      <c r="M44" s="375"/>
      <c r="N44" s="371"/>
      <c r="O44" s="374"/>
      <c r="P44" s="375"/>
      <c r="Q44" s="375"/>
      <c r="T44" s="317"/>
    </row>
    <row r="45" spans="1:20" x14ac:dyDescent="0.45">
      <c r="A45" s="311">
        <v>15</v>
      </c>
      <c r="B45" s="316" t="s">
        <v>1856</v>
      </c>
      <c r="C45" s="429" t="s">
        <v>1857</v>
      </c>
      <c r="D45" s="371">
        <v>449646390</v>
      </c>
      <c r="E45" s="71"/>
      <c r="F45" s="377">
        <v>449646390</v>
      </c>
      <c r="G45" s="375"/>
      <c r="H45" s="375">
        <v>0</v>
      </c>
      <c r="I45" s="371"/>
      <c r="J45" s="71">
        <v>0</v>
      </c>
      <c r="K45" s="71">
        <v>0</v>
      </c>
      <c r="L45" s="375">
        <v>0</v>
      </c>
      <c r="M45" s="375"/>
      <c r="N45" s="371"/>
      <c r="O45" s="375"/>
      <c r="P45" s="375"/>
      <c r="Q45" s="375"/>
    </row>
    <row r="46" spans="1:20" x14ac:dyDescent="0.45">
      <c r="A46" s="311">
        <v>16</v>
      </c>
      <c r="B46" s="316" t="s">
        <v>1858</v>
      </c>
      <c r="C46" s="429" t="s">
        <v>1859</v>
      </c>
      <c r="D46" s="371">
        <v>472111952</v>
      </c>
      <c r="E46" s="71"/>
      <c r="F46" s="377">
        <v>472111952</v>
      </c>
      <c r="G46" s="375"/>
      <c r="H46" s="375">
        <v>0</v>
      </c>
      <c r="I46" s="371"/>
      <c r="J46" s="71">
        <v>0</v>
      </c>
      <c r="K46" s="71">
        <v>0</v>
      </c>
      <c r="L46" s="375">
        <v>0</v>
      </c>
      <c r="M46" s="375"/>
      <c r="N46" s="371"/>
      <c r="O46" s="375"/>
      <c r="P46" s="375"/>
      <c r="Q46" s="375"/>
    </row>
    <row r="47" spans="1:20" x14ac:dyDescent="0.45">
      <c r="A47" s="311">
        <v>17</v>
      </c>
      <c r="B47" s="316" t="s">
        <v>1860</v>
      </c>
      <c r="C47" s="429" t="s">
        <v>1861</v>
      </c>
      <c r="D47" s="371">
        <v>2524145</v>
      </c>
      <c r="E47" s="71"/>
      <c r="F47" s="377">
        <v>2524145</v>
      </c>
      <c r="G47" s="375"/>
      <c r="H47" s="375">
        <v>0</v>
      </c>
      <c r="I47" s="371"/>
      <c r="J47" s="71">
        <v>0</v>
      </c>
      <c r="K47" s="71">
        <v>0</v>
      </c>
      <c r="L47" s="375">
        <v>0</v>
      </c>
      <c r="M47" s="375"/>
      <c r="N47" s="371"/>
      <c r="O47" s="375"/>
      <c r="P47" s="375"/>
      <c r="Q47" s="375"/>
    </row>
    <row r="48" spans="1:20" x14ac:dyDescent="0.45">
      <c r="A48" s="311">
        <v>18</v>
      </c>
      <c r="B48" s="316" t="s">
        <v>1862</v>
      </c>
      <c r="C48" s="429" t="s">
        <v>1863</v>
      </c>
      <c r="D48" s="371">
        <v>245161810</v>
      </c>
      <c r="E48" s="71"/>
      <c r="F48" s="377">
        <v>245161810</v>
      </c>
      <c r="G48" s="375"/>
      <c r="H48" s="375">
        <v>0</v>
      </c>
      <c r="I48" s="371"/>
      <c r="J48" s="71">
        <v>0</v>
      </c>
      <c r="K48" s="71">
        <v>0</v>
      </c>
      <c r="L48" s="375">
        <v>0</v>
      </c>
      <c r="M48" s="375"/>
      <c r="N48" s="371"/>
      <c r="O48" s="375"/>
      <c r="P48" s="375"/>
      <c r="Q48" s="375"/>
    </row>
    <row r="49" spans="1:17" x14ac:dyDescent="0.45">
      <c r="A49" s="311">
        <v>19</v>
      </c>
      <c r="B49" s="316" t="s">
        <v>1864</v>
      </c>
      <c r="C49" s="429" t="s">
        <v>1363</v>
      </c>
      <c r="D49" s="371">
        <v>326558524</v>
      </c>
      <c r="E49" s="71"/>
      <c r="F49" s="377">
        <v>326558524</v>
      </c>
      <c r="G49" s="375"/>
      <c r="H49" s="375">
        <v>0</v>
      </c>
      <c r="I49" s="371"/>
      <c r="J49" s="71">
        <v>0</v>
      </c>
      <c r="K49" s="71">
        <v>0</v>
      </c>
      <c r="L49" s="375">
        <v>0</v>
      </c>
      <c r="M49" s="375"/>
      <c r="N49" s="371"/>
      <c r="O49" s="375"/>
      <c r="P49" s="375"/>
      <c r="Q49" s="375"/>
    </row>
    <row r="50" spans="1:17" x14ac:dyDescent="0.45">
      <c r="A50" s="311">
        <v>20</v>
      </c>
      <c r="B50" s="316" t="s">
        <v>1865</v>
      </c>
      <c r="C50" s="429" t="s">
        <v>1785</v>
      </c>
      <c r="D50" s="371">
        <v>510376</v>
      </c>
      <c r="E50" s="71"/>
      <c r="F50" s="377">
        <v>510376</v>
      </c>
      <c r="G50" s="375"/>
      <c r="H50" s="375">
        <v>0</v>
      </c>
      <c r="I50" s="371"/>
      <c r="J50" s="71">
        <v>0</v>
      </c>
      <c r="K50" s="71">
        <v>0</v>
      </c>
      <c r="L50" s="375">
        <v>0</v>
      </c>
      <c r="M50" s="375"/>
      <c r="N50" s="371"/>
      <c r="O50" s="375"/>
      <c r="P50" s="375"/>
      <c r="Q50" s="375"/>
    </row>
    <row r="51" spans="1:17" x14ac:dyDescent="0.45">
      <c r="A51" s="311">
        <v>21</v>
      </c>
      <c r="B51" s="316" t="s">
        <v>1866</v>
      </c>
      <c r="C51" s="429" t="s">
        <v>1867</v>
      </c>
      <c r="D51" s="371">
        <v>305488</v>
      </c>
      <c r="E51" s="71"/>
      <c r="F51" s="375">
        <v>0</v>
      </c>
      <c r="G51" s="375"/>
      <c r="H51" s="377">
        <v>305488</v>
      </c>
      <c r="I51" s="371"/>
      <c r="J51" s="71">
        <v>0</v>
      </c>
      <c r="K51" s="71">
        <v>0</v>
      </c>
      <c r="L51" s="375">
        <v>0</v>
      </c>
      <c r="M51" s="375"/>
      <c r="N51" s="371"/>
      <c r="O51" s="375"/>
      <c r="P51" s="375"/>
      <c r="Q51" s="375"/>
    </row>
    <row r="52" spans="1:17" x14ac:dyDescent="0.45">
      <c r="A52" s="311">
        <v>22</v>
      </c>
      <c r="B52" s="316" t="s">
        <v>1868</v>
      </c>
      <c r="C52" s="429" t="s">
        <v>1869</v>
      </c>
      <c r="D52" s="371">
        <v>652265</v>
      </c>
      <c r="E52" s="71"/>
      <c r="F52" s="375">
        <v>0</v>
      </c>
      <c r="G52" s="375"/>
      <c r="H52" s="377">
        <v>652265</v>
      </c>
      <c r="I52" s="371"/>
      <c r="J52" s="71">
        <v>0</v>
      </c>
      <c r="K52" s="71">
        <v>0</v>
      </c>
      <c r="L52" s="375">
        <v>0</v>
      </c>
      <c r="M52" s="375"/>
      <c r="N52" s="371"/>
      <c r="O52" s="375"/>
      <c r="P52" s="375"/>
      <c r="Q52" s="375"/>
    </row>
    <row r="53" spans="1:17" x14ac:dyDescent="0.45">
      <c r="A53" s="311">
        <v>23</v>
      </c>
      <c r="B53" s="316" t="s">
        <v>1870</v>
      </c>
      <c r="C53" s="429" t="s">
        <v>1871</v>
      </c>
      <c r="D53" s="371">
        <v>9218685</v>
      </c>
      <c r="E53" s="71"/>
      <c r="F53" s="375">
        <v>0</v>
      </c>
      <c r="G53" s="375"/>
      <c r="H53" s="377">
        <v>9218685</v>
      </c>
      <c r="I53" s="371"/>
      <c r="J53" s="71">
        <v>0</v>
      </c>
      <c r="K53" s="71">
        <v>0</v>
      </c>
      <c r="L53" s="375">
        <v>0</v>
      </c>
      <c r="M53" s="375"/>
      <c r="N53" s="371"/>
      <c r="O53" s="375"/>
      <c r="P53" s="375"/>
      <c r="Q53" s="375"/>
    </row>
    <row r="54" spans="1:17" x14ac:dyDescent="0.45">
      <c r="A54" s="311">
        <v>24</v>
      </c>
      <c r="B54" s="316" t="s">
        <v>2188</v>
      </c>
      <c r="C54" s="423" t="s">
        <v>2189</v>
      </c>
      <c r="D54" s="371">
        <v>1471423</v>
      </c>
      <c r="E54" s="71"/>
      <c r="F54" s="377">
        <v>906481</v>
      </c>
      <c r="G54" s="377"/>
      <c r="H54" s="377">
        <v>564941</v>
      </c>
      <c r="I54" s="371"/>
      <c r="J54" s="71">
        <v>0</v>
      </c>
      <c r="K54" s="71">
        <v>0</v>
      </c>
      <c r="L54" s="375">
        <v>0</v>
      </c>
      <c r="M54" s="375"/>
      <c r="N54" s="371"/>
      <c r="O54" s="375"/>
      <c r="P54" s="375"/>
      <c r="Q54" s="375"/>
    </row>
    <row r="55" spans="1:17" x14ac:dyDescent="0.45">
      <c r="A55" s="311">
        <v>25</v>
      </c>
      <c r="B55" s="316" t="s">
        <v>1872</v>
      </c>
      <c r="C55" s="429" t="s">
        <v>1873</v>
      </c>
      <c r="D55" s="371">
        <v>33401558</v>
      </c>
      <c r="E55" s="71"/>
      <c r="F55" s="375">
        <v>0</v>
      </c>
      <c r="G55" s="375"/>
      <c r="H55" s="377">
        <v>33401558</v>
      </c>
      <c r="I55" s="371"/>
      <c r="J55" s="71">
        <v>0</v>
      </c>
      <c r="K55" s="71">
        <v>0</v>
      </c>
      <c r="L55" s="375">
        <v>0</v>
      </c>
      <c r="M55" s="375"/>
      <c r="N55" s="371"/>
      <c r="O55" s="375"/>
      <c r="P55" s="375"/>
      <c r="Q55" s="375"/>
    </row>
    <row r="56" spans="1:17" x14ac:dyDescent="0.45">
      <c r="A56" s="311">
        <v>26</v>
      </c>
      <c r="B56" s="316" t="s">
        <v>1874</v>
      </c>
      <c r="C56" s="429" t="s">
        <v>1875</v>
      </c>
      <c r="D56" s="371">
        <v>31936306</v>
      </c>
      <c r="E56" s="71"/>
      <c r="F56" s="375">
        <v>0</v>
      </c>
      <c r="G56" s="375"/>
      <c r="H56" s="377">
        <v>31936306</v>
      </c>
      <c r="I56" s="371"/>
      <c r="J56" s="71">
        <v>0</v>
      </c>
      <c r="K56" s="71">
        <v>0</v>
      </c>
      <c r="L56" s="375">
        <v>0</v>
      </c>
      <c r="M56" s="375"/>
      <c r="N56" s="371"/>
      <c r="O56" s="375"/>
      <c r="P56" s="375"/>
      <c r="Q56" s="375"/>
    </row>
    <row r="57" spans="1:17" x14ac:dyDescent="0.45">
      <c r="A57" s="311">
        <v>27</v>
      </c>
      <c r="B57" s="316" t="s">
        <v>1876</v>
      </c>
      <c r="C57" s="429" t="s">
        <v>1877</v>
      </c>
      <c r="D57" s="371">
        <v>5388250</v>
      </c>
      <c r="E57" s="71"/>
      <c r="F57" s="375">
        <v>0</v>
      </c>
      <c r="G57" s="375"/>
      <c r="H57" s="377">
        <v>5388250</v>
      </c>
      <c r="I57" s="371"/>
      <c r="J57" s="71">
        <v>0</v>
      </c>
      <c r="K57" s="71">
        <v>0</v>
      </c>
      <c r="L57" s="375">
        <v>0</v>
      </c>
      <c r="M57" s="375"/>
      <c r="N57" s="371"/>
      <c r="O57" s="375"/>
      <c r="P57" s="375"/>
      <c r="Q57" s="375"/>
    </row>
    <row r="58" spans="1:17" x14ac:dyDescent="0.45">
      <c r="A58" s="311">
        <v>28</v>
      </c>
      <c r="B58" s="316" t="s">
        <v>1878</v>
      </c>
      <c r="C58" s="423" t="s">
        <v>1364</v>
      </c>
      <c r="D58" s="371">
        <v>11061515</v>
      </c>
      <c r="E58" s="71"/>
      <c r="F58" s="375">
        <v>0</v>
      </c>
      <c r="G58" s="375"/>
      <c r="H58" s="377">
        <v>11061515</v>
      </c>
      <c r="I58" s="371"/>
      <c r="J58" s="71">
        <v>0</v>
      </c>
      <c r="K58" s="71">
        <v>0</v>
      </c>
      <c r="L58" s="375">
        <v>0</v>
      </c>
      <c r="M58" s="375"/>
      <c r="N58" s="371"/>
      <c r="O58" s="375"/>
      <c r="P58" s="375"/>
      <c r="Q58" s="375"/>
    </row>
    <row r="59" spans="1:17" x14ac:dyDescent="0.45">
      <c r="A59" s="311">
        <v>29</v>
      </c>
      <c r="B59" s="316" t="s">
        <v>1879</v>
      </c>
      <c r="C59" s="429" t="s">
        <v>1880</v>
      </c>
      <c r="D59" s="371">
        <v>5040</v>
      </c>
      <c r="E59" s="71"/>
      <c r="F59" s="375">
        <v>5040</v>
      </c>
      <c r="G59" s="375"/>
      <c r="H59" s="375">
        <v>0</v>
      </c>
      <c r="I59" s="371"/>
      <c r="J59" s="71">
        <v>0</v>
      </c>
      <c r="K59" s="71">
        <v>0</v>
      </c>
      <c r="L59" s="377">
        <v>0</v>
      </c>
      <c r="M59" s="375"/>
      <c r="N59" s="371"/>
      <c r="O59" s="375"/>
      <c r="P59" s="375"/>
      <c r="Q59" s="375"/>
    </row>
    <row r="60" spans="1:17" x14ac:dyDescent="0.45">
      <c r="A60" s="311">
        <v>30</v>
      </c>
      <c r="B60" s="316" t="s">
        <v>1881</v>
      </c>
      <c r="C60" s="429" t="s">
        <v>1882</v>
      </c>
      <c r="D60" s="371">
        <v>2545</v>
      </c>
      <c r="E60" s="71"/>
      <c r="F60" s="375">
        <v>2545</v>
      </c>
      <c r="G60" s="375"/>
      <c r="H60" s="375">
        <v>0</v>
      </c>
      <c r="I60" s="371"/>
      <c r="J60" s="71">
        <v>0</v>
      </c>
      <c r="K60" s="71">
        <v>0</v>
      </c>
      <c r="L60" s="377">
        <v>0</v>
      </c>
      <c r="M60" s="375"/>
      <c r="N60" s="371"/>
      <c r="O60" s="375"/>
      <c r="P60" s="375"/>
      <c r="Q60" s="375"/>
    </row>
    <row r="61" spans="1:17" x14ac:dyDescent="0.45">
      <c r="A61" s="311">
        <v>31</v>
      </c>
      <c r="B61" s="316" t="s">
        <v>1883</v>
      </c>
      <c r="C61" s="429" t="s">
        <v>1884</v>
      </c>
      <c r="D61" s="371">
        <v>66853</v>
      </c>
      <c r="E61" s="71"/>
      <c r="F61" s="375">
        <v>66853</v>
      </c>
      <c r="G61" s="375"/>
      <c r="H61" s="375">
        <v>0</v>
      </c>
      <c r="I61" s="371"/>
      <c r="J61" s="71">
        <v>0</v>
      </c>
      <c r="K61" s="71">
        <v>0</v>
      </c>
      <c r="L61" s="377">
        <v>0</v>
      </c>
      <c r="M61" s="375"/>
      <c r="N61" s="371"/>
      <c r="O61" s="375"/>
      <c r="P61" s="375"/>
      <c r="Q61" s="375"/>
    </row>
    <row r="62" spans="1:17" x14ac:dyDescent="0.45">
      <c r="A62" s="311">
        <v>32</v>
      </c>
      <c r="B62" s="316" t="s">
        <v>1885</v>
      </c>
      <c r="C62" s="429" t="s">
        <v>1886</v>
      </c>
      <c r="D62" s="371">
        <v>15955</v>
      </c>
      <c r="E62" s="71"/>
      <c r="F62" s="375">
        <v>15955</v>
      </c>
      <c r="G62" s="375"/>
      <c r="H62" s="375">
        <v>0</v>
      </c>
      <c r="I62" s="371"/>
      <c r="J62" s="71">
        <v>0</v>
      </c>
      <c r="K62" s="71">
        <v>0</v>
      </c>
      <c r="L62" s="377">
        <v>0</v>
      </c>
      <c r="M62" s="375"/>
      <c r="N62" s="371"/>
      <c r="O62" s="375"/>
      <c r="P62" s="375"/>
      <c r="Q62" s="375"/>
    </row>
    <row r="63" spans="1:17" x14ac:dyDescent="0.45">
      <c r="A63" s="311">
        <v>33</v>
      </c>
      <c r="B63" s="316" t="s">
        <v>1887</v>
      </c>
      <c r="C63" s="429" t="s">
        <v>1888</v>
      </c>
      <c r="D63" s="371">
        <v>17140</v>
      </c>
      <c r="E63" s="71"/>
      <c r="F63" s="375">
        <v>17140</v>
      </c>
      <c r="G63" s="375"/>
      <c r="H63" s="375">
        <v>0</v>
      </c>
      <c r="I63" s="371"/>
      <c r="J63" s="71">
        <v>0</v>
      </c>
      <c r="K63" s="71">
        <v>0</v>
      </c>
      <c r="L63" s="377">
        <v>0</v>
      </c>
      <c r="M63" s="375"/>
      <c r="N63" s="371"/>
      <c r="O63" s="375"/>
      <c r="P63" s="375"/>
      <c r="Q63" s="375"/>
    </row>
    <row r="64" spans="1:17" x14ac:dyDescent="0.45">
      <c r="A64" s="311">
        <v>34</v>
      </c>
      <c r="B64" s="316" t="s">
        <v>1889</v>
      </c>
      <c r="C64" s="429" t="s">
        <v>1890</v>
      </c>
      <c r="D64" s="371">
        <v>0</v>
      </c>
      <c r="E64" s="71"/>
      <c r="F64" s="375">
        <v>0</v>
      </c>
      <c r="G64" s="375"/>
      <c r="H64" s="375">
        <v>0</v>
      </c>
      <c r="I64" s="371"/>
      <c r="J64" s="71">
        <v>0</v>
      </c>
      <c r="K64" s="71">
        <v>0</v>
      </c>
      <c r="L64" s="377">
        <v>0</v>
      </c>
      <c r="M64" s="375"/>
      <c r="N64" s="371"/>
      <c r="O64" s="375"/>
      <c r="P64" s="375"/>
      <c r="Q64" s="375"/>
    </row>
    <row r="65" spans="1:22" x14ac:dyDescent="0.45">
      <c r="A65" s="311">
        <v>35</v>
      </c>
      <c r="B65" s="316" t="s">
        <v>1891</v>
      </c>
      <c r="C65" s="429" t="s">
        <v>1892</v>
      </c>
      <c r="D65" s="371">
        <v>0</v>
      </c>
      <c r="E65" s="71"/>
      <c r="F65" s="375">
        <v>0</v>
      </c>
      <c r="G65" s="375"/>
      <c r="H65" s="375">
        <v>0</v>
      </c>
      <c r="I65" s="371"/>
      <c r="J65" s="71">
        <v>0</v>
      </c>
      <c r="K65" s="71">
        <v>0</v>
      </c>
      <c r="L65" s="377">
        <v>0</v>
      </c>
      <c r="M65" s="375"/>
      <c r="N65" s="371"/>
      <c r="O65" s="375"/>
      <c r="P65" s="375"/>
      <c r="Q65" s="375"/>
    </row>
    <row r="66" spans="1:22" x14ac:dyDescent="0.45">
      <c r="A66" s="311">
        <v>36</v>
      </c>
      <c r="B66" s="316" t="s">
        <v>1893</v>
      </c>
      <c r="C66" s="429" t="s">
        <v>1894</v>
      </c>
      <c r="D66" s="371">
        <v>0</v>
      </c>
      <c r="E66" s="71"/>
      <c r="F66" s="375">
        <v>0</v>
      </c>
      <c r="G66" s="375"/>
      <c r="H66" s="375">
        <v>0</v>
      </c>
      <c r="I66" s="371"/>
      <c r="J66" s="71">
        <v>0</v>
      </c>
      <c r="K66" s="71">
        <v>0</v>
      </c>
      <c r="L66" s="377">
        <v>0</v>
      </c>
      <c r="M66" s="375"/>
      <c r="N66" s="371"/>
      <c r="O66" s="375"/>
      <c r="P66" s="375"/>
      <c r="Q66" s="375"/>
    </row>
    <row r="67" spans="1:22" x14ac:dyDescent="0.45">
      <c r="A67" s="311">
        <v>37</v>
      </c>
      <c r="B67" s="316" t="s">
        <v>1895</v>
      </c>
      <c r="C67" s="429" t="s">
        <v>1896</v>
      </c>
      <c r="D67" s="371">
        <v>0</v>
      </c>
      <c r="E67" s="71"/>
      <c r="F67" s="375">
        <v>0</v>
      </c>
      <c r="G67" s="375"/>
      <c r="H67" s="375">
        <v>0</v>
      </c>
      <c r="I67" s="371"/>
      <c r="J67" s="71">
        <v>0</v>
      </c>
      <c r="K67" s="71">
        <v>0</v>
      </c>
      <c r="L67" s="377">
        <v>0</v>
      </c>
      <c r="M67" s="375"/>
      <c r="N67" s="371"/>
      <c r="O67" s="375"/>
      <c r="P67" s="375"/>
      <c r="Q67" s="375"/>
    </row>
    <row r="68" spans="1:22" x14ac:dyDescent="0.45">
      <c r="A68" s="311">
        <v>38</v>
      </c>
      <c r="B68" s="308" t="s">
        <v>1365</v>
      </c>
      <c r="C68" s="423" t="s">
        <v>1366</v>
      </c>
      <c r="D68" s="371">
        <v>43641211</v>
      </c>
      <c r="E68" s="71"/>
      <c r="F68" s="377">
        <v>19414</v>
      </c>
      <c r="G68" s="375"/>
      <c r="H68" s="377">
        <v>43621797</v>
      </c>
      <c r="I68" s="371"/>
      <c r="J68" s="71">
        <v>0</v>
      </c>
      <c r="K68" s="71">
        <v>0</v>
      </c>
      <c r="L68" s="377">
        <v>0</v>
      </c>
      <c r="M68" s="375"/>
      <c r="N68" s="371"/>
      <c r="O68" s="375"/>
      <c r="P68" s="375"/>
      <c r="Q68" s="375"/>
    </row>
    <row r="69" spans="1:22" x14ac:dyDescent="0.45">
      <c r="A69" s="311">
        <v>39</v>
      </c>
      <c r="B69" s="308" t="s">
        <v>1367</v>
      </c>
      <c r="C69" s="423" t="s">
        <v>1368</v>
      </c>
      <c r="D69" s="371">
        <v>625806</v>
      </c>
      <c r="E69" s="71"/>
      <c r="F69" s="375">
        <v>0</v>
      </c>
      <c r="G69" s="375"/>
      <c r="H69" s="377">
        <v>625806</v>
      </c>
      <c r="I69" s="371"/>
      <c r="J69" s="71">
        <v>0</v>
      </c>
      <c r="K69" s="71">
        <v>0</v>
      </c>
      <c r="L69" s="377">
        <v>0</v>
      </c>
      <c r="M69" s="375"/>
      <c r="N69" s="371"/>
      <c r="O69" s="375"/>
      <c r="P69" s="375"/>
      <c r="Q69" s="375"/>
    </row>
    <row r="70" spans="1:22" x14ac:dyDescent="0.45">
      <c r="A70" s="311">
        <v>40</v>
      </c>
      <c r="B70" s="308" t="s">
        <v>2190</v>
      </c>
      <c r="C70" s="423" t="s">
        <v>1369</v>
      </c>
      <c r="D70" s="371">
        <v>13223521</v>
      </c>
      <c r="E70" s="71"/>
      <c r="F70" s="375">
        <v>0</v>
      </c>
      <c r="G70" s="375"/>
      <c r="H70" s="374">
        <v>13223521</v>
      </c>
      <c r="I70" s="371"/>
      <c r="J70" s="71">
        <v>0</v>
      </c>
      <c r="K70" s="71">
        <v>0</v>
      </c>
      <c r="L70" s="375">
        <v>0</v>
      </c>
      <c r="M70" s="375"/>
      <c r="N70" s="371"/>
      <c r="O70" s="375"/>
      <c r="P70" s="375"/>
      <c r="Q70" s="375"/>
    </row>
    <row r="71" spans="1:22" x14ac:dyDescent="0.45">
      <c r="A71" s="311">
        <v>41</v>
      </c>
      <c r="B71" s="308" t="s">
        <v>2191</v>
      </c>
      <c r="C71" s="423" t="s">
        <v>1370</v>
      </c>
      <c r="D71" s="371">
        <v>0</v>
      </c>
      <c r="E71" s="71"/>
      <c r="F71" s="375">
        <v>0</v>
      </c>
      <c r="G71" s="375"/>
      <c r="H71" s="375">
        <v>0</v>
      </c>
      <c r="I71" s="371"/>
      <c r="J71" s="71">
        <v>0</v>
      </c>
      <c r="K71" s="71">
        <v>0</v>
      </c>
      <c r="L71" s="375">
        <v>0</v>
      </c>
      <c r="M71" s="375"/>
      <c r="N71" s="371"/>
      <c r="O71" s="375"/>
      <c r="P71" s="375"/>
      <c r="Q71" s="375" t="s">
        <v>2222</v>
      </c>
      <c r="R71" s="53" t="s">
        <v>1257</v>
      </c>
      <c r="S71" s="53" t="s">
        <v>1258</v>
      </c>
    </row>
    <row r="72" spans="1:22" x14ac:dyDescent="0.45">
      <c r="A72" s="311">
        <v>42</v>
      </c>
      <c r="B72" s="316" t="s">
        <v>1897</v>
      </c>
      <c r="C72" s="429" t="s">
        <v>1898</v>
      </c>
      <c r="D72" s="371">
        <v>3953481</v>
      </c>
      <c r="E72" s="71"/>
      <c r="F72" s="374">
        <v>2942175</v>
      </c>
      <c r="G72" s="375"/>
      <c r="H72" s="374">
        <v>789058</v>
      </c>
      <c r="I72" s="371"/>
      <c r="J72" s="71">
        <v>222248</v>
      </c>
      <c r="K72" s="71">
        <v>222248</v>
      </c>
      <c r="L72" s="374">
        <v>0</v>
      </c>
      <c r="M72" s="375"/>
      <c r="N72" s="371"/>
      <c r="O72" s="374"/>
      <c r="P72" s="374"/>
      <c r="Q72" s="375"/>
      <c r="U72" s="318"/>
      <c r="V72" s="320"/>
    </row>
    <row r="73" spans="1:22" x14ac:dyDescent="0.45">
      <c r="A73" s="311">
        <v>43</v>
      </c>
      <c r="B73" s="316" t="s">
        <v>1899</v>
      </c>
      <c r="C73" s="429" t="s">
        <v>1900</v>
      </c>
      <c r="D73" s="371">
        <v>32026</v>
      </c>
      <c r="E73" s="71"/>
      <c r="F73" s="374">
        <v>30874</v>
      </c>
      <c r="G73" s="375"/>
      <c r="H73" s="374">
        <v>1152</v>
      </c>
      <c r="I73" s="371"/>
      <c r="J73" s="71">
        <v>0</v>
      </c>
      <c r="K73" s="71">
        <v>0</v>
      </c>
      <c r="L73" s="375">
        <v>0</v>
      </c>
      <c r="M73" s="375"/>
      <c r="N73" s="371"/>
      <c r="O73" s="375"/>
      <c r="P73" s="375" t="s">
        <v>2277</v>
      </c>
      <c r="Q73" s="375">
        <v>222248</v>
      </c>
      <c r="R73" s="491">
        <v>222248</v>
      </c>
      <c r="S73" s="53">
        <v>0</v>
      </c>
      <c r="T73" s="53" t="s">
        <v>2223</v>
      </c>
      <c r="U73" s="318"/>
      <c r="V73" s="320"/>
    </row>
    <row r="74" spans="1:22" x14ac:dyDescent="0.45">
      <c r="A74" s="311">
        <v>44</v>
      </c>
      <c r="B74" s="316" t="s">
        <v>1901</v>
      </c>
      <c r="C74" s="429" t="s">
        <v>1902</v>
      </c>
      <c r="D74" s="371">
        <v>166699</v>
      </c>
      <c r="E74" s="71"/>
      <c r="F74" s="374">
        <v>166699</v>
      </c>
      <c r="G74" s="375"/>
      <c r="H74" s="374">
        <v>0</v>
      </c>
      <c r="I74" s="371"/>
      <c r="J74" s="71">
        <v>0</v>
      </c>
      <c r="K74" s="71">
        <v>0</v>
      </c>
      <c r="L74" s="375">
        <v>0</v>
      </c>
      <c r="M74" s="375"/>
      <c r="N74" s="371"/>
      <c r="O74" s="371"/>
      <c r="P74" s="371"/>
      <c r="Q74" s="375"/>
      <c r="U74" s="318"/>
      <c r="V74" s="320"/>
    </row>
    <row r="75" spans="1:22" x14ac:dyDescent="0.45">
      <c r="A75" s="311">
        <v>45</v>
      </c>
      <c r="B75" s="316" t="s">
        <v>1903</v>
      </c>
      <c r="C75" s="429" t="s">
        <v>1904</v>
      </c>
      <c r="D75" s="371">
        <v>2174944</v>
      </c>
      <c r="E75" s="71"/>
      <c r="F75" s="374">
        <v>2104204</v>
      </c>
      <c r="G75" s="375"/>
      <c r="H75" s="374">
        <v>70740</v>
      </c>
      <c r="I75" s="371"/>
      <c r="J75" s="71">
        <v>0</v>
      </c>
      <c r="K75" s="71">
        <v>0</v>
      </c>
      <c r="L75" s="375">
        <v>0</v>
      </c>
      <c r="M75" s="375"/>
      <c r="N75" s="371"/>
      <c r="O75" s="375"/>
      <c r="P75" s="375"/>
      <c r="Q75" s="375"/>
    </row>
    <row r="76" spans="1:22" x14ac:dyDescent="0.45">
      <c r="A76" s="311">
        <v>46</v>
      </c>
      <c r="B76" s="316" t="s">
        <v>1905</v>
      </c>
      <c r="C76" s="429" t="s">
        <v>1906</v>
      </c>
      <c r="D76" s="371">
        <v>94079</v>
      </c>
      <c r="E76" s="71"/>
      <c r="F76" s="374">
        <v>93979</v>
      </c>
      <c r="G76" s="375"/>
      <c r="H76" s="374">
        <v>100</v>
      </c>
      <c r="I76" s="371"/>
      <c r="J76" s="71">
        <v>0</v>
      </c>
      <c r="K76" s="71">
        <v>0</v>
      </c>
      <c r="L76" s="375">
        <v>0</v>
      </c>
      <c r="M76" s="375"/>
      <c r="N76" s="371"/>
      <c r="O76" s="375"/>
      <c r="P76" s="375"/>
      <c r="Q76" s="375"/>
    </row>
    <row r="77" spans="1:22" x14ac:dyDescent="0.45">
      <c r="A77" s="311">
        <v>47</v>
      </c>
      <c r="B77" s="316" t="s">
        <v>1907</v>
      </c>
      <c r="C77" s="429" t="s">
        <v>1908</v>
      </c>
      <c r="D77" s="371">
        <v>68898</v>
      </c>
      <c r="E77" s="71"/>
      <c r="F77" s="374">
        <v>61024</v>
      </c>
      <c r="G77" s="375"/>
      <c r="H77" s="374">
        <v>7874</v>
      </c>
      <c r="I77" s="371"/>
      <c r="J77" s="71">
        <v>0</v>
      </c>
      <c r="K77" s="71">
        <v>0</v>
      </c>
      <c r="L77" s="375">
        <v>0</v>
      </c>
      <c r="M77" s="375"/>
      <c r="N77" s="371"/>
      <c r="O77" s="375"/>
      <c r="P77" s="375"/>
      <c r="Q77" s="375"/>
    </row>
    <row r="78" spans="1:22" x14ac:dyDescent="0.45">
      <c r="A78" s="311">
        <v>48</v>
      </c>
      <c r="B78" s="308" t="s">
        <v>1371</v>
      </c>
      <c r="C78" s="423" t="s">
        <v>1372</v>
      </c>
      <c r="D78" s="371">
        <v>206493</v>
      </c>
      <c r="E78" s="71"/>
      <c r="F78" s="374">
        <v>0</v>
      </c>
      <c r="G78" s="377"/>
      <c r="H78" s="374">
        <v>206493</v>
      </c>
      <c r="I78" s="371"/>
      <c r="J78" s="71">
        <v>0</v>
      </c>
      <c r="K78" s="71">
        <v>0</v>
      </c>
      <c r="L78" s="375">
        <v>0</v>
      </c>
      <c r="M78" s="375"/>
      <c r="N78" s="371"/>
      <c r="O78" s="375"/>
      <c r="P78" s="375"/>
      <c r="Q78" s="375"/>
    </row>
    <row r="79" spans="1:22" x14ac:dyDescent="0.45">
      <c r="A79" s="311">
        <v>49</v>
      </c>
      <c r="B79" s="308" t="s">
        <v>1373</v>
      </c>
      <c r="C79" s="423" t="s">
        <v>1374</v>
      </c>
      <c r="D79" s="371">
        <v>0</v>
      </c>
      <c r="E79" s="71"/>
      <c r="F79" s="375">
        <v>0</v>
      </c>
      <c r="G79" s="377"/>
      <c r="H79" s="375">
        <v>0</v>
      </c>
      <c r="I79" s="371"/>
      <c r="J79" s="71">
        <v>0</v>
      </c>
      <c r="K79" s="71">
        <v>0</v>
      </c>
      <c r="L79" s="375">
        <v>0</v>
      </c>
      <c r="M79" s="375"/>
      <c r="N79" s="371"/>
      <c r="O79" s="375"/>
      <c r="P79" s="375"/>
      <c r="Q79" s="375"/>
    </row>
    <row r="80" spans="1:22" x14ac:dyDescent="0.45">
      <c r="A80" s="311">
        <v>50</v>
      </c>
      <c r="B80" s="308" t="s">
        <v>1375</v>
      </c>
      <c r="C80" s="423" t="s">
        <v>1376</v>
      </c>
      <c r="D80" s="371">
        <v>237184</v>
      </c>
      <c r="E80" s="71"/>
      <c r="F80" s="375">
        <v>0</v>
      </c>
      <c r="G80" s="377"/>
      <c r="H80" s="374">
        <v>237184</v>
      </c>
      <c r="I80" s="371"/>
      <c r="J80" s="371">
        <v>0</v>
      </c>
      <c r="K80" s="371">
        <v>0</v>
      </c>
      <c r="L80" s="375">
        <v>0</v>
      </c>
      <c r="M80" s="371"/>
      <c r="N80" s="371"/>
      <c r="O80" s="375"/>
      <c r="P80" s="375"/>
      <c r="Q80" s="375"/>
    </row>
    <row r="81" spans="1:20" s="45" customFormat="1" x14ac:dyDescent="0.45">
      <c r="A81" s="45">
        <v>51</v>
      </c>
      <c r="B81" s="45" t="s">
        <v>2500</v>
      </c>
      <c r="C81" s="312" t="s">
        <v>2501</v>
      </c>
      <c r="D81" s="371">
        <v>-183431</v>
      </c>
      <c r="F81" s="374">
        <v>-172632</v>
      </c>
      <c r="G81" s="456"/>
      <c r="H81" s="374">
        <v>-9210</v>
      </c>
      <c r="I81" s="371"/>
      <c r="J81" s="371">
        <v>-1589</v>
      </c>
      <c r="K81" s="371">
        <v>-1589</v>
      </c>
      <c r="L81" s="375">
        <v>0</v>
      </c>
      <c r="N81" s="371"/>
      <c r="O81" s="375"/>
      <c r="P81" s="375"/>
      <c r="Q81" s="375"/>
    </row>
    <row r="82" spans="1:20" s="45" customFormat="1" x14ac:dyDescent="0.45">
      <c r="A82" s="45">
        <v>52</v>
      </c>
      <c r="B82" s="45" t="s">
        <v>2526</v>
      </c>
      <c r="C82" s="312" t="s">
        <v>2527</v>
      </c>
      <c r="D82" s="371">
        <v>9948564</v>
      </c>
      <c r="F82" s="374">
        <v>9334437</v>
      </c>
      <c r="G82" s="456"/>
      <c r="H82" s="374">
        <v>497874</v>
      </c>
      <c r="I82" s="371"/>
      <c r="J82" s="492">
        <v>116254</v>
      </c>
      <c r="K82" s="492">
        <v>116254</v>
      </c>
      <c r="L82" s="312">
        <v>0</v>
      </c>
      <c r="N82" s="371"/>
      <c r="O82" s="374"/>
      <c r="P82" s="459"/>
      <c r="Q82" s="457"/>
    </row>
    <row r="83" spans="1:20" s="45" customFormat="1" x14ac:dyDescent="0.45">
      <c r="Q83" s="455"/>
    </row>
    <row r="84" spans="1:20" s="45" customFormat="1" x14ac:dyDescent="0.45">
      <c r="B84" s="426" t="s">
        <v>2502</v>
      </c>
      <c r="Q84" s="455"/>
    </row>
    <row r="85" spans="1:20" s="45" customFormat="1" x14ac:dyDescent="0.45">
      <c r="A85" s="45">
        <v>1</v>
      </c>
      <c r="C85" s="425"/>
      <c r="D85" s="371"/>
      <c r="F85" s="374"/>
      <c r="G85" s="456"/>
      <c r="H85" s="374"/>
      <c r="I85" s="371"/>
      <c r="J85" s="371"/>
      <c r="K85" s="371"/>
      <c r="L85" s="375"/>
      <c r="N85" s="371"/>
      <c r="O85" s="375"/>
      <c r="P85" s="375"/>
      <c r="Q85" s="375"/>
    </row>
    <row r="86" spans="1:20" s="45" customFormat="1" x14ac:dyDescent="0.45">
      <c r="A86" s="45">
        <v>2</v>
      </c>
      <c r="Q86" s="455"/>
    </row>
    <row r="87" spans="1:20" s="45" customFormat="1" x14ac:dyDescent="0.45">
      <c r="Q87" s="455"/>
    </row>
    <row r="88" spans="1:20" s="45" customFormat="1" x14ac:dyDescent="0.45">
      <c r="Q88" s="455"/>
    </row>
    <row r="89" spans="1:20" x14ac:dyDescent="0.45">
      <c r="B89" s="430" t="s">
        <v>1377</v>
      </c>
      <c r="C89" s="309"/>
      <c r="D89" s="71"/>
      <c r="E89" s="71"/>
      <c r="F89" s="71"/>
      <c r="G89" s="71"/>
      <c r="H89" s="71"/>
      <c r="I89" s="71"/>
      <c r="J89" s="71"/>
      <c r="K89" s="71"/>
      <c r="L89" s="71"/>
      <c r="M89" s="71"/>
      <c r="N89" s="71"/>
      <c r="O89" s="71"/>
      <c r="P89" s="71"/>
      <c r="Q89" s="71"/>
    </row>
    <row r="90" spans="1:20" x14ac:dyDescent="0.45">
      <c r="B90" s="319" t="s">
        <v>1266</v>
      </c>
      <c r="C90" s="309"/>
      <c r="D90" s="375"/>
      <c r="E90" s="71"/>
      <c r="F90" s="375"/>
      <c r="G90" s="375"/>
      <c r="H90" s="375"/>
      <c r="I90" s="371"/>
      <c r="J90" s="375"/>
      <c r="K90" s="375"/>
      <c r="L90" s="375"/>
      <c r="M90" s="375"/>
      <c r="N90" s="371"/>
      <c r="O90" s="375"/>
      <c r="P90" s="375"/>
      <c r="Q90" s="375"/>
      <c r="R90" s="320"/>
      <c r="S90" s="320"/>
      <c r="T90" s="320"/>
    </row>
    <row r="91" spans="1:20" x14ac:dyDescent="0.45">
      <c r="A91" s="311">
        <v>1</v>
      </c>
      <c r="B91" s="308" t="s">
        <v>1378</v>
      </c>
      <c r="C91" s="423" t="s">
        <v>1377</v>
      </c>
      <c r="D91" s="371">
        <v>20235892</v>
      </c>
      <c r="E91" s="71"/>
      <c r="F91" s="374">
        <v>19058683</v>
      </c>
      <c r="G91" s="377"/>
      <c r="H91" s="374">
        <v>765390</v>
      </c>
      <c r="I91" s="371"/>
      <c r="J91" s="71">
        <v>411819</v>
      </c>
      <c r="K91" s="71">
        <v>211376</v>
      </c>
      <c r="L91" s="374">
        <v>200443</v>
      </c>
      <c r="M91" s="371"/>
      <c r="N91" s="371"/>
      <c r="O91" s="374"/>
      <c r="P91" s="374"/>
      <c r="Q91" s="71"/>
    </row>
    <row r="92" spans="1:20" ht="12.75" customHeight="1" x14ac:dyDescent="0.45">
      <c r="A92" s="311">
        <v>2</v>
      </c>
      <c r="B92" s="308" t="s">
        <v>1379</v>
      </c>
      <c r="C92" s="423" t="s">
        <v>1380</v>
      </c>
      <c r="D92" s="371">
        <v>19824073</v>
      </c>
      <c r="E92" s="71"/>
      <c r="F92" s="378">
        <v>19058683</v>
      </c>
      <c r="G92" s="375"/>
      <c r="H92" s="378">
        <v>765390</v>
      </c>
      <c r="I92" s="371"/>
      <c r="J92" s="71">
        <v>0</v>
      </c>
      <c r="K92" s="71">
        <v>0</v>
      </c>
      <c r="L92" s="375">
        <v>0</v>
      </c>
      <c r="M92" s="375"/>
      <c r="N92" s="371"/>
      <c r="O92" s="375"/>
      <c r="P92" s="375"/>
      <c r="Q92" s="375"/>
    </row>
    <row r="93" spans="1:20" x14ac:dyDescent="0.45">
      <c r="A93" s="313">
        <v>3</v>
      </c>
      <c r="B93" s="45"/>
      <c r="C93" s="312"/>
      <c r="D93" s="50"/>
      <c r="E93" s="50"/>
      <c r="F93" s="379"/>
      <c r="G93" s="379"/>
      <c r="H93" s="379"/>
      <c r="I93" s="379"/>
      <c r="J93" s="50"/>
      <c r="K93" s="50"/>
      <c r="L93" s="379"/>
      <c r="M93" s="379"/>
      <c r="N93" s="50"/>
      <c r="O93" s="379"/>
      <c r="P93" s="379"/>
      <c r="Q93" s="379"/>
    </row>
    <row r="94" spans="1:20" x14ac:dyDescent="0.45">
      <c r="A94" s="313">
        <v>4</v>
      </c>
      <c r="B94" s="45"/>
      <c r="C94" s="312"/>
      <c r="D94" s="50"/>
      <c r="E94" s="50"/>
      <c r="F94" s="50"/>
      <c r="G94" s="50"/>
      <c r="H94" s="50"/>
      <c r="I94" s="50"/>
      <c r="J94" s="50"/>
      <c r="K94" s="50"/>
      <c r="L94" s="50"/>
      <c r="M94" s="50"/>
      <c r="N94" s="50"/>
      <c r="O94" s="50"/>
      <c r="P94" s="50"/>
      <c r="Q94" s="50"/>
    </row>
    <row r="95" spans="1:20" x14ac:dyDescent="0.45">
      <c r="A95" s="45"/>
      <c r="B95" s="45"/>
      <c r="C95" s="312"/>
      <c r="D95" s="50"/>
      <c r="E95" s="50"/>
      <c r="F95" s="50"/>
      <c r="G95" s="50"/>
      <c r="H95" s="50"/>
      <c r="I95" s="50"/>
      <c r="J95" s="50"/>
      <c r="K95" s="50"/>
      <c r="L95" s="50"/>
      <c r="M95" s="50"/>
      <c r="N95" s="50"/>
      <c r="O95" s="50"/>
      <c r="P95" s="50"/>
      <c r="Q95" s="50"/>
    </row>
    <row r="96" spans="1:20" x14ac:dyDescent="0.45">
      <c r="A96" s="45"/>
      <c r="B96" s="426" t="s">
        <v>1381</v>
      </c>
      <c r="C96" s="312"/>
      <c r="D96" s="50"/>
      <c r="E96" s="50"/>
      <c r="F96" s="50"/>
      <c r="G96" s="50"/>
      <c r="H96" s="50"/>
      <c r="I96" s="50"/>
      <c r="J96" s="50"/>
      <c r="K96" s="50"/>
      <c r="L96" s="50"/>
      <c r="M96" s="50"/>
      <c r="N96" s="50"/>
      <c r="O96" s="50"/>
      <c r="P96" s="50"/>
      <c r="Q96" s="50"/>
    </row>
    <row r="97" spans="1:17" x14ac:dyDescent="0.45">
      <c r="A97" s="45"/>
      <c r="B97" s="431" t="s">
        <v>1266</v>
      </c>
      <c r="C97" s="312"/>
      <c r="D97" s="50"/>
      <c r="E97" s="50"/>
      <c r="F97" s="50"/>
      <c r="G97" s="50"/>
      <c r="H97" s="50"/>
      <c r="I97" s="50"/>
      <c r="J97" s="50"/>
      <c r="K97" s="50"/>
      <c r="L97" s="50"/>
      <c r="M97" s="50"/>
      <c r="N97" s="50"/>
      <c r="O97" s="50"/>
      <c r="P97" s="348"/>
      <c r="Q97" s="50"/>
    </row>
    <row r="98" spans="1:17" x14ac:dyDescent="0.45">
      <c r="A98" s="311">
        <v>1</v>
      </c>
      <c r="B98" s="316" t="s">
        <v>1909</v>
      </c>
      <c r="C98" s="423" t="s">
        <v>1383</v>
      </c>
      <c r="D98" s="371">
        <v>124944572</v>
      </c>
      <c r="E98" s="71"/>
      <c r="F98" s="380">
        <v>124944572</v>
      </c>
      <c r="G98" s="375"/>
      <c r="H98" s="381">
        <v>0</v>
      </c>
      <c r="I98" s="371"/>
      <c r="J98" s="71">
        <v>0</v>
      </c>
      <c r="K98" s="71">
        <v>0</v>
      </c>
      <c r="L98" s="375">
        <v>0</v>
      </c>
      <c r="M98" s="371"/>
      <c r="N98" s="371"/>
      <c r="O98" s="382"/>
      <c r="P98" s="382"/>
      <c r="Q98" s="382"/>
    </row>
    <row r="99" spans="1:17" x14ac:dyDescent="0.45">
      <c r="A99" s="311">
        <v>2</v>
      </c>
      <c r="B99" s="316" t="s">
        <v>1910</v>
      </c>
      <c r="C99" s="423" t="s">
        <v>1385</v>
      </c>
      <c r="D99" s="371">
        <v>77200740</v>
      </c>
      <c r="E99" s="71"/>
      <c r="F99" s="380">
        <v>77153432</v>
      </c>
      <c r="G99" s="375"/>
      <c r="H99" s="381">
        <v>0</v>
      </c>
      <c r="I99" s="371"/>
      <c r="J99" s="71">
        <v>47308</v>
      </c>
      <c r="K99" s="71">
        <v>20456</v>
      </c>
      <c r="L99" s="375">
        <v>26852</v>
      </c>
      <c r="M99" s="371"/>
      <c r="N99" s="371"/>
      <c r="O99" s="374"/>
      <c r="P99" s="374"/>
      <c r="Q99" s="382"/>
    </row>
    <row r="100" spans="1:17" x14ac:dyDescent="0.45">
      <c r="A100" s="311">
        <v>3</v>
      </c>
      <c r="B100" s="316" t="s">
        <v>1911</v>
      </c>
      <c r="C100" s="423" t="s">
        <v>1387</v>
      </c>
      <c r="D100" s="371">
        <v>159234</v>
      </c>
      <c r="E100" s="71"/>
      <c r="F100" s="380">
        <v>159234</v>
      </c>
      <c r="G100" s="375"/>
      <c r="H100" s="381">
        <v>0</v>
      </c>
      <c r="I100" s="371"/>
      <c r="J100" s="71">
        <v>0</v>
      </c>
      <c r="K100" s="71">
        <v>0</v>
      </c>
      <c r="L100" s="375">
        <v>0</v>
      </c>
      <c r="M100" s="371"/>
      <c r="N100" s="371"/>
      <c r="O100" s="382"/>
      <c r="P100" s="382"/>
      <c r="Q100" s="382"/>
    </row>
    <row r="101" spans="1:17" x14ac:dyDescent="0.45">
      <c r="A101" s="311">
        <v>4</v>
      </c>
      <c r="B101" s="316" t="s">
        <v>1912</v>
      </c>
      <c r="C101" s="423" t="s">
        <v>1389</v>
      </c>
      <c r="D101" s="371">
        <v>143087299</v>
      </c>
      <c r="E101" s="71"/>
      <c r="F101" s="380">
        <v>143087299</v>
      </c>
      <c r="G101" s="375"/>
      <c r="H101" s="381">
        <v>0</v>
      </c>
      <c r="I101" s="371"/>
      <c r="J101" s="71">
        <v>0</v>
      </c>
      <c r="K101" s="71">
        <v>0</v>
      </c>
      <c r="L101" s="375">
        <v>0</v>
      </c>
      <c r="M101" s="371"/>
      <c r="N101" s="371"/>
      <c r="O101" s="382"/>
      <c r="P101" s="382"/>
      <c r="Q101" s="382"/>
    </row>
    <row r="102" spans="1:17" x14ac:dyDescent="0.45">
      <c r="A102" s="311">
        <v>5</v>
      </c>
      <c r="B102" s="308" t="s">
        <v>1390</v>
      </c>
      <c r="C102" s="423" t="s">
        <v>1391</v>
      </c>
      <c r="D102" s="371">
        <v>4891559</v>
      </c>
      <c r="E102" s="71"/>
      <c r="F102" s="374">
        <v>4870067</v>
      </c>
      <c r="G102" s="375"/>
      <c r="H102" s="374">
        <v>21492</v>
      </c>
      <c r="I102" s="371"/>
      <c r="J102" s="71">
        <v>0</v>
      </c>
      <c r="K102" s="71">
        <v>0</v>
      </c>
      <c r="L102" s="375">
        <v>0</v>
      </c>
      <c r="M102" s="371"/>
      <c r="N102" s="371"/>
      <c r="O102" s="382"/>
      <c r="P102" s="382"/>
      <c r="Q102" s="382"/>
    </row>
    <row r="103" spans="1:17" x14ac:dyDescent="0.45">
      <c r="A103" s="311">
        <v>6</v>
      </c>
      <c r="B103" s="308" t="s">
        <v>1392</v>
      </c>
      <c r="C103" s="423" t="s">
        <v>1393</v>
      </c>
      <c r="D103" s="371">
        <v>31492745</v>
      </c>
      <c r="E103" s="71"/>
      <c r="F103" s="374">
        <v>30270182</v>
      </c>
      <c r="G103" s="375"/>
      <c r="H103" s="374">
        <v>1222562</v>
      </c>
      <c r="I103" s="371"/>
      <c r="J103" s="71">
        <v>0</v>
      </c>
      <c r="K103" s="71">
        <v>0</v>
      </c>
      <c r="L103" s="375">
        <v>0</v>
      </c>
      <c r="M103" s="371"/>
      <c r="N103" s="371"/>
      <c r="O103" s="374"/>
      <c r="P103" s="382"/>
      <c r="Q103" s="382"/>
    </row>
    <row r="104" spans="1:17" x14ac:dyDescent="0.45">
      <c r="A104" s="311">
        <v>7</v>
      </c>
      <c r="B104" s="308" t="s">
        <v>1394</v>
      </c>
      <c r="C104" s="423" t="s">
        <v>1395</v>
      </c>
      <c r="D104" s="371">
        <v>769287</v>
      </c>
      <c r="E104" s="71"/>
      <c r="F104" s="374">
        <v>731584</v>
      </c>
      <c r="G104" s="375"/>
      <c r="H104" s="374">
        <v>37393</v>
      </c>
      <c r="I104" s="371"/>
      <c r="J104" s="71">
        <v>310</v>
      </c>
      <c r="K104" s="71">
        <v>124</v>
      </c>
      <c r="L104" s="374">
        <v>186</v>
      </c>
      <c r="M104" s="371"/>
      <c r="N104" s="371"/>
      <c r="O104" s="374"/>
      <c r="P104" s="374"/>
      <c r="Q104" s="382"/>
    </row>
    <row r="105" spans="1:17" x14ac:dyDescent="0.45">
      <c r="A105" s="311">
        <v>8</v>
      </c>
      <c r="B105" s="308" t="s">
        <v>1396</v>
      </c>
      <c r="C105" s="423" t="s">
        <v>1397</v>
      </c>
      <c r="D105" s="371">
        <v>769287</v>
      </c>
      <c r="E105" s="71"/>
      <c r="F105" s="71">
        <v>731584</v>
      </c>
      <c r="G105" s="375"/>
      <c r="H105" s="371">
        <v>37393</v>
      </c>
      <c r="I105" s="371"/>
      <c r="J105" s="71">
        <v>310</v>
      </c>
      <c r="K105" s="71">
        <v>124</v>
      </c>
      <c r="L105" s="378">
        <v>186</v>
      </c>
      <c r="M105" s="371"/>
      <c r="N105" s="371"/>
      <c r="O105" s="71"/>
      <c r="P105" s="71"/>
      <c r="Q105" s="71"/>
    </row>
    <row r="106" spans="1:17" x14ac:dyDescent="0.45">
      <c r="A106" s="311">
        <v>9</v>
      </c>
      <c r="B106" s="308" t="s">
        <v>1398</v>
      </c>
      <c r="C106" s="423" t="s">
        <v>1399</v>
      </c>
      <c r="D106" s="371">
        <v>769287</v>
      </c>
      <c r="E106" s="71"/>
      <c r="F106" s="71">
        <v>731584</v>
      </c>
      <c r="G106" s="375"/>
      <c r="H106" s="371">
        <v>37393</v>
      </c>
      <c r="I106" s="371"/>
      <c r="J106" s="71">
        <v>310</v>
      </c>
      <c r="K106" s="71">
        <v>124</v>
      </c>
      <c r="L106" s="378">
        <v>186</v>
      </c>
      <c r="M106" s="371"/>
      <c r="N106" s="371"/>
      <c r="O106" s="71"/>
      <c r="P106" s="71"/>
      <c r="Q106" s="71"/>
    </row>
    <row r="107" spans="1:17" x14ac:dyDescent="0.45">
      <c r="A107" s="311">
        <v>10</v>
      </c>
      <c r="B107" s="308" t="s">
        <v>1400</v>
      </c>
      <c r="C107" s="423" t="s">
        <v>1401</v>
      </c>
      <c r="D107" s="371">
        <v>6306473</v>
      </c>
      <c r="E107" s="71"/>
      <c r="F107" s="382">
        <v>0</v>
      </c>
      <c r="G107" s="375"/>
      <c r="H107" s="383">
        <v>6306473</v>
      </c>
      <c r="I107" s="371"/>
      <c r="J107" s="71">
        <v>0</v>
      </c>
      <c r="K107" s="71">
        <v>0</v>
      </c>
      <c r="L107" s="375">
        <v>0</v>
      </c>
      <c r="M107" s="371"/>
      <c r="N107" s="371"/>
      <c r="O107" s="382"/>
      <c r="P107" s="382"/>
      <c r="Q107" s="382"/>
    </row>
    <row r="108" spans="1:17" x14ac:dyDescent="0.45">
      <c r="A108" s="311">
        <v>11</v>
      </c>
      <c r="B108" s="308" t="s">
        <v>1402</v>
      </c>
      <c r="C108" s="423" t="s">
        <v>1403</v>
      </c>
      <c r="D108" s="371">
        <v>4187481</v>
      </c>
      <c r="E108" s="71"/>
      <c r="F108" s="382">
        <v>0</v>
      </c>
      <c r="G108" s="375"/>
      <c r="H108" s="383">
        <v>4187481</v>
      </c>
      <c r="I108" s="371"/>
      <c r="J108" s="71">
        <v>0</v>
      </c>
      <c r="K108" s="71">
        <v>0</v>
      </c>
      <c r="L108" s="375">
        <v>0</v>
      </c>
      <c r="M108" s="371"/>
      <c r="N108" s="371"/>
      <c r="O108" s="382"/>
      <c r="P108" s="382"/>
      <c r="Q108" s="382"/>
    </row>
    <row r="109" spans="1:17" x14ac:dyDescent="0.45">
      <c r="A109" s="311">
        <v>12</v>
      </c>
      <c r="B109" s="316" t="s">
        <v>1913</v>
      </c>
      <c r="C109" s="423" t="s">
        <v>1405</v>
      </c>
      <c r="D109" s="371">
        <v>0</v>
      </c>
      <c r="E109" s="71"/>
      <c r="F109" s="382">
        <v>0</v>
      </c>
      <c r="G109" s="375"/>
      <c r="H109" s="383">
        <v>0</v>
      </c>
      <c r="I109" s="371"/>
      <c r="J109" s="71">
        <v>0</v>
      </c>
      <c r="K109" s="71">
        <v>0</v>
      </c>
      <c r="L109" s="375">
        <v>0</v>
      </c>
      <c r="M109" s="371"/>
      <c r="N109" s="371"/>
      <c r="O109" s="382"/>
      <c r="P109" s="382"/>
      <c r="Q109" s="382"/>
    </row>
    <row r="110" spans="1:17" x14ac:dyDescent="0.45">
      <c r="A110" s="311">
        <v>13</v>
      </c>
      <c r="B110" s="308" t="s">
        <v>1406</v>
      </c>
      <c r="C110" s="423" t="s">
        <v>1407</v>
      </c>
      <c r="D110" s="371">
        <v>4244034</v>
      </c>
      <c r="E110" s="71"/>
      <c r="F110" s="382">
        <v>0</v>
      </c>
      <c r="G110" s="375"/>
      <c r="H110" s="383">
        <v>4244034</v>
      </c>
      <c r="I110" s="371"/>
      <c r="J110" s="71">
        <v>0</v>
      </c>
      <c r="K110" s="71">
        <v>0</v>
      </c>
      <c r="L110" s="375">
        <v>0</v>
      </c>
      <c r="M110" s="371"/>
      <c r="N110" s="371"/>
      <c r="O110" s="382"/>
      <c r="P110" s="382"/>
      <c r="Q110" s="382"/>
    </row>
    <row r="111" spans="1:17" x14ac:dyDescent="0.45">
      <c r="A111" s="311">
        <v>14</v>
      </c>
      <c r="B111" s="308" t="s">
        <v>1408</v>
      </c>
      <c r="C111" s="423" t="s">
        <v>1409</v>
      </c>
      <c r="D111" s="371">
        <v>528339</v>
      </c>
      <c r="E111" s="71"/>
      <c r="F111" s="374">
        <v>528339</v>
      </c>
      <c r="G111" s="381"/>
      <c r="H111" s="381">
        <v>0</v>
      </c>
      <c r="I111" s="371"/>
      <c r="J111" s="71">
        <v>0</v>
      </c>
      <c r="K111" s="71">
        <v>0</v>
      </c>
      <c r="L111" s="381">
        <v>0</v>
      </c>
      <c r="M111" s="371"/>
      <c r="N111" s="371"/>
      <c r="O111" s="382"/>
      <c r="P111" s="382"/>
      <c r="Q111" s="382"/>
    </row>
    <row r="112" spans="1:17" x14ac:dyDescent="0.45">
      <c r="A112" s="311">
        <v>15</v>
      </c>
      <c r="B112" s="308" t="s">
        <v>1410</v>
      </c>
      <c r="C112" s="423" t="s">
        <v>1411</v>
      </c>
      <c r="D112" s="371">
        <v>556189</v>
      </c>
      <c r="E112" s="71"/>
      <c r="F112" s="374">
        <v>528399</v>
      </c>
      <c r="G112" s="381"/>
      <c r="H112" s="374">
        <v>27790</v>
      </c>
      <c r="I112" s="371"/>
      <c r="J112" s="71">
        <v>0</v>
      </c>
      <c r="K112" s="71">
        <v>0</v>
      </c>
      <c r="L112" s="384">
        <v>0</v>
      </c>
      <c r="M112" s="371"/>
      <c r="N112" s="371"/>
      <c r="O112" s="382"/>
      <c r="P112" s="382"/>
      <c r="Q112" s="382"/>
    </row>
    <row r="113" spans="1:17" x14ac:dyDescent="0.45">
      <c r="A113" s="311">
        <v>16</v>
      </c>
      <c r="B113" s="308" t="s">
        <v>1412</v>
      </c>
      <c r="C113" s="423" t="s">
        <v>1413</v>
      </c>
      <c r="D113" s="371">
        <v>556189</v>
      </c>
      <c r="E113" s="71"/>
      <c r="F113" s="71">
        <v>528399</v>
      </c>
      <c r="G113" s="375"/>
      <c r="H113" s="371">
        <v>27790</v>
      </c>
      <c r="I113" s="371"/>
      <c r="J113" s="71">
        <v>0</v>
      </c>
      <c r="K113" s="71">
        <v>0</v>
      </c>
      <c r="L113" s="378">
        <v>0</v>
      </c>
      <c r="M113" s="371"/>
      <c r="N113" s="371"/>
      <c r="O113" s="382"/>
      <c r="P113" s="382"/>
      <c r="Q113" s="382"/>
    </row>
    <row r="114" spans="1:17" x14ac:dyDescent="0.45">
      <c r="A114" s="311">
        <v>17</v>
      </c>
      <c r="B114" s="308" t="s">
        <v>1414</v>
      </c>
      <c r="C114" s="423" t="s">
        <v>1415</v>
      </c>
      <c r="D114" s="371">
        <v>556189</v>
      </c>
      <c r="E114" s="71"/>
      <c r="F114" s="71">
        <v>528399</v>
      </c>
      <c r="G114" s="375"/>
      <c r="H114" s="371">
        <v>27790</v>
      </c>
      <c r="I114" s="371"/>
      <c r="J114" s="71">
        <v>0</v>
      </c>
      <c r="K114" s="71">
        <v>0</v>
      </c>
      <c r="L114" s="378">
        <v>0</v>
      </c>
      <c r="M114" s="371"/>
      <c r="N114" s="371"/>
      <c r="O114" s="382"/>
      <c r="P114" s="382"/>
      <c r="Q114" s="382"/>
    </row>
    <row r="115" spans="1:17" x14ac:dyDescent="0.45">
      <c r="A115" s="311">
        <v>18</v>
      </c>
      <c r="B115" s="308" t="s">
        <v>1416</v>
      </c>
      <c r="C115" s="423" t="s">
        <v>1417</v>
      </c>
      <c r="D115" s="371">
        <v>0</v>
      </c>
      <c r="E115" s="71"/>
      <c r="F115" s="382">
        <v>0</v>
      </c>
      <c r="G115" s="375"/>
      <c r="H115" s="381">
        <v>0</v>
      </c>
      <c r="I115" s="371"/>
      <c r="J115" s="71">
        <v>0</v>
      </c>
      <c r="K115" s="71">
        <v>0</v>
      </c>
      <c r="L115" s="375">
        <v>0</v>
      </c>
      <c r="M115" s="371"/>
      <c r="N115" s="371"/>
      <c r="O115" s="382"/>
      <c r="P115" s="382"/>
      <c r="Q115" s="382"/>
    </row>
    <row r="116" spans="1:17" x14ac:dyDescent="0.45">
      <c r="A116" s="311">
        <v>19</v>
      </c>
      <c r="B116" s="308" t="s">
        <v>1418</v>
      </c>
      <c r="C116" s="423" t="s">
        <v>1419</v>
      </c>
      <c r="D116" s="371">
        <v>532644</v>
      </c>
      <c r="E116" s="71"/>
      <c r="F116" s="374">
        <v>513790</v>
      </c>
      <c r="G116" s="375"/>
      <c r="H116" s="374">
        <v>18854</v>
      </c>
      <c r="I116" s="371"/>
      <c r="J116" s="71">
        <v>0</v>
      </c>
      <c r="K116" s="71">
        <v>0</v>
      </c>
      <c r="L116" s="375">
        <v>0</v>
      </c>
      <c r="M116" s="371"/>
      <c r="N116" s="371"/>
      <c r="O116" s="382"/>
      <c r="P116" s="382"/>
      <c r="Q116" s="382"/>
    </row>
    <row r="117" spans="1:17" x14ac:dyDescent="0.45">
      <c r="A117" s="311">
        <v>20</v>
      </c>
      <c r="B117" s="308" t="s">
        <v>1763</v>
      </c>
      <c r="C117" s="429" t="s">
        <v>1914</v>
      </c>
      <c r="D117" s="371">
        <v>4153151</v>
      </c>
      <c r="E117" s="71"/>
      <c r="F117" s="374">
        <v>3984715</v>
      </c>
      <c r="G117" s="375"/>
      <c r="H117" s="374">
        <v>168175</v>
      </c>
      <c r="I117" s="371"/>
      <c r="J117" s="71">
        <v>262</v>
      </c>
      <c r="K117" s="71">
        <v>262</v>
      </c>
      <c r="L117" s="374">
        <v>0</v>
      </c>
      <c r="M117" s="375"/>
      <c r="N117" s="371"/>
      <c r="O117" s="374"/>
      <c r="P117" s="374"/>
      <c r="Q117" s="375"/>
    </row>
    <row r="118" spans="1:17" x14ac:dyDescent="0.45">
      <c r="A118" s="313">
        <v>21</v>
      </c>
      <c r="B118" s="45"/>
      <c r="C118" s="45"/>
      <c r="D118" s="50"/>
      <c r="E118" s="50"/>
      <c r="F118" s="50"/>
      <c r="G118" s="50"/>
      <c r="H118" s="50"/>
      <c r="I118" s="50"/>
      <c r="J118" s="50"/>
      <c r="K118" s="50"/>
      <c r="L118" s="50"/>
      <c r="M118" s="50"/>
      <c r="N118" s="50"/>
      <c r="O118" s="50"/>
      <c r="P118" s="50"/>
      <c r="Q118" s="50"/>
    </row>
    <row r="119" spans="1:17" x14ac:dyDescent="0.45">
      <c r="A119" s="313">
        <v>22</v>
      </c>
      <c r="B119" s="45"/>
      <c r="C119" s="45"/>
      <c r="D119" s="50"/>
      <c r="E119" s="50"/>
      <c r="F119" s="50"/>
      <c r="G119" s="50"/>
      <c r="H119" s="50"/>
      <c r="I119" s="50"/>
      <c r="J119" s="50"/>
      <c r="K119" s="50"/>
      <c r="L119" s="50"/>
      <c r="M119" s="50"/>
      <c r="N119" s="50"/>
      <c r="O119" s="50"/>
      <c r="P119" s="50"/>
      <c r="Q119" s="50"/>
    </row>
    <row r="120" spans="1:17" x14ac:dyDescent="0.45">
      <c r="A120" s="313">
        <v>23</v>
      </c>
      <c r="B120" s="45"/>
      <c r="C120" s="45"/>
      <c r="D120" s="50"/>
      <c r="E120" s="50"/>
      <c r="F120" s="50"/>
      <c r="G120" s="50"/>
      <c r="H120" s="50"/>
      <c r="I120" s="50"/>
      <c r="J120" s="50"/>
      <c r="K120" s="50"/>
      <c r="L120" s="50"/>
      <c r="M120" s="50"/>
      <c r="N120" s="50"/>
      <c r="O120" s="50"/>
      <c r="P120" s="50"/>
      <c r="Q120" s="50"/>
    </row>
    <row r="121" spans="1:17" x14ac:dyDescent="0.45">
      <c r="A121" s="313">
        <v>24</v>
      </c>
      <c r="B121" s="45"/>
      <c r="C121" s="45"/>
      <c r="D121" s="50"/>
      <c r="E121" s="50"/>
      <c r="F121" s="50"/>
      <c r="G121" s="50"/>
      <c r="H121" s="50"/>
      <c r="I121" s="50"/>
      <c r="J121" s="50"/>
      <c r="K121" s="50"/>
      <c r="L121" s="50"/>
      <c r="M121" s="50"/>
      <c r="N121" s="50"/>
      <c r="O121" s="50"/>
      <c r="P121" s="50"/>
      <c r="Q121" s="50"/>
    </row>
    <row r="122" spans="1:17" x14ac:dyDescent="0.45">
      <c r="A122" s="313">
        <v>25</v>
      </c>
      <c r="B122" s="45"/>
      <c r="C122" s="45"/>
      <c r="D122" s="50"/>
      <c r="E122" s="50"/>
      <c r="F122" s="50"/>
      <c r="G122" s="50"/>
      <c r="H122" s="50"/>
      <c r="I122" s="50"/>
      <c r="J122" s="50"/>
      <c r="K122" s="50"/>
      <c r="L122" s="50"/>
      <c r="M122" s="50"/>
      <c r="N122" s="50"/>
      <c r="O122" s="50"/>
      <c r="P122" s="50"/>
      <c r="Q122" s="50"/>
    </row>
    <row r="123" spans="1:17" x14ac:dyDescent="0.45">
      <c r="A123" s="45"/>
      <c r="B123" s="45"/>
      <c r="C123" s="312"/>
      <c r="D123" s="50"/>
      <c r="E123" s="50"/>
      <c r="F123" s="50"/>
      <c r="G123" s="50"/>
      <c r="H123" s="50"/>
      <c r="I123" s="50"/>
      <c r="J123" s="50"/>
      <c r="K123" s="50"/>
      <c r="L123" s="50"/>
      <c r="M123" s="50"/>
      <c r="N123" s="50"/>
      <c r="O123" s="50"/>
      <c r="P123" s="50"/>
      <c r="Q123" s="50"/>
    </row>
    <row r="124" spans="1:17" x14ac:dyDescent="0.45">
      <c r="A124" s="45"/>
      <c r="B124" s="432" t="s">
        <v>1420</v>
      </c>
      <c r="C124" s="312"/>
      <c r="D124" s="50"/>
      <c r="E124" s="50"/>
      <c r="F124" s="50"/>
      <c r="G124" s="50"/>
      <c r="H124" s="50"/>
      <c r="I124" s="50"/>
      <c r="J124" s="50"/>
      <c r="K124" s="50"/>
      <c r="L124" s="50"/>
      <c r="M124" s="50"/>
      <c r="N124" s="50"/>
      <c r="O124" s="50"/>
      <c r="P124" s="50"/>
      <c r="Q124" s="50"/>
    </row>
    <row r="125" spans="1:17" x14ac:dyDescent="0.45">
      <c r="A125" s="45"/>
      <c r="B125" s="431" t="s">
        <v>1266</v>
      </c>
      <c r="C125" s="312"/>
      <c r="D125" s="50"/>
      <c r="E125" s="50"/>
      <c r="F125" s="50"/>
      <c r="G125" s="50"/>
      <c r="H125" s="50"/>
      <c r="I125" s="50"/>
      <c r="J125" s="50"/>
      <c r="K125" s="50"/>
      <c r="L125" s="50"/>
      <c r="M125" s="50"/>
      <c r="N125" s="50"/>
      <c r="O125" s="50"/>
      <c r="P125" s="50"/>
      <c r="Q125" s="50"/>
    </row>
    <row r="126" spans="1:17" x14ac:dyDescent="0.45">
      <c r="A126" s="313">
        <v>1</v>
      </c>
      <c r="B126" s="424" t="s">
        <v>1421</v>
      </c>
      <c r="C126" s="425" t="s">
        <v>1422</v>
      </c>
      <c r="D126" s="348">
        <v>10794311746</v>
      </c>
      <c r="E126" s="50"/>
      <c r="F126" s="348">
        <v>10089174672</v>
      </c>
      <c r="G126" s="50"/>
      <c r="H126" s="348">
        <v>562719165</v>
      </c>
      <c r="I126" s="348"/>
      <c r="J126" s="50">
        <v>142417909</v>
      </c>
      <c r="K126" s="50">
        <v>74518887</v>
      </c>
      <c r="L126" s="348">
        <v>67899021</v>
      </c>
      <c r="M126" s="348"/>
      <c r="N126" s="348"/>
      <c r="O126" s="348"/>
      <c r="P126" s="348"/>
      <c r="Q126" s="348"/>
    </row>
    <row r="127" spans="1:17" x14ac:dyDescent="0.45">
      <c r="A127" s="313">
        <v>2</v>
      </c>
      <c r="B127" s="424" t="s">
        <v>1423</v>
      </c>
      <c r="C127" s="425" t="s">
        <v>1424</v>
      </c>
      <c r="D127" s="348">
        <v>10089174672</v>
      </c>
      <c r="E127" s="50"/>
      <c r="F127" s="348">
        <v>10089174672</v>
      </c>
      <c r="G127" s="376"/>
      <c r="H127" s="376">
        <v>0</v>
      </c>
      <c r="I127" s="348"/>
      <c r="J127" s="50">
        <v>0</v>
      </c>
      <c r="K127" s="50">
        <v>0</v>
      </c>
      <c r="L127" s="376">
        <v>0</v>
      </c>
      <c r="M127" s="376"/>
      <c r="N127" s="348"/>
      <c r="O127" s="376"/>
      <c r="P127" s="376"/>
      <c r="Q127" s="376"/>
    </row>
    <row r="128" spans="1:17" x14ac:dyDescent="0.45">
      <c r="A128" s="313">
        <v>3</v>
      </c>
      <c r="B128" s="424" t="s">
        <v>1425</v>
      </c>
      <c r="C128" s="425" t="s">
        <v>1426</v>
      </c>
      <c r="D128" s="348">
        <v>184095229</v>
      </c>
      <c r="E128" s="50"/>
      <c r="F128" s="348">
        <v>173228434</v>
      </c>
      <c r="G128" s="50"/>
      <c r="H128" s="348">
        <v>8758678</v>
      </c>
      <c r="I128" s="348"/>
      <c r="J128" s="50">
        <v>2108117</v>
      </c>
      <c r="K128" s="50">
        <v>1099197</v>
      </c>
      <c r="L128" s="348">
        <v>1008920</v>
      </c>
      <c r="M128" s="348"/>
      <c r="N128" s="348"/>
      <c r="O128" s="348"/>
      <c r="P128" s="348"/>
      <c r="Q128" s="348"/>
    </row>
    <row r="129" spans="1:17" x14ac:dyDescent="0.45">
      <c r="A129" s="313">
        <v>4</v>
      </c>
      <c r="B129" s="424" t="s">
        <v>1427</v>
      </c>
      <c r="C129" s="425" t="s">
        <v>1428</v>
      </c>
      <c r="D129" s="348">
        <v>5633644628</v>
      </c>
      <c r="E129" s="50"/>
      <c r="F129" s="348">
        <v>5284995196</v>
      </c>
      <c r="G129" s="50"/>
      <c r="H129" s="348">
        <v>239346091</v>
      </c>
      <c r="I129" s="348"/>
      <c r="J129" s="50">
        <v>109303340</v>
      </c>
      <c r="K129" s="50">
        <v>55444770</v>
      </c>
      <c r="L129" s="348">
        <v>53858570</v>
      </c>
      <c r="M129" s="348"/>
      <c r="N129" s="348"/>
      <c r="O129" s="348"/>
      <c r="P129" s="348"/>
      <c r="Q129" s="348"/>
    </row>
    <row r="130" spans="1:17" x14ac:dyDescent="0.45">
      <c r="A130" s="313">
        <v>5</v>
      </c>
      <c r="B130" s="427" t="s">
        <v>1429</v>
      </c>
      <c r="C130" s="428" t="s">
        <v>1430</v>
      </c>
      <c r="D130" s="348">
        <v>118259716</v>
      </c>
      <c r="E130" s="50"/>
      <c r="F130" s="348">
        <v>111279067</v>
      </c>
      <c r="G130" s="50"/>
      <c r="H130" s="348">
        <v>5626429</v>
      </c>
      <c r="I130" s="348"/>
      <c r="J130" s="50">
        <v>1354219</v>
      </c>
      <c r="K130" s="50">
        <v>706106</v>
      </c>
      <c r="L130" s="348">
        <v>648114</v>
      </c>
      <c r="M130" s="348"/>
      <c r="N130" s="348"/>
      <c r="O130" s="348"/>
      <c r="P130" s="348"/>
      <c r="Q130" s="348"/>
    </row>
    <row r="131" spans="1:17" x14ac:dyDescent="0.45">
      <c r="A131" s="313">
        <v>6</v>
      </c>
      <c r="B131" s="424" t="s">
        <v>1431</v>
      </c>
      <c r="C131" s="425" t="s">
        <v>1432</v>
      </c>
      <c r="D131" s="348">
        <v>49368841</v>
      </c>
      <c r="E131" s="50"/>
      <c r="F131" s="348">
        <v>46313551</v>
      </c>
      <c r="G131" s="50"/>
      <c r="H131" s="348">
        <v>2097441</v>
      </c>
      <c r="I131" s="348"/>
      <c r="J131" s="50">
        <v>957849</v>
      </c>
      <c r="K131" s="50">
        <v>485874</v>
      </c>
      <c r="L131" s="348">
        <v>471974</v>
      </c>
      <c r="M131" s="348"/>
      <c r="N131" s="348"/>
      <c r="O131" s="348"/>
      <c r="P131" s="348"/>
      <c r="Q131" s="348"/>
    </row>
    <row r="132" spans="1:17" x14ac:dyDescent="0.45">
      <c r="A132" s="313">
        <v>7</v>
      </c>
      <c r="B132" s="424" t="s">
        <v>1433</v>
      </c>
      <c r="C132" s="425" t="s">
        <v>1434</v>
      </c>
      <c r="D132" s="348">
        <v>1112756592</v>
      </c>
      <c r="E132" s="50"/>
      <c r="F132" s="348">
        <v>1044089407</v>
      </c>
      <c r="G132" s="50"/>
      <c r="H132" s="348">
        <v>47139679</v>
      </c>
      <c r="I132" s="348"/>
      <c r="J132" s="50">
        <v>21527506</v>
      </c>
      <c r="K132" s="50">
        <v>10919956</v>
      </c>
      <c r="L132" s="348">
        <v>10607550</v>
      </c>
      <c r="M132" s="348"/>
      <c r="N132" s="348"/>
      <c r="O132" s="348"/>
      <c r="P132" s="348"/>
      <c r="Q132" s="348"/>
    </row>
    <row r="133" spans="1:17" x14ac:dyDescent="0.45">
      <c r="A133" s="313">
        <v>8</v>
      </c>
      <c r="B133" s="424" t="s">
        <v>1435</v>
      </c>
      <c r="C133" s="425" t="s">
        <v>1436</v>
      </c>
      <c r="D133" s="348">
        <v>1317509651</v>
      </c>
      <c r="E133" s="50"/>
      <c r="F133" s="348">
        <v>1258772521</v>
      </c>
      <c r="G133" s="50"/>
      <c r="H133" s="348">
        <v>57404626</v>
      </c>
      <c r="I133" s="348"/>
      <c r="J133" s="50">
        <v>1332504</v>
      </c>
      <c r="K133" s="50">
        <v>1198502</v>
      </c>
      <c r="L133" s="348">
        <v>134002</v>
      </c>
      <c r="M133" s="348"/>
      <c r="N133" s="348"/>
      <c r="O133" s="348"/>
      <c r="P133" s="348"/>
      <c r="Q133" s="348"/>
    </row>
    <row r="134" spans="1:17" x14ac:dyDescent="0.45">
      <c r="A134" s="313">
        <v>9</v>
      </c>
      <c r="B134" s="424" t="s">
        <v>1437</v>
      </c>
      <c r="C134" s="425" t="s">
        <v>1438</v>
      </c>
      <c r="D134" s="348">
        <v>94477230</v>
      </c>
      <c r="E134" s="50"/>
      <c r="F134" s="348">
        <v>0</v>
      </c>
      <c r="G134" s="50"/>
      <c r="H134" s="348">
        <v>94477230</v>
      </c>
      <c r="I134" s="348"/>
      <c r="J134" s="50">
        <v>0</v>
      </c>
      <c r="K134" s="50">
        <v>0</v>
      </c>
      <c r="L134" s="348">
        <v>0</v>
      </c>
      <c r="M134" s="348"/>
      <c r="N134" s="348"/>
      <c r="O134" s="348"/>
      <c r="P134" s="348"/>
      <c r="Q134" s="348"/>
    </row>
    <row r="135" spans="1:17" x14ac:dyDescent="0.45">
      <c r="A135" s="313">
        <v>10</v>
      </c>
      <c r="B135" s="424" t="s">
        <v>1439</v>
      </c>
      <c r="C135" s="425" t="s">
        <v>1440</v>
      </c>
      <c r="D135" s="348">
        <v>102707660</v>
      </c>
      <c r="E135" s="50"/>
      <c r="F135" s="348">
        <v>8230429</v>
      </c>
      <c r="G135" s="50"/>
      <c r="H135" s="348">
        <v>94477230</v>
      </c>
      <c r="I135" s="348"/>
      <c r="J135" s="50">
        <v>0</v>
      </c>
      <c r="K135" s="50">
        <v>0</v>
      </c>
      <c r="L135" s="348">
        <v>0</v>
      </c>
      <c r="M135" s="348"/>
      <c r="N135" s="348"/>
      <c r="O135" s="348"/>
      <c r="P135" s="348"/>
      <c r="Q135" s="348"/>
    </row>
    <row r="136" spans="1:17" x14ac:dyDescent="0.45">
      <c r="A136" s="313">
        <v>11</v>
      </c>
      <c r="B136" s="424" t="s">
        <v>1441</v>
      </c>
      <c r="C136" s="425" t="s">
        <v>1442</v>
      </c>
      <c r="D136" s="348">
        <v>2293852460</v>
      </c>
      <c r="E136" s="50"/>
      <c r="F136" s="348">
        <v>2183621934</v>
      </c>
      <c r="G136" s="50"/>
      <c r="H136" s="348">
        <v>106702055</v>
      </c>
      <c r="I136" s="348"/>
      <c r="J136" s="50">
        <v>3528471</v>
      </c>
      <c r="K136" s="50">
        <v>3501619</v>
      </c>
      <c r="L136" s="348">
        <v>26852</v>
      </c>
      <c r="M136" s="348"/>
      <c r="N136" s="348"/>
      <c r="O136" s="348"/>
      <c r="P136" s="348"/>
      <c r="Q136" s="348"/>
    </row>
    <row r="137" spans="1:17" x14ac:dyDescent="0.45">
      <c r="A137" s="313">
        <v>12</v>
      </c>
      <c r="B137" s="424" t="s">
        <v>1443</v>
      </c>
      <c r="C137" s="425" t="s">
        <v>1444</v>
      </c>
      <c r="D137" s="348">
        <v>2187042871</v>
      </c>
      <c r="E137" s="50"/>
      <c r="F137" s="348">
        <v>2183514400</v>
      </c>
      <c r="G137" s="50"/>
      <c r="H137" s="348">
        <v>0</v>
      </c>
      <c r="I137" s="348"/>
      <c r="J137" s="50">
        <v>3528471</v>
      </c>
      <c r="K137" s="50">
        <v>3501619</v>
      </c>
      <c r="L137" s="348">
        <v>26852</v>
      </c>
      <c r="M137" s="348"/>
      <c r="N137" s="348"/>
      <c r="O137" s="348"/>
      <c r="P137" s="348"/>
      <c r="Q137" s="348"/>
    </row>
    <row r="138" spans="1:17" x14ac:dyDescent="0.45">
      <c r="A138" s="313">
        <v>13</v>
      </c>
      <c r="B138" s="424" t="s">
        <v>1445</v>
      </c>
      <c r="C138" s="425" t="s">
        <v>1446</v>
      </c>
      <c r="D138" s="348">
        <v>267920720</v>
      </c>
      <c r="E138" s="50"/>
      <c r="F138" s="348">
        <v>252556718</v>
      </c>
      <c r="G138" s="50"/>
      <c r="H138" s="348">
        <v>12383444</v>
      </c>
      <c r="I138" s="348"/>
      <c r="J138" s="50">
        <v>2980558</v>
      </c>
      <c r="K138" s="50">
        <v>1554098</v>
      </c>
      <c r="L138" s="348">
        <v>1426460</v>
      </c>
      <c r="M138" s="348"/>
      <c r="N138" s="348"/>
      <c r="O138" s="348"/>
      <c r="P138" s="348"/>
      <c r="Q138" s="348"/>
    </row>
    <row r="139" spans="1:17" x14ac:dyDescent="0.45">
      <c r="A139" s="313">
        <v>14</v>
      </c>
      <c r="B139" s="424" t="s">
        <v>1447</v>
      </c>
      <c r="C139" s="428" t="s">
        <v>1915</v>
      </c>
      <c r="D139" s="348">
        <v>144369</v>
      </c>
      <c r="E139" s="50"/>
      <c r="F139" s="348">
        <v>144369</v>
      </c>
      <c r="G139" s="50"/>
      <c r="H139" s="348">
        <v>0</v>
      </c>
      <c r="I139" s="348"/>
      <c r="J139" s="50">
        <v>0</v>
      </c>
      <c r="K139" s="50">
        <v>0</v>
      </c>
      <c r="L139" s="348">
        <v>0</v>
      </c>
      <c r="M139" s="348"/>
      <c r="N139" s="348"/>
      <c r="O139" s="348"/>
      <c r="P139" s="348"/>
      <c r="Q139" s="348"/>
    </row>
    <row r="140" spans="1:17" x14ac:dyDescent="0.45">
      <c r="A140" s="313">
        <v>15</v>
      </c>
      <c r="B140" s="424" t="s">
        <v>485</v>
      </c>
      <c r="C140" s="428" t="s">
        <v>1916</v>
      </c>
      <c r="D140" s="348">
        <v>112943498</v>
      </c>
      <c r="E140" s="50"/>
      <c r="F140" s="348">
        <v>105565478</v>
      </c>
      <c r="G140" s="50"/>
      <c r="H140" s="348">
        <v>5887867</v>
      </c>
      <c r="I140" s="348"/>
      <c r="J140" s="50">
        <v>1490153</v>
      </c>
      <c r="K140" s="50">
        <v>779709</v>
      </c>
      <c r="L140" s="348">
        <v>710444</v>
      </c>
      <c r="M140" s="348"/>
      <c r="N140" s="348"/>
      <c r="O140" s="348"/>
      <c r="P140" s="348"/>
      <c r="Q140" s="348"/>
    </row>
    <row r="141" spans="1:17" x14ac:dyDescent="0.45">
      <c r="A141" s="313">
        <v>16</v>
      </c>
      <c r="B141" s="424" t="s">
        <v>486</v>
      </c>
      <c r="C141" s="425" t="s">
        <v>487</v>
      </c>
      <c r="D141" s="348">
        <v>6795770061</v>
      </c>
      <c r="E141" s="50"/>
      <c r="F141" s="348">
        <v>6375398154</v>
      </c>
      <c r="G141" s="50"/>
      <c r="H141" s="348">
        <v>288583212</v>
      </c>
      <c r="I141" s="348"/>
      <c r="J141" s="50">
        <v>131788695</v>
      </c>
      <c r="K141" s="50">
        <v>66850601</v>
      </c>
      <c r="L141" s="348">
        <v>64938095</v>
      </c>
      <c r="M141" s="348"/>
      <c r="N141" s="348"/>
      <c r="O141" s="348"/>
      <c r="P141" s="348"/>
      <c r="Q141" s="348"/>
    </row>
    <row r="142" spans="1:17" x14ac:dyDescent="0.45">
      <c r="A142" s="313">
        <v>17</v>
      </c>
      <c r="B142" s="424" t="s">
        <v>911</v>
      </c>
      <c r="C142" s="425" t="s">
        <v>912</v>
      </c>
      <c r="D142" s="348">
        <v>6810849833</v>
      </c>
      <c r="E142" s="50"/>
      <c r="F142" s="348">
        <v>6385086589</v>
      </c>
      <c r="G142" s="50"/>
      <c r="H142" s="348">
        <v>291186869</v>
      </c>
      <c r="I142" s="348"/>
      <c r="J142" s="50">
        <v>134576376</v>
      </c>
      <c r="K142" s="50">
        <v>68264668</v>
      </c>
      <c r="L142" s="348">
        <v>66311708</v>
      </c>
      <c r="M142" s="348"/>
      <c r="N142" s="348"/>
      <c r="O142" s="348"/>
      <c r="P142" s="348"/>
      <c r="Q142" s="348"/>
    </row>
    <row r="143" spans="1:17" x14ac:dyDescent="0.45">
      <c r="A143" s="313">
        <v>18</v>
      </c>
      <c r="B143" s="424" t="s">
        <v>913</v>
      </c>
      <c r="C143" s="425" t="s">
        <v>914</v>
      </c>
      <c r="D143" s="348">
        <v>1420217310</v>
      </c>
      <c r="E143" s="50"/>
      <c r="F143" s="348">
        <v>1267002950</v>
      </c>
      <c r="G143" s="50"/>
      <c r="H143" s="348">
        <v>151881857</v>
      </c>
      <c r="I143" s="348"/>
      <c r="J143" s="50">
        <v>1332504</v>
      </c>
      <c r="K143" s="50">
        <v>1198502</v>
      </c>
      <c r="L143" s="348">
        <v>134002</v>
      </c>
      <c r="M143" s="348"/>
      <c r="N143" s="348"/>
      <c r="O143" s="348"/>
      <c r="P143" s="348"/>
      <c r="Q143" s="348"/>
    </row>
    <row r="144" spans="1:17" x14ac:dyDescent="0.45">
      <c r="A144" s="313">
        <v>19</v>
      </c>
      <c r="B144" s="424" t="s">
        <v>2133</v>
      </c>
      <c r="C144" s="425" t="s">
        <v>2134</v>
      </c>
      <c r="D144" s="348">
        <v>1418884807</v>
      </c>
      <c r="E144" s="50"/>
      <c r="F144" s="348">
        <v>1267002950</v>
      </c>
      <c r="G144" s="50"/>
      <c r="H144" s="348">
        <v>151881857</v>
      </c>
      <c r="I144" s="348"/>
      <c r="J144" s="50">
        <v>0</v>
      </c>
      <c r="K144" s="50">
        <v>0</v>
      </c>
      <c r="L144" s="348">
        <v>0</v>
      </c>
      <c r="M144" s="348"/>
      <c r="N144" s="348"/>
      <c r="O144" s="348"/>
      <c r="P144" s="348"/>
      <c r="Q144" s="348"/>
    </row>
    <row r="145" spans="1:17" x14ac:dyDescent="0.45">
      <c r="A145" s="313">
        <v>20</v>
      </c>
      <c r="B145" s="424" t="s">
        <v>915</v>
      </c>
      <c r="C145" s="428" t="s">
        <v>916</v>
      </c>
      <c r="D145" s="348">
        <v>61237949</v>
      </c>
      <c r="E145" s="50"/>
      <c r="F145" s="348">
        <v>56853080</v>
      </c>
      <c r="G145" s="50"/>
      <c r="H145" s="348">
        <v>3678683</v>
      </c>
      <c r="I145" s="348"/>
      <c r="J145" s="50">
        <v>706186</v>
      </c>
      <c r="K145" s="50">
        <v>365995</v>
      </c>
      <c r="L145" s="348">
        <v>340190</v>
      </c>
      <c r="M145" s="348"/>
      <c r="N145" s="348"/>
      <c r="O145" s="348"/>
      <c r="P145" s="348"/>
      <c r="Q145" s="348"/>
    </row>
    <row r="146" spans="1:17" x14ac:dyDescent="0.45">
      <c r="A146" s="321">
        <v>21</v>
      </c>
      <c r="B146" s="424" t="s">
        <v>917</v>
      </c>
      <c r="C146" s="428" t="s">
        <v>1917</v>
      </c>
      <c r="D146" s="348">
        <v>14413613</v>
      </c>
      <c r="E146" s="50"/>
      <c r="F146" s="348">
        <v>13504024</v>
      </c>
      <c r="G146" s="50"/>
      <c r="H146" s="348">
        <v>728268</v>
      </c>
      <c r="I146" s="348"/>
      <c r="J146" s="50">
        <v>181321</v>
      </c>
      <c r="K146" s="50">
        <v>94768</v>
      </c>
      <c r="L146" s="348">
        <v>86553</v>
      </c>
      <c r="M146" s="348"/>
      <c r="N146" s="348"/>
      <c r="O146" s="348"/>
      <c r="P146" s="348"/>
      <c r="Q146" s="348"/>
    </row>
    <row r="147" spans="1:17" x14ac:dyDescent="0.45">
      <c r="A147" s="314">
        <v>22</v>
      </c>
      <c r="B147" s="308" t="s">
        <v>918</v>
      </c>
      <c r="C147" s="429" t="s">
        <v>1918</v>
      </c>
      <c r="D147" s="371">
        <v>1606634809</v>
      </c>
      <c r="E147" s="71"/>
      <c r="F147" s="371">
        <v>1606634809</v>
      </c>
      <c r="G147" s="378"/>
      <c r="H147" s="378">
        <v>0</v>
      </c>
      <c r="I147" s="371"/>
      <c r="J147" s="71">
        <v>0</v>
      </c>
      <c r="K147" s="71">
        <v>0</v>
      </c>
      <c r="L147" s="378">
        <v>0</v>
      </c>
      <c r="M147" s="378"/>
      <c r="N147" s="371"/>
      <c r="O147" s="378"/>
      <c r="P147" s="378"/>
      <c r="Q147" s="378"/>
    </row>
    <row r="148" spans="1:17" x14ac:dyDescent="0.45">
      <c r="A148" s="313">
        <v>23</v>
      </c>
      <c r="B148" s="424" t="s">
        <v>919</v>
      </c>
      <c r="C148" s="425" t="s">
        <v>2476</v>
      </c>
      <c r="D148" s="348">
        <v>2593463</v>
      </c>
      <c r="E148" s="50"/>
      <c r="F148" s="376">
        <v>0</v>
      </c>
      <c r="G148" s="376"/>
      <c r="H148" s="376">
        <v>0</v>
      </c>
      <c r="I148" s="348"/>
      <c r="J148" s="50">
        <v>2593463</v>
      </c>
      <c r="K148" s="50">
        <v>1315550</v>
      </c>
      <c r="L148" s="376">
        <v>1277914</v>
      </c>
      <c r="M148" s="376"/>
      <c r="N148" s="348"/>
      <c r="O148" s="348"/>
      <c r="P148" s="348"/>
      <c r="Q148" s="348"/>
    </row>
    <row r="149" spans="1:17" x14ac:dyDescent="0.45">
      <c r="A149" s="313">
        <v>24</v>
      </c>
      <c r="B149" s="424" t="s">
        <v>920</v>
      </c>
      <c r="C149" s="425" t="s">
        <v>921</v>
      </c>
      <c r="D149" s="348">
        <v>0</v>
      </c>
      <c r="E149" s="50"/>
      <c r="F149" s="376">
        <v>0</v>
      </c>
      <c r="G149" s="376"/>
      <c r="H149" s="376">
        <v>0</v>
      </c>
      <c r="I149" s="348"/>
      <c r="J149" s="50">
        <v>0</v>
      </c>
      <c r="K149" s="50">
        <v>0</v>
      </c>
      <c r="L149" s="376">
        <v>0</v>
      </c>
      <c r="M149" s="376"/>
      <c r="N149" s="348"/>
      <c r="O149" s="348"/>
      <c r="P149" s="348"/>
      <c r="Q149" s="348"/>
    </row>
    <row r="150" spans="1:17" x14ac:dyDescent="0.45">
      <c r="A150" s="313">
        <v>25</v>
      </c>
      <c r="B150" s="424" t="s">
        <v>922</v>
      </c>
      <c r="C150" s="425" t="s">
        <v>1761</v>
      </c>
      <c r="D150" s="348">
        <v>60144</v>
      </c>
      <c r="E150" s="50"/>
      <c r="F150" s="376">
        <v>0</v>
      </c>
      <c r="G150" s="376"/>
      <c r="H150" s="376">
        <v>0</v>
      </c>
      <c r="I150" s="348"/>
      <c r="J150" s="50">
        <v>60144</v>
      </c>
      <c r="K150" s="50">
        <v>30508</v>
      </c>
      <c r="L150" s="376">
        <v>29636</v>
      </c>
      <c r="M150" s="376"/>
      <c r="N150" s="348"/>
      <c r="O150" s="348"/>
      <c r="P150" s="348"/>
      <c r="Q150" s="348"/>
    </row>
    <row r="151" spans="1:17" x14ac:dyDescent="0.45">
      <c r="A151" s="313">
        <v>26</v>
      </c>
      <c r="B151" s="424" t="s">
        <v>923</v>
      </c>
      <c r="C151" s="425" t="s">
        <v>1762</v>
      </c>
      <c r="D151" s="348">
        <v>261</v>
      </c>
      <c r="E151" s="50"/>
      <c r="F151" s="376">
        <v>0</v>
      </c>
      <c r="G151" s="376"/>
      <c r="H151" s="376">
        <v>0</v>
      </c>
      <c r="I151" s="348"/>
      <c r="J151" s="50">
        <v>261</v>
      </c>
      <c r="K151" s="50">
        <v>132</v>
      </c>
      <c r="L151" s="376">
        <v>129</v>
      </c>
      <c r="M151" s="376"/>
      <c r="N151" s="348"/>
      <c r="O151" s="348"/>
      <c r="P151" s="348"/>
      <c r="Q151" s="348"/>
    </row>
    <row r="152" spans="1:17" x14ac:dyDescent="0.45">
      <c r="A152" s="313">
        <v>27</v>
      </c>
      <c r="B152" s="424" t="s">
        <v>924</v>
      </c>
      <c r="C152" s="425" t="s">
        <v>925</v>
      </c>
      <c r="D152" s="348">
        <v>1317509651</v>
      </c>
      <c r="E152" s="50"/>
      <c r="F152" s="348">
        <v>1258772521</v>
      </c>
      <c r="G152" s="50"/>
      <c r="H152" s="348">
        <v>57404626</v>
      </c>
      <c r="I152" s="348"/>
      <c r="J152" s="50">
        <v>1332504</v>
      </c>
      <c r="K152" s="50">
        <v>1198502</v>
      </c>
      <c r="L152" s="348">
        <v>134002</v>
      </c>
      <c r="M152" s="348"/>
      <c r="N152" s="348"/>
      <c r="O152" s="348"/>
      <c r="P152" s="348"/>
      <c r="Q152" s="348"/>
    </row>
    <row r="153" spans="1:17" x14ac:dyDescent="0.45">
      <c r="A153" s="313">
        <v>28</v>
      </c>
      <c r="B153" s="424" t="s">
        <v>1343</v>
      </c>
      <c r="C153" s="425" t="s">
        <v>1344</v>
      </c>
      <c r="D153" s="348">
        <v>102707660</v>
      </c>
      <c r="E153" s="50"/>
      <c r="F153" s="348">
        <v>8230429</v>
      </c>
      <c r="G153" s="50"/>
      <c r="H153" s="348">
        <v>94477230</v>
      </c>
      <c r="I153" s="348"/>
      <c r="J153" s="50">
        <v>0</v>
      </c>
      <c r="K153" s="50">
        <v>0</v>
      </c>
      <c r="L153" s="348">
        <v>0</v>
      </c>
      <c r="M153" s="348"/>
      <c r="N153" s="348"/>
      <c r="O153" s="348"/>
      <c r="P153" s="348"/>
      <c r="Q153" s="348"/>
    </row>
    <row r="154" spans="1:17" x14ac:dyDescent="0.45">
      <c r="A154" s="313">
        <v>29</v>
      </c>
      <c r="B154" s="424" t="s">
        <v>1345</v>
      </c>
      <c r="C154" s="428" t="s">
        <v>1919</v>
      </c>
      <c r="D154" s="348">
        <v>987129300</v>
      </c>
      <c r="E154" s="50"/>
      <c r="F154" s="348">
        <v>921791437</v>
      </c>
      <c r="G154" s="50"/>
      <c r="H154" s="348">
        <v>65337864</v>
      </c>
      <c r="I154" s="348"/>
      <c r="J154" s="50">
        <v>0</v>
      </c>
      <c r="K154" s="50">
        <v>0</v>
      </c>
      <c r="L154" s="348">
        <v>0</v>
      </c>
      <c r="M154" s="348"/>
      <c r="N154" s="348"/>
      <c r="O154" s="348"/>
      <c r="P154" s="348"/>
      <c r="Q154" s="348"/>
    </row>
    <row r="155" spans="1:17" x14ac:dyDescent="0.45">
      <c r="A155" s="313">
        <v>30</v>
      </c>
      <c r="B155" s="424" t="s">
        <v>1346</v>
      </c>
      <c r="C155" s="425" t="s">
        <v>1347</v>
      </c>
      <c r="D155" s="348">
        <v>10907444068</v>
      </c>
      <c r="E155" s="50"/>
      <c r="F155" s="348">
        <v>10194926070</v>
      </c>
      <c r="G155" s="50"/>
      <c r="H155" s="348">
        <v>568609349</v>
      </c>
      <c r="I155" s="348"/>
      <c r="J155" s="50">
        <v>143908648</v>
      </c>
      <c r="K155" s="50">
        <v>75298903</v>
      </c>
      <c r="L155" s="348">
        <v>68609745</v>
      </c>
      <c r="M155" s="348"/>
      <c r="N155" s="348"/>
      <c r="O155" s="348"/>
      <c r="P155" s="348"/>
      <c r="Q155" s="348"/>
    </row>
    <row r="156" spans="1:17" x14ac:dyDescent="0.45">
      <c r="A156" s="313">
        <v>31</v>
      </c>
      <c r="B156" s="424" t="s">
        <v>1348</v>
      </c>
      <c r="C156" s="425" t="s">
        <v>1349</v>
      </c>
      <c r="D156" s="348">
        <v>10194926070</v>
      </c>
      <c r="E156" s="50"/>
      <c r="F156" s="348">
        <v>10194926070</v>
      </c>
      <c r="G156" s="376"/>
      <c r="H156" s="376">
        <v>0</v>
      </c>
      <c r="I156" s="348"/>
      <c r="J156" s="50">
        <v>0</v>
      </c>
      <c r="K156" s="50">
        <v>0</v>
      </c>
      <c r="L156" s="376">
        <v>0</v>
      </c>
      <c r="M156" s="376"/>
      <c r="N156" s="348"/>
      <c r="O156" s="376"/>
      <c r="P156" s="376"/>
      <c r="Q156" s="376"/>
    </row>
    <row r="157" spans="1:17" x14ac:dyDescent="0.45">
      <c r="A157" s="313">
        <v>32</v>
      </c>
      <c r="B157" s="424" t="s">
        <v>1350</v>
      </c>
      <c r="C157" s="425" t="s">
        <v>1351</v>
      </c>
      <c r="D157" s="348">
        <v>10338834718</v>
      </c>
      <c r="E157" s="50"/>
      <c r="F157" s="348">
        <v>10194926070</v>
      </c>
      <c r="G157" s="376"/>
      <c r="H157" s="376">
        <v>0</v>
      </c>
      <c r="I157" s="348"/>
      <c r="J157" s="50">
        <v>143908648</v>
      </c>
      <c r="K157" s="50">
        <v>75298903</v>
      </c>
      <c r="L157" s="376">
        <v>68609745</v>
      </c>
      <c r="M157" s="376"/>
      <c r="N157" s="348"/>
      <c r="O157" s="348"/>
      <c r="P157" s="348"/>
      <c r="Q157" s="348"/>
    </row>
    <row r="158" spans="1:17" x14ac:dyDescent="0.45">
      <c r="A158" s="313">
        <v>33</v>
      </c>
      <c r="B158" s="424" t="s">
        <v>1352</v>
      </c>
      <c r="C158" s="425" t="s">
        <v>1353</v>
      </c>
      <c r="D158" s="348">
        <v>568609349</v>
      </c>
      <c r="E158" s="50"/>
      <c r="F158" s="376">
        <v>0</v>
      </c>
      <c r="G158" s="376"/>
      <c r="H158" s="348">
        <v>568609349</v>
      </c>
      <c r="I158" s="348"/>
      <c r="J158" s="50">
        <v>0</v>
      </c>
      <c r="K158" s="50">
        <v>0</v>
      </c>
      <c r="L158" s="376">
        <v>0</v>
      </c>
      <c r="M158" s="348"/>
      <c r="N158" s="348"/>
      <c r="O158" s="376"/>
      <c r="P158" s="376"/>
      <c r="Q158" s="376"/>
    </row>
    <row r="159" spans="1:17" x14ac:dyDescent="0.45">
      <c r="A159" s="313">
        <v>34</v>
      </c>
      <c r="B159" s="424" t="s">
        <v>1354</v>
      </c>
      <c r="C159" s="425" t="s">
        <v>1355</v>
      </c>
      <c r="D159" s="348">
        <v>5647302128</v>
      </c>
      <c r="E159" s="50"/>
      <c r="F159" s="348">
        <v>5293534982</v>
      </c>
      <c r="G159" s="50"/>
      <c r="H159" s="348">
        <v>241936163</v>
      </c>
      <c r="I159" s="348"/>
      <c r="J159" s="50">
        <v>111830983</v>
      </c>
      <c r="K159" s="50">
        <v>56726932</v>
      </c>
      <c r="L159" s="348">
        <v>55104051</v>
      </c>
      <c r="M159" s="348"/>
      <c r="N159" s="348"/>
      <c r="O159" s="348"/>
      <c r="P159" s="348"/>
      <c r="Q159" s="348"/>
    </row>
    <row r="160" spans="1:17" x14ac:dyDescent="0.45">
      <c r="A160" s="313">
        <v>35</v>
      </c>
      <c r="B160" s="424" t="s">
        <v>1356</v>
      </c>
      <c r="C160" s="425" t="s">
        <v>1357</v>
      </c>
      <c r="D160" s="348">
        <v>49393380</v>
      </c>
      <c r="E160" s="50"/>
      <c r="F160" s="348">
        <v>46332385</v>
      </c>
      <c r="G160" s="50"/>
      <c r="H160" s="348">
        <v>2097571</v>
      </c>
      <c r="I160" s="348"/>
      <c r="J160" s="50">
        <v>963423</v>
      </c>
      <c r="K160" s="50">
        <v>488702</v>
      </c>
      <c r="L160" s="348">
        <v>474721</v>
      </c>
      <c r="M160" s="348"/>
      <c r="N160" s="348"/>
      <c r="O160" s="348"/>
      <c r="P160" s="348"/>
      <c r="Q160" s="348"/>
    </row>
    <row r="161" spans="1:17" x14ac:dyDescent="0.45">
      <c r="A161" s="313">
        <v>36</v>
      </c>
      <c r="B161" s="424" t="s">
        <v>1358</v>
      </c>
      <c r="C161" s="425" t="s">
        <v>1359</v>
      </c>
      <c r="D161" s="348">
        <v>1113844785</v>
      </c>
      <c r="E161" s="50"/>
      <c r="F161" s="348">
        <v>1044928837</v>
      </c>
      <c r="G161" s="50"/>
      <c r="H161" s="348">
        <v>47139984</v>
      </c>
      <c r="I161" s="348"/>
      <c r="J161" s="50">
        <v>21775964</v>
      </c>
      <c r="K161" s="50">
        <v>11045987</v>
      </c>
      <c r="L161" s="348">
        <v>10729977</v>
      </c>
      <c r="M161" s="348"/>
      <c r="N161" s="348"/>
      <c r="O161" s="348"/>
      <c r="P161" s="348"/>
      <c r="Q161" s="348"/>
    </row>
    <row r="162" spans="1:17" x14ac:dyDescent="0.45">
      <c r="A162" s="313">
        <v>37</v>
      </c>
      <c r="B162" s="424" t="s">
        <v>857</v>
      </c>
      <c r="C162" s="428" t="s">
        <v>1920</v>
      </c>
      <c r="D162" s="348">
        <v>355388706</v>
      </c>
      <c r="E162" s="50"/>
      <c r="F162" s="348">
        <v>341731105</v>
      </c>
      <c r="G162" s="50"/>
      <c r="H162" s="348">
        <v>10176438</v>
      </c>
      <c r="I162" s="348"/>
      <c r="J162" s="50">
        <v>3481163</v>
      </c>
      <c r="K162" s="50">
        <v>3481163</v>
      </c>
      <c r="L162" s="348">
        <v>0</v>
      </c>
      <c r="M162" s="348"/>
      <c r="N162" s="348"/>
      <c r="O162" s="348"/>
      <c r="P162" s="348"/>
      <c r="Q162" s="348"/>
    </row>
    <row r="163" spans="1:17" x14ac:dyDescent="0.45">
      <c r="A163" s="313">
        <v>38</v>
      </c>
      <c r="B163" s="424" t="s">
        <v>858</v>
      </c>
      <c r="C163" s="428" t="s">
        <v>1921</v>
      </c>
      <c r="D163" s="348">
        <v>253074205</v>
      </c>
      <c r="E163" s="50"/>
      <c r="F163" s="348">
        <v>247685954</v>
      </c>
      <c r="G163" s="50"/>
      <c r="H163" s="348">
        <v>5388250</v>
      </c>
      <c r="I163" s="348"/>
      <c r="J163" s="50">
        <v>0</v>
      </c>
      <c r="K163" s="50">
        <v>0</v>
      </c>
      <c r="L163" s="348">
        <v>0</v>
      </c>
      <c r="M163" s="348"/>
      <c r="N163" s="348"/>
      <c r="O163" s="348"/>
      <c r="P163" s="348"/>
      <c r="Q163" s="348"/>
    </row>
    <row r="164" spans="1:17" x14ac:dyDescent="0.45">
      <c r="A164" s="313">
        <v>39</v>
      </c>
      <c r="B164" s="424" t="s">
        <v>859</v>
      </c>
      <c r="C164" s="428" t="s">
        <v>1922</v>
      </c>
      <c r="D164" s="348">
        <v>147331333</v>
      </c>
      <c r="E164" s="50"/>
      <c r="F164" s="348">
        <v>143087299</v>
      </c>
      <c r="G164" s="50"/>
      <c r="H164" s="348">
        <v>4244034</v>
      </c>
      <c r="I164" s="348"/>
      <c r="J164" s="50">
        <v>0</v>
      </c>
      <c r="K164" s="50">
        <v>0</v>
      </c>
      <c r="L164" s="348">
        <v>0</v>
      </c>
      <c r="M164" s="348"/>
      <c r="N164" s="348"/>
      <c r="O164" s="348"/>
      <c r="P164" s="348"/>
      <c r="Q164" s="348"/>
    </row>
    <row r="165" spans="1:17" x14ac:dyDescent="0.45">
      <c r="A165" s="313">
        <v>40</v>
      </c>
      <c r="B165" s="424" t="s">
        <v>860</v>
      </c>
      <c r="C165" s="428" t="s">
        <v>1923</v>
      </c>
      <c r="D165" s="348">
        <v>81388221</v>
      </c>
      <c r="E165" s="50"/>
      <c r="F165" s="348">
        <v>77153432</v>
      </c>
      <c r="G165" s="50"/>
      <c r="H165" s="348">
        <v>4187481</v>
      </c>
      <c r="I165" s="348"/>
      <c r="J165" s="50">
        <v>47308</v>
      </c>
      <c r="K165" s="50">
        <v>20456</v>
      </c>
      <c r="L165" s="348">
        <v>26852</v>
      </c>
      <c r="M165" s="348"/>
      <c r="N165" s="348"/>
      <c r="O165" s="348"/>
      <c r="P165" s="348"/>
      <c r="Q165" s="348"/>
    </row>
    <row r="166" spans="1:17" x14ac:dyDescent="0.45">
      <c r="A166" s="313">
        <v>41</v>
      </c>
      <c r="B166" s="424" t="s">
        <v>861</v>
      </c>
      <c r="C166" s="428" t="s">
        <v>1924</v>
      </c>
      <c r="D166" s="348">
        <v>159234</v>
      </c>
      <c r="E166" s="50"/>
      <c r="F166" s="348">
        <v>159234</v>
      </c>
      <c r="G166" s="50"/>
      <c r="H166" s="348">
        <v>0</v>
      </c>
      <c r="I166" s="348"/>
      <c r="J166" s="50">
        <v>0</v>
      </c>
      <c r="K166" s="50">
        <v>0</v>
      </c>
      <c r="L166" s="348">
        <v>0</v>
      </c>
      <c r="M166" s="348"/>
      <c r="N166" s="348"/>
      <c r="O166" s="348"/>
      <c r="P166" s="348"/>
      <c r="Q166" s="348"/>
    </row>
    <row r="167" spans="1:17" x14ac:dyDescent="0.45">
      <c r="A167" s="313">
        <v>42</v>
      </c>
      <c r="B167" s="424" t="s">
        <v>862</v>
      </c>
      <c r="C167" s="428" t="s">
        <v>1925</v>
      </c>
      <c r="D167" s="348">
        <v>337620039</v>
      </c>
      <c r="E167" s="50"/>
      <c r="F167" s="348">
        <v>326558524</v>
      </c>
      <c r="G167" s="50"/>
      <c r="H167" s="348">
        <v>11061515</v>
      </c>
      <c r="I167" s="348"/>
      <c r="J167" s="50">
        <v>0</v>
      </c>
      <c r="K167" s="50">
        <v>0</v>
      </c>
      <c r="L167" s="348">
        <v>0</v>
      </c>
      <c r="M167" s="348"/>
      <c r="N167" s="348"/>
      <c r="O167" s="348"/>
      <c r="P167" s="348"/>
      <c r="Q167" s="348"/>
    </row>
    <row r="168" spans="1:17" x14ac:dyDescent="0.45">
      <c r="A168" s="313">
        <v>43</v>
      </c>
      <c r="B168" s="424" t="s">
        <v>863</v>
      </c>
      <c r="C168" s="428" t="s">
        <v>1926</v>
      </c>
      <c r="D168" s="348">
        <v>37892980</v>
      </c>
      <c r="E168" s="50"/>
      <c r="F168" s="348">
        <v>36035833</v>
      </c>
      <c r="G168" s="50"/>
      <c r="H168" s="348">
        <v>1841877</v>
      </c>
      <c r="I168" s="348"/>
      <c r="J168" s="50">
        <v>15270</v>
      </c>
      <c r="K168" s="50">
        <v>6108</v>
      </c>
      <c r="L168" s="348">
        <v>9162</v>
      </c>
      <c r="M168" s="348"/>
      <c r="N168" s="348"/>
      <c r="O168" s="348"/>
      <c r="P168" s="348"/>
      <c r="Q168" s="348"/>
    </row>
    <row r="169" spans="1:17" x14ac:dyDescent="0.45">
      <c r="A169" s="313">
        <v>44</v>
      </c>
      <c r="B169" s="424" t="s">
        <v>864</v>
      </c>
      <c r="C169" s="428" t="s">
        <v>1927</v>
      </c>
      <c r="D169" s="348">
        <v>10959826</v>
      </c>
      <c r="E169" s="50"/>
      <c r="F169" s="348">
        <v>10870488</v>
      </c>
      <c r="G169" s="50"/>
      <c r="H169" s="348">
        <v>89338</v>
      </c>
      <c r="I169" s="348"/>
      <c r="J169" s="50">
        <v>0</v>
      </c>
      <c r="K169" s="50">
        <v>0</v>
      </c>
      <c r="L169" s="348">
        <v>0</v>
      </c>
      <c r="M169" s="348"/>
      <c r="N169" s="348"/>
      <c r="O169" s="348"/>
      <c r="P169" s="348"/>
      <c r="Q169" s="348"/>
    </row>
    <row r="170" spans="1:17" x14ac:dyDescent="0.45">
      <c r="A170" s="313">
        <v>45</v>
      </c>
      <c r="B170" s="424" t="s">
        <v>865</v>
      </c>
      <c r="C170" s="425" t="s">
        <v>866</v>
      </c>
      <c r="D170" s="348">
        <v>3714069770</v>
      </c>
      <c r="E170" s="50"/>
      <c r="F170" s="348">
        <v>3450624884</v>
      </c>
      <c r="G170" s="50"/>
      <c r="H170" s="348">
        <v>258583911</v>
      </c>
      <c r="I170" s="348"/>
      <c r="J170" s="50">
        <v>4860975</v>
      </c>
      <c r="K170" s="50">
        <v>4700121</v>
      </c>
      <c r="L170" s="348">
        <v>160854</v>
      </c>
      <c r="M170" s="348"/>
      <c r="N170" s="348"/>
      <c r="O170" s="348"/>
      <c r="P170" s="348"/>
      <c r="Q170" s="348"/>
    </row>
    <row r="171" spans="1:17" x14ac:dyDescent="0.45">
      <c r="A171" s="45"/>
      <c r="B171" s="45"/>
      <c r="C171" s="312"/>
      <c r="D171" s="45"/>
      <c r="E171" s="45"/>
      <c r="F171" s="45"/>
      <c r="G171" s="45"/>
      <c r="H171" s="45"/>
      <c r="I171" s="45"/>
      <c r="J171" s="45"/>
      <c r="K171" s="45"/>
      <c r="L171" s="45"/>
      <c r="M171" s="45"/>
      <c r="N171" s="45"/>
      <c r="O171" s="45"/>
      <c r="P171" s="45"/>
      <c r="Q171" s="45"/>
    </row>
    <row r="172" spans="1:17" x14ac:dyDescent="0.45">
      <c r="A172" s="45"/>
      <c r="B172" s="432" t="s">
        <v>867</v>
      </c>
      <c r="C172" s="312"/>
      <c r="D172" s="45"/>
      <c r="E172" s="45"/>
      <c r="F172" s="45"/>
      <c r="G172" s="45"/>
      <c r="H172" s="45"/>
      <c r="I172" s="45"/>
      <c r="J172" s="45"/>
      <c r="K172" s="45"/>
      <c r="L172" s="45"/>
      <c r="M172" s="45"/>
      <c r="N172" s="45"/>
      <c r="O172" s="45"/>
      <c r="P172" s="45"/>
      <c r="Q172" s="45"/>
    </row>
    <row r="173" spans="1:17" x14ac:dyDescent="0.45">
      <c r="A173" s="45"/>
      <c r="B173" s="431" t="s">
        <v>1266</v>
      </c>
      <c r="C173" s="312"/>
      <c r="D173" s="45"/>
      <c r="E173" s="45"/>
      <c r="F173" s="45"/>
      <c r="G173" s="45"/>
      <c r="H173" s="45"/>
      <c r="I173" s="45"/>
      <c r="J173" s="45"/>
      <c r="K173" s="45"/>
      <c r="L173" s="45"/>
      <c r="M173" s="45"/>
      <c r="N173" s="45"/>
      <c r="O173" s="45"/>
      <c r="P173" s="45"/>
      <c r="Q173" s="45"/>
    </row>
    <row r="174" spans="1:17" x14ac:dyDescent="0.45">
      <c r="A174" s="313">
        <v>1</v>
      </c>
      <c r="B174" s="424" t="s">
        <v>868</v>
      </c>
      <c r="C174" s="428" t="s">
        <v>1928</v>
      </c>
      <c r="D174" s="348">
        <v>1223256</v>
      </c>
      <c r="E174" s="50"/>
      <c r="F174" s="348">
        <v>1162136</v>
      </c>
      <c r="G174" s="50"/>
      <c r="H174" s="348">
        <v>61120</v>
      </c>
      <c r="I174" s="348"/>
      <c r="J174" s="50">
        <v>0</v>
      </c>
      <c r="K174" s="50">
        <v>0</v>
      </c>
      <c r="L174" s="348">
        <v>0</v>
      </c>
      <c r="M174" s="348"/>
      <c r="N174" s="348"/>
      <c r="O174" s="348"/>
      <c r="P174" s="348"/>
      <c r="Q174" s="348"/>
    </row>
    <row r="175" spans="1:17" x14ac:dyDescent="0.45">
      <c r="A175" s="313">
        <v>2</v>
      </c>
      <c r="B175" s="424" t="s">
        <v>869</v>
      </c>
      <c r="C175" s="425" t="s">
        <v>870</v>
      </c>
      <c r="D175" s="348">
        <v>24197154</v>
      </c>
      <c r="E175" s="50"/>
      <c r="F175" s="376">
        <v>0</v>
      </c>
      <c r="G175" s="376"/>
      <c r="H175" s="376">
        <v>0</v>
      </c>
      <c r="I175" s="348"/>
      <c r="J175" s="50">
        <v>24197154</v>
      </c>
      <c r="K175" s="50">
        <v>12350192</v>
      </c>
      <c r="L175" s="376">
        <v>11846962</v>
      </c>
      <c r="M175" s="376"/>
      <c r="N175" s="348"/>
      <c r="O175" s="348"/>
      <c r="P175" s="348"/>
      <c r="Q175" s="348"/>
    </row>
    <row r="176" spans="1:17" x14ac:dyDescent="0.45">
      <c r="A176" s="311">
        <v>3</v>
      </c>
      <c r="B176" s="308" t="s">
        <v>871</v>
      </c>
      <c r="C176" s="423" t="s">
        <v>872</v>
      </c>
      <c r="D176" s="371">
        <v>76228081</v>
      </c>
      <c r="E176" s="71"/>
      <c r="F176" s="378">
        <v>0</v>
      </c>
      <c r="G176" s="378"/>
      <c r="H176" s="371">
        <v>76228081</v>
      </c>
      <c r="I176" s="371"/>
      <c r="J176" s="71">
        <v>0</v>
      </c>
      <c r="K176" s="71">
        <v>0</v>
      </c>
      <c r="L176" s="378">
        <v>0</v>
      </c>
      <c r="M176" s="371"/>
      <c r="N176" s="371"/>
      <c r="O176" s="378"/>
      <c r="P176" s="378"/>
      <c r="Q176" s="378"/>
    </row>
    <row r="177" spans="1:17" x14ac:dyDescent="0.45">
      <c r="A177" s="311">
        <v>4</v>
      </c>
      <c r="B177" s="308" t="s">
        <v>873</v>
      </c>
      <c r="C177" s="423" t="s">
        <v>874</v>
      </c>
      <c r="D177" s="371">
        <v>1707060044</v>
      </c>
      <c r="E177" s="71"/>
      <c r="F177" s="371">
        <v>1606634809</v>
      </c>
      <c r="G177" s="71"/>
      <c r="H177" s="371">
        <v>76228081</v>
      </c>
      <c r="I177" s="371"/>
      <c r="J177" s="71">
        <v>24197154</v>
      </c>
      <c r="K177" s="71">
        <v>12350192</v>
      </c>
      <c r="L177" s="371">
        <v>11846962</v>
      </c>
      <c r="M177" s="371"/>
      <c r="N177" s="371"/>
      <c r="O177" s="371"/>
      <c r="P177" s="371"/>
      <c r="Q177" s="371"/>
    </row>
    <row r="178" spans="1:17" x14ac:dyDescent="0.45">
      <c r="A178" s="311">
        <v>5</v>
      </c>
      <c r="B178" s="308" t="s">
        <v>875</v>
      </c>
      <c r="C178" s="423" t="s">
        <v>876</v>
      </c>
      <c r="D178" s="371">
        <v>1</v>
      </c>
      <c r="E178" s="71"/>
      <c r="F178" s="378">
        <v>0</v>
      </c>
      <c r="G178" s="378"/>
      <c r="H178" s="378">
        <v>1</v>
      </c>
      <c r="I178" s="371"/>
      <c r="J178" s="71">
        <v>0</v>
      </c>
      <c r="K178" s="71">
        <v>0</v>
      </c>
      <c r="L178" s="378">
        <v>0</v>
      </c>
      <c r="M178" s="378"/>
      <c r="N178" s="371"/>
      <c r="O178" s="378"/>
      <c r="P178" s="378"/>
      <c r="Q178" s="378"/>
    </row>
    <row r="179" spans="1:17" x14ac:dyDescent="0.45">
      <c r="A179" s="311">
        <v>6</v>
      </c>
      <c r="B179" s="308" t="s">
        <v>877</v>
      </c>
      <c r="C179" s="423" t="s">
        <v>878</v>
      </c>
      <c r="D179" s="371">
        <v>1682862890</v>
      </c>
      <c r="E179" s="71"/>
      <c r="F179" s="371">
        <v>1606634809</v>
      </c>
      <c r="G179" s="71"/>
      <c r="H179" s="371">
        <v>76228081</v>
      </c>
      <c r="I179" s="371"/>
      <c r="J179" s="71">
        <v>0</v>
      </c>
      <c r="K179" s="71">
        <v>0</v>
      </c>
      <c r="L179" s="371">
        <v>0</v>
      </c>
      <c r="M179" s="371"/>
      <c r="N179" s="371"/>
      <c r="O179" s="378"/>
      <c r="P179" s="378"/>
      <c r="Q179" s="378"/>
    </row>
    <row r="180" spans="1:17" x14ac:dyDescent="0.45">
      <c r="A180" s="313">
        <v>7</v>
      </c>
      <c r="B180" s="424" t="s">
        <v>926</v>
      </c>
      <c r="C180" s="425" t="s">
        <v>927</v>
      </c>
      <c r="D180" s="348">
        <v>2187042871</v>
      </c>
      <c r="E180" s="50"/>
      <c r="F180" s="348">
        <v>2183514400</v>
      </c>
      <c r="G180" s="50"/>
      <c r="H180" s="348">
        <v>0</v>
      </c>
      <c r="I180" s="348"/>
      <c r="J180" s="50">
        <v>3528471</v>
      </c>
      <c r="K180" s="50">
        <v>3501619</v>
      </c>
      <c r="L180" s="348">
        <v>26852</v>
      </c>
      <c r="M180" s="348"/>
      <c r="N180" s="348"/>
      <c r="O180" s="348"/>
      <c r="P180" s="348"/>
      <c r="Q180" s="348"/>
    </row>
    <row r="181" spans="1:17" x14ac:dyDescent="0.45">
      <c r="A181" s="313">
        <v>8</v>
      </c>
      <c r="B181" s="424" t="s">
        <v>27</v>
      </c>
      <c r="C181" s="425" t="s">
        <v>28</v>
      </c>
      <c r="D181" s="348">
        <v>106702055</v>
      </c>
      <c r="E181" s="50"/>
      <c r="F181" s="348">
        <v>0</v>
      </c>
      <c r="G181" s="50"/>
      <c r="H181" s="348">
        <v>106702055</v>
      </c>
      <c r="I181" s="348"/>
      <c r="J181" s="50">
        <v>0</v>
      </c>
      <c r="K181" s="50">
        <v>0</v>
      </c>
      <c r="L181" s="348">
        <v>0</v>
      </c>
      <c r="M181" s="348"/>
      <c r="N181" s="348"/>
      <c r="O181" s="348"/>
      <c r="P181" s="348"/>
      <c r="Q181" s="348"/>
    </row>
    <row r="182" spans="1:17" x14ac:dyDescent="0.45">
      <c r="A182" s="313">
        <v>9</v>
      </c>
      <c r="B182" s="424" t="s">
        <v>29</v>
      </c>
      <c r="C182" s="425" t="s">
        <v>30</v>
      </c>
      <c r="D182" s="348">
        <v>107534</v>
      </c>
      <c r="E182" s="50"/>
      <c r="F182" s="348">
        <v>107534</v>
      </c>
      <c r="G182" s="50"/>
      <c r="H182" s="348">
        <v>0</v>
      </c>
      <c r="I182" s="348"/>
      <c r="J182" s="50">
        <v>0</v>
      </c>
      <c r="K182" s="50">
        <v>0</v>
      </c>
      <c r="L182" s="348">
        <v>0</v>
      </c>
      <c r="M182" s="348"/>
      <c r="N182" s="348"/>
      <c r="O182" s="348"/>
      <c r="P182" s="348"/>
      <c r="Q182" s="348"/>
    </row>
    <row r="183" spans="1:17" x14ac:dyDescent="0.45">
      <c r="A183" s="313">
        <v>10</v>
      </c>
      <c r="B183" s="424" t="s">
        <v>31</v>
      </c>
      <c r="C183" s="425" t="s">
        <v>32</v>
      </c>
      <c r="D183" s="348">
        <v>6984839359</v>
      </c>
      <c r="E183" s="50"/>
      <c r="F183" s="348">
        <v>6539627357</v>
      </c>
      <c r="G183" s="50"/>
      <c r="H183" s="348">
        <v>357505782</v>
      </c>
      <c r="I183" s="348"/>
      <c r="J183" s="50">
        <v>87706220</v>
      </c>
      <c r="K183" s="50">
        <v>46221270</v>
      </c>
      <c r="L183" s="348">
        <v>41484949</v>
      </c>
      <c r="M183" s="348"/>
      <c r="N183" s="348"/>
      <c r="O183" s="348"/>
      <c r="P183" s="348"/>
      <c r="Q183" s="348"/>
    </row>
    <row r="184" spans="1:17" x14ac:dyDescent="0.45">
      <c r="A184" s="313">
        <v>11</v>
      </c>
      <c r="B184" s="424" t="s">
        <v>33</v>
      </c>
      <c r="C184" s="425" t="s">
        <v>34</v>
      </c>
      <c r="D184" s="348">
        <v>6227209458</v>
      </c>
      <c r="E184" s="50"/>
      <c r="F184" s="348">
        <v>5830686181</v>
      </c>
      <c r="G184" s="50"/>
      <c r="H184" s="348">
        <v>318632787</v>
      </c>
      <c r="I184" s="348"/>
      <c r="J184" s="50">
        <v>77890490</v>
      </c>
      <c r="K184" s="50">
        <v>41081352</v>
      </c>
      <c r="L184" s="348">
        <v>36809138</v>
      </c>
      <c r="M184" s="348"/>
      <c r="N184" s="348"/>
      <c r="O184" s="348"/>
      <c r="P184" s="348"/>
      <c r="Q184" s="348"/>
    </row>
    <row r="185" spans="1:17" x14ac:dyDescent="0.45">
      <c r="A185" s="313">
        <v>12</v>
      </c>
      <c r="B185" s="424" t="s">
        <v>35</v>
      </c>
      <c r="C185" s="425" t="s">
        <v>518</v>
      </c>
      <c r="D185" s="348">
        <v>336337</v>
      </c>
      <c r="E185" s="50"/>
      <c r="F185" s="348">
        <v>259523</v>
      </c>
      <c r="G185" s="50"/>
      <c r="H185" s="348">
        <v>0</v>
      </c>
      <c r="I185" s="348"/>
      <c r="J185" s="50">
        <v>76815</v>
      </c>
      <c r="K185" s="50">
        <v>38965</v>
      </c>
      <c r="L185" s="348">
        <v>37850</v>
      </c>
      <c r="M185" s="348"/>
      <c r="N185" s="348"/>
      <c r="O185" s="348"/>
      <c r="P185" s="348"/>
      <c r="Q185" s="348"/>
    </row>
    <row r="186" spans="1:17" x14ac:dyDescent="0.45">
      <c r="A186" s="313">
        <v>13</v>
      </c>
      <c r="B186" s="424" t="s">
        <v>36</v>
      </c>
      <c r="C186" s="425" t="s">
        <v>2135</v>
      </c>
      <c r="D186" s="348">
        <v>-21857193</v>
      </c>
      <c r="E186" s="50"/>
      <c r="F186" s="348">
        <v>-20510025</v>
      </c>
      <c r="G186" s="50"/>
      <c r="H186" s="348">
        <v>-1057655</v>
      </c>
      <c r="I186" s="348"/>
      <c r="J186" s="50">
        <v>-289513</v>
      </c>
      <c r="K186" s="50">
        <v>-151485</v>
      </c>
      <c r="L186" s="348">
        <v>-138028</v>
      </c>
      <c r="M186" s="348"/>
      <c r="N186" s="348"/>
      <c r="O186" s="348"/>
      <c r="P186" s="348"/>
      <c r="Q186" s="348"/>
    </row>
    <row r="187" spans="1:17" x14ac:dyDescent="0.45">
      <c r="A187" s="313">
        <v>14</v>
      </c>
      <c r="B187" s="424" t="s">
        <v>37</v>
      </c>
      <c r="C187" s="428" t="s">
        <v>1929</v>
      </c>
      <c r="D187" s="348">
        <v>350176427</v>
      </c>
      <c r="E187" s="50"/>
      <c r="F187" s="348">
        <v>329561764</v>
      </c>
      <c r="G187" s="50"/>
      <c r="H187" s="348">
        <v>13529586</v>
      </c>
      <c r="I187" s="348"/>
      <c r="J187" s="50">
        <v>7085076</v>
      </c>
      <c r="K187" s="50">
        <v>3629601</v>
      </c>
      <c r="L187" s="348">
        <v>3455475</v>
      </c>
      <c r="M187" s="348"/>
      <c r="N187" s="348"/>
      <c r="O187" s="348"/>
      <c r="P187" s="348"/>
      <c r="Q187" s="348"/>
    </row>
    <row r="188" spans="1:17" x14ac:dyDescent="0.45">
      <c r="A188" s="313">
        <v>15</v>
      </c>
      <c r="B188" s="424" t="s">
        <v>38</v>
      </c>
      <c r="C188" s="428" t="s">
        <v>1930</v>
      </c>
      <c r="D188" s="348">
        <v>79315959</v>
      </c>
      <c r="E188" s="50"/>
      <c r="F188" s="348">
        <v>74976830</v>
      </c>
      <c r="G188" s="50"/>
      <c r="H188" s="348">
        <v>2851406</v>
      </c>
      <c r="I188" s="348"/>
      <c r="J188" s="50">
        <v>1487723</v>
      </c>
      <c r="K188" s="50">
        <v>761853</v>
      </c>
      <c r="L188" s="348">
        <v>725870</v>
      </c>
      <c r="M188" s="348"/>
      <c r="N188" s="348"/>
      <c r="O188" s="348"/>
      <c r="P188" s="348"/>
      <c r="Q188" s="348"/>
    </row>
    <row r="189" spans="1:17" x14ac:dyDescent="0.45">
      <c r="A189" s="313">
        <v>16</v>
      </c>
      <c r="B189" s="424" t="s">
        <v>39</v>
      </c>
      <c r="C189" s="428" t="s">
        <v>1931</v>
      </c>
      <c r="D189" s="348">
        <v>11310</v>
      </c>
      <c r="E189" s="50"/>
      <c r="F189" s="348">
        <v>10609</v>
      </c>
      <c r="G189" s="50"/>
      <c r="H189" s="348">
        <v>480</v>
      </c>
      <c r="I189" s="348"/>
      <c r="J189" s="50">
        <v>221</v>
      </c>
      <c r="K189" s="50">
        <v>112</v>
      </c>
      <c r="L189" s="348">
        <v>109</v>
      </c>
      <c r="M189" s="348"/>
      <c r="N189" s="348"/>
      <c r="O189" s="348"/>
      <c r="P189" s="348"/>
      <c r="Q189" s="348"/>
    </row>
    <row r="190" spans="1:17" x14ac:dyDescent="0.45">
      <c r="A190" s="313">
        <v>17</v>
      </c>
      <c r="B190" s="424" t="s">
        <v>40</v>
      </c>
      <c r="C190" s="428" t="s">
        <v>1932</v>
      </c>
      <c r="D190" s="348">
        <v>422005</v>
      </c>
      <c r="E190" s="50"/>
      <c r="F190" s="348">
        <v>396157</v>
      </c>
      <c r="G190" s="50"/>
      <c r="H190" s="348">
        <v>17549</v>
      </c>
      <c r="I190" s="348"/>
      <c r="J190" s="50">
        <v>8299</v>
      </c>
      <c r="K190" s="50">
        <v>4220</v>
      </c>
      <c r="L190" s="348">
        <v>4079</v>
      </c>
      <c r="M190" s="348"/>
      <c r="N190" s="348"/>
      <c r="O190" s="348"/>
      <c r="P190" s="348"/>
      <c r="Q190" s="348"/>
    </row>
    <row r="191" spans="1:17" x14ac:dyDescent="0.45">
      <c r="A191" s="313">
        <v>18</v>
      </c>
      <c r="B191" s="424" t="s">
        <v>41</v>
      </c>
      <c r="C191" s="428" t="s">
        <v>1933</v>
      </c>
      <c r="D191" s="348">
        <v>114457438</v>
      </c>
      <c r="E191" s="50"/>
      <c r="F191" s="348">
        <v>107796268</v>
      </c>
      <c r="G191" s="50"/>
      <c r="H191" s="348">
        <v>4332439</v>
      </c>
      <c r="I191" s="348"/>
      <c r="J191" s="50">
        <v>2328732</v>
      </c>
      <c r="K191" s="50">
        <v>1195192</v>
      </c>
      <c r="L191" s="348">
        <v>1133540</v>
      </c>
      <c r="M191" s="348"/>
      <c r="N191" s="348"/>
      <c r="O191" s="348"/>
      <c r="P191" s="348"/>
      <c r="Q191" s="348"/>
    </row>
    <row r="192" spans="1:17" x14ac:dyDescent="0.45">
      <c r="A192" s="313">
        <v>19</v>
      </c>
      <c r="B192" s="424" t="s">
        <v>42</v>
      </c>
      <c r="C192" s="428" t="s">
        <v>1934</v>
      </c>
      <c r="D192" s="348">
        <v>15157969</v>
      </c>
      <c r="E192" s="50"/>
      <c r="F192" s="348">
        <v>14093149</v>
      </c>
      <c r="G192" s="50"/>
      <c r="H192" s="348">
        <v>724171</v>
      </c>
      <c r="I192" s="348"/>
      <c r="J192" s="50">
        <v>340649</v>
      </c>
      <c r="K192" s="50">
        <v>172796</v>
      </c>
      <c r="L192" s="348">
        <v>167853</v>
      </c>
      <c r="M192" s="348"/>
      <c r="N192" s="348"/>
      <c r="O192" s="348"/>
      <c r="P192" s="348"/>
      <c r="Q192" s="348"/>
    </row>
    <row r="193" spans="1:17" x14ac:dyDescent="0.45">
      <c r="A193" s="313">
        <v>20</v>
      </c>
      <c r="B193" s="424" t="s">
        <v>43</v>
      </c>
      <c r="C193" s="425" t="s">
        <v>44</v>
      </c>
      <c r="D193" s="348">
        <v>0</v>
      </c>
      <c r="E193" s="50"/>
      <c r="F193" s="348">
        <v>0</v>
      </c>
      <c r="G193" s="50"/>
      <c r="H193" s="348">
        <v>0</v>
      </c>
      <c r="I193" s="348"/>
      <c r="J193" s="50">
        <v>0</v>
      </c>
      <c r="K193" s="50">
        <v>0</v>
      </c>
      <c r="L193" s="348">
        <v>0</v>
      </c>
      <c r="M193" s="348"/>
      <c r="N193" s="348"/>
      <c r="O193" s="348"/>
      <c r="P193" s="348"/>
      <c r="Q193" s="348"/>
    </row>
    <row r="194" spans="1:17" x14ac:dyDescent="0.45">
      <c r="A194" s="313">
        <v>21</v>
      </c>
      <c r="B194" s="424" t="s">
        <v>45</v>
      </c>
      <c r="C194" s="425" t="s">
        <v>46</v>
      </c>
      <c r="D194" s="348">
        <v>0</v>
      </c>
      <c r="E194" s="50"/>
      <c r="F194" s="348">
        <v>0</v>
      </c>
      <c r="G194" s="50"/>
      <c r="H194" s="348">
        <v>0</v>
      </c>
      <c r="I194" s="348"/>
      <c r="J194" s="50">
        <v>0</v>
      </c>
      <c r="K194" s="50">
        <v>0</v>
      </c>
      <c r="L194" s="348">
        <v>0</v>
      </c>
      <c r="M194" s="348"/>
      <c r="N194" s="348"/>
      <c r="O194" s="348"/>
      <c r="P194" s="348"/>
      <c r="Q194" s="348"/>
    </row>
    <row r="195" spans="1:17" x14ac:dyDescent="0.45">
      <c r="A195" s="313">
        <v>22</v>
      </c>
      <c r="B195" s="424" t="s">
        <v>47</v>
      </c>
      <c r="C195" s="425" t="s">
        <v>48</v>
      </c>
      <c r="D195" s="348">
        <v>0</v>
      </c>
      <c r="E195" s="50"/>
      <c r="F195" s="348">
        <v>0</v>
      </c>
      <c r="G195" s="50"/>
      <c r="H195" s="348">
        <v>0</v>
      </c>
      <c r="I195" s="348"/>
      <c r="J195" s="50">
        <v>0</v>
      </c>
      <c r="K195" s="50">
        <v>0</v>
      </c>
      <c r="L195" s="348">
        <v>0</v>
      </c>
      <c r="M195" s="348"/>
      <c r="N195" s="348"/>
      <c r="O195" s="348"/>
      <c r="P195" s="348"/>
      <c r="Q195" s="348"/>
    </row>
    <row r="196" spans="1:17" x14ac:dyDescent="0.45">
      <c r="A196" s="313">
        <v>23</v>
      </c>
      <c r="B196" s="424" t="s">
        <v>49</v>
      </c>
      <c r="C196" s="425" t="s">
        <v>50</v>
      </c>
      <c r="D196" s="348">
        <v>0</v>
      </c>
      <c r="E196" s="50"/>
      <c r="F196" s="348">
        <v>0</v>
      </c>
      <c r="G196" s="50"/>
      <c r="H196" s="348">
        <v>0</v>
      </c>
      <c r="I196" s="348"/>
      <c r="J196" s="50">
        <v>0</v>
      </c>
      <c r="K196" s="50">
        <v>0</v>
      </c>
      <c r="L196" s="348">
        <v>0</v>
      </c>
      <c r="M196" s="348"/>
      <c r="N196" s="348"/>
      <c r="O196" s="348"/>
      <c r="P196" s="348"/>
      <c r="Q196" s="348"/>
    </row>
    <row r="197" spans="1:17" x14ac:dyDescent="0.45">
      <c r="A197" s="313">
        <v>24</v>
      </c>
      <c r="B197" s="424" t="s">
        <v>51</v>
      </c>
      <c r="C197" s="425" t="s">
        <v>52</v>
      </c>
      <c r="D197" s="348">
        <v>0</v>
      </c>
      <c r="E197" s="50"/>
      <c r="F197" s="348">
        <v>0</v>
      </c>
      <c r="G197" s="50"/>
      <c r="H197" s="348">
        <v>0</v>
      </c>
      <c r="I197" s="348"/>
      <c r="J197" s="50">
        <v>0</v>
      </c>
      <c r="K197" s="50">
        <v>0</v>
      </c>
      <c r="L197" s="348">
        <v>0</v>
      </c>
      <c r="M197" s="348"/>
      <c r="N197" s="348"/>
      <c r="O197" s="348"/>
      <c r="P197" s="348"/>
      <c r="Q197" s="348"/>
    </row>
    <row r="198" spans="1:17" x14ac:dyDescent="0.45">
      <c r="A198" s="313">
        <v>25</v>
      </c>
      <c r="B198" s="424" t="s">
        <v>509</v>
      </c>
      <c r="C198" s="425" t="s">
        <v>510</v>
      </c>
      <c r="D198" s="348">
        <v>0</v>
      </c>
      <c r="E198" s="50"/>
      <c r="F198" s="348">
        <v>0</v>
      </c>
      <c r="G198" s="50"/>
      <c r="H198" s="348">
        <v>0</v>
      </c>
      <c r="I198" s="348"/>
      <c r="J198" s="50">
        <v>0</v>
      </c>
      <c r="K198" s="50">
        <v>0</v>
      </c>
      <c r="L198" s="348">
        <v>0</v>
      </c>
      <c r="M198" s="348"/>
      <c r="N198" s="348"/>
      <c r="O198" s="348"/>
      <c r="P198" s="348"/>
      <c r="Q198" s="348"/>
    </row>
    <row r="199" spans="1:17" x14ac:dyDescent="0.45">
      <c r="A199" s="313">
        <v>26</v>
      </c>
      <c r="B199" s="424" t="s">
        <v>511</v>
      </c>
      <c r="C199" s="428" t="s">
        <v>1935</v>
      </c>
      <c r="D199" s="348">
        <v>33221052</v>
      </c>
      <c r="E199" s="50"/>
      <c r="F199" s="348">
        <v>29664967</v>
      </c>
      <c r="G199" s="50"/>
      <c r="H199" s="348">
        <v>3556085</v>
      </c>
      <c r="I199" s="348"/>
      <c r="J199" s="50">
        <v>0</v>
      </c>
      <c r="K199" s="50">
        <v>0</v>
      </c>
      <c r="L199" s="348">
        <v>0</v>
      </c>
      <c r="M199" s="348"/>
      <c r="N199" s="348"/>
      <c r="O199" s="348"/>
      <c r="P199" s="348"/>
      <c r="Q199" s="348"/>
    </row>
    <row r="200" spans="1:17" x14ac:dyDescent="0.45">
      <c r="A200" s="313">
        <v>27</v>
      </c>
      <c r="B200" s="424" t="s">
        <v>512</v>
      </c>
      <c r="C200" s="428" t="s">
        <v>1936</v>
      </c>
      <c r="D200" s="348">
        <v>14440349</v>
      </c>
      <c r="E200" s="50"/>
      <c r="F200" s="348">
        <v>12894609</v>
      </c>
      <c r="G200" s="50"/>
      <c r="H200" s="348">
        <v>1545740</v>
      </c>
      <c r="I200" s="348"/>
      <c r="J200" s="50">
        <v>0</v>
      </c>
      <c r="K200" s="50">
        <v>0</v>
      </c>
      <c r="L200" s="348">
        <v>0</v>
      </c>
      <c r="M200" s="348"/>
      <c r="N200" s="348"/>
      <c r="O200" s="348"/>
      <c r="P200" s="348"/>
      <c r="Q200" s="348"/>
    </row>
    <row r="201" spans="1:17" x14ac:dyDescent="0.45">
      <c r="A201" s="313">
        <v>28</v>
      </c>
      <c r="B201" s="424" t="s">
        <v>513</v>
      </c>
      <c r="C201" s="425" t="s">
        <v>514</v>
      </c>
      <c r="D201" s="348">
        <v>8937860</v>
      </c>
      <c r="E201" s="50"/>
      <c r="F201" s="348">
        <v>7981124</v>
      </c>
      <c r="G201" s="50"/>
      <c r="H201" s="348">
        <v>956736</v>
      </c>
      <c r="I201" s="348"/>
      <c r="J201" s="50">
        <v>0</v>
      </c>
      <c r="K201" s="50">
        <v>0</v>
      </c>
      <c r="L201" s="348">
        <v>0</v>
      </c>
      <c r="M201" s="348"/>
      <c r="N201" s="348"/>
      <c r="O201" s="348"/>
      <c r="P201" s="348"/>
      <c r="Q201" s="348"/>
    </row>
    <row r="202" spans="1:17" x14ac:dyDescent="0.45">
      <c r="A202" s="313">
        <v>29</v>
      </c>
      <c r="B202" s="424" t="s">
        <v>515</v>
      </c>
      <c r="C202" s="425" t="s">
        <v>516</v>
      </c>
      <c r="D202" s="348">
        <v>0</v>
      </c>
      <c r="E202" s="50"/>
      <c r="F202" s="348">
        <v>0</v>
      </c>
      <c r="G202" s="50"/>
      <c r="H202" s="348">
        <v>0</v>
      </c>
      <c r="I202" s="348"/>
      <c r="J202" s="50">
        <v>0</v>
      </c>
      <c r="K202" s="50">
        <v>0</v>
      </c>
      <c r="L202" s="348">
        <v>0</v>
      </c>
      <c r="M202" s="348"/>
      <c r="N202" s="348"/>
      <c r="O202" s="348"/>
      <c r="P202" s="348"/>
      <c r="Q202" s="348"/>
    </row>
    <row r="203" spans="1:17" x14ac:dyDescent="0.45">
      <c r="A203" s="313">
        <v>30</v>
      </c>
      <c r="B203" s="424" t="s">
        <v>517</v>
      </c>
      <c r="C203" s="428" t="s">
        <v>1937</v>
      </c>
      <c r="D203" s="348">
        <v>28582703</v>
      </c>
      <c r="E203" s="50"/>
      <c r="F203" s="348">
        <v>27063796</v>
      </c>
      <c r="G203" s="50"/>
      <c r="H203" s="348">
        <v>1476510</v>
      </c>
      <c r="I203" s="348"/>
      <c r="J203" s="50">
        <v>42397</v>
      </c>
      <c r="K203" s="50">
        <v>38917</v>
      </c>
      <c r="L203" s="348">
        <v>3481</v>
      </c>
      <c r="M203" s="348"/>
      <c r="N203" s="348"/>
      <c r="O203" s="348"/>
      <c r="P203" s="348"/>
      <c r="Q203" s="348"/>
    </row>
    <row r="204" spans="1:17" x14ac:dyDescent="0.45">
      <c r="A204" s="313">
        <v>31</v>
      </c>
      <c r="B204" s="424" t="s">
        <v>528</v>
      </c>
      <c r="C204" s="428" t="s">
        <v>1938</v>
      </c>
      <c r="D204" s="348">
        <v>32722450</v>
      </c>
      <c r="E204" s="50"/>
      <c r="F204" s="348">
        <v>30666271</v>
      </c>
      <c r="G204" s="50"/>
      <c r="H204" s="348">
        <v>2040757</v>
      </c>
      <c r="I204" s="348"/>
      <c r="J204" s="50">
        <v>15422</v>
      </c>
      <c r="K204" s="50">
        <v>15414</v>
      </c>
      <c r="L204" s="348">
        <v>7</v>
      </c>
      <c r="M204" s="348"/>
      <c r="N204" s="348"/>
      <c r="O204" s="348"/>
      <c r="P204" s="348"/>
      <c r="Q204" s="348"/>
    </row>
    <row r="205" spans="1:17" x14ac:dyDescent="0.45">
      <c r="A205" s="313">
        <v>32</v>
      </c>
      <c r="B205" s="424" t="s">
        <v>529</v>
      </c>
      <c r="C205" s="425" t="s">
        <v>530</v>
      </c>
      <c r="D205" s="348">
        <v>22389321</v>
      </c>
      <c r="E205" s="50"/>
      <c r="F205" s="348">
        <v>21313408</v>
      </c>
      <c r="G205" s="50"/>
      <c r="H205" s="348">
        <v>1041474</v>
      </c>
      <c r="I205" s="348"/>
      <c r="J205" s="50">
        <v>34440</v>
      </c>
      <c r="K205" s="50">
        <v>34178</v>
      </c>
      <c r="L205" s="348">
        <v>262</v>
      </c>
      <c r="M205" s="348"/>
      <c r="N205" s="348"/>
      <c r="O205" s="348"/>
      <c r="P205" s="348"/>
      <c r="Q205" s="348"/>
    </row>
    <row r="206" spans="1:17" x14ac:dyDescent="0.45">
      <c r="A206" s="313">
        <v>33</v>
      </c>
      <c r="B206" s="424" t="s">
        <v>531</v>
      </c>
      <c r="C206" s="425" t="s">
        <v>532</v>
      </c>
      <c r="D206" s="348">
        <v>0</v>
      </c>
      <c r="E206" s="50"/>
      <c r="F206" s="348">
        <v>0</v>
      </c>
      <c r="G206" s="50"/>
      <c r="H206" s="348">
        <v>0</v>
      </c>
      <c r="I206" s="348"/>
      <c r="J206" s="50">
        <v>0</v>
      </c>
      <c r="K206" s="50">
        <v>0</v>
      </c>
      <c r="L206" s="348">
        <v>0</v>
      </c>
      <c r="M206" s="348"/>
      <c r="N206" s="348"/>
      <c r="O206" s="348"/>
      <c r="P206" s="348"/>
      <c r="Q206" s="348"/>
    </row>
    <row r="207" spans="1:17" x14ac:dyDescent="0.45">
      <c r="A207" s="313">
        <v>34</v>
      </c>
      <c r="B207" s="424" t="s">
        <v>533</v>
      </c>
      <c r="C207" s="428" t="s">
        <v>1939</v>
      </c>
      <c r="D207" s="348">
        <v>33181838</v>
      </c>
      <c r="E207" s="50"/>
      <c r="F207" s="348">
        <v>31555586</v>
      </c>
      <c r="G207" s="50"/>
      <c r="H207" s="348">
        <v>1612881</v>
      </c>
      <c r="I207" s="348"/>
      <c r="J207" s="50">
        <v>13371</v>
      </c>
      <c r="K207" s="50">
        <v>5349</v>
      </c>
      <c r="L207" s="348">
        <v>8023</v>
      </c>
      <c r="M207" s="348"/>
      <c r="N207" s="348"/>
      <c r="O207" s="348"/>
      <c r="P207" s="348"/>
      <c r="Q207" s="348"/>
    </row>
    <row r="208" spans="1:17" x14ac:dyDescent="0.45">
      <c r="A208" s="313">
        <v>35</v>
      </c>
      <c r="B208" s="424" t="s">
        <v>534</v>
      </c>
      <c r="C208" s="425" t="s">
        <v>535</v>
      </c>
      <c r="D208" s="348">
        <v>4212138</v>
      </c>
      <c r="E208" s="50"/>
      <c r="F208" s="348">
        <v>4005700</v>
      </c>
      <c r="G208" s="50"/>
      <c r="H208" s="348">
        <v>204741</v>
      </c>
      <c r="I208" s="348"/>
      <c r="J208" s="50">
        <v>1697</v>
      </c>
      <c r="K208" s="50">
        <v>679</v>
      </c>
      <c r="L208" s="348">
        <v>1018</v>
      </c>
      <c r="M208" s="348"/>
      <c r="N208" s="348"/>
      <c r="O208" s="348"/>
      <c r="P208" s="348"/>
      <c r="Q208" s="348"/>
    </row>
    <row r="209" spans="1:17" x14ac:dyDescent="0.45">
      <c r="A209" s="313">
        <v>36</v>
      </c>
      <c r="B209" s="424" t="s">
        <v>536</v>
      </c>
      <c r="C209" s="428" t="s">
        <v>1940</v>
      </c>
      <c r="D209" s="348">
        <v>14016966</v>
      </c>
      <c r="E209" s="50"/>
      <c r="F209" s="348">
        <v>13851559</v>
      </c>
      <c r="G209" s="50"/>
      <c r="H209" s="348">
        <v>165407</v>
      </c>
      <c r="I209" s="348"/>
      <c r="J209" s="50">
        <v>0</v>
      </c>
      <c r="K209" s="50">
        <v>0</v>
      </c>
      <c r="L209" s="348">
        <v>0</v>
      </c>
      <c r="M209" s="348"/>
      <c r="N209" s="348"/>
      <c r="O209" s="348"/>
      <c r="P209" s="348"/>
      <c r="Q209" s="348"/>
    </row>
    <row r="210" spans="1:17" x14ac:dyDescent="0.45">
      <c r="A210" s="313">
        <v>37</v>
      </c>
      <c r="B210" s="424" t="s">
        <v>537</v>
      </c>
      <c r="C210" s="425" t="s">
        <v>538</v>
      </c>
      <c r="D210" s="348">
        <v>4212138</v>
      </c>
      <c r="E210" s="50"/>
      <c r="F210" s="348">
        <v>4005700</v>
      </c>
      <c r="G210" s="50"/>
      <c r="H210" s="348">
        <v>204741</v>
      </c>
      <c r="I210" s="348"/>
      <c r="J210" s="50">
        <v>1697</v>
      </c>
      <c r="K210" s="50">
        <v>679</v>
      </c>
      <c r="L210" s="348">
        <v>1018</v>
      </c>
      <c r="M210" s="348"/>
      <c r="N210" s="348"/>
      <c r="O210" s="348"/>
      <c r="P210" s="348"/>
      <c r="Q210" s="348"/>
    </row>
    <row r="211" spans="1:17" x14ac:dyDescent="0.45">
      <c r="A211" s="313">
        <v>38</v>
      </c>
      <c r="B211" s="424" t="s">
        <v>539</v>
      </c>
      <c r="C211" s="428" t="s">
        <v>1941</v>
      </c>
      <c r="D211" s="348">
        <v>1223256</v>
      </c>
      <c r="E211" s="50"/>
      <c r="F211" s="348">
        <v>1162136</v>
      </c>
      <c r="G211" s="50"/>
      <c r="H211" s="348">
        <v>61120</v>
      </c>
      <c r="I211" s="348"/>
      <c r="J211" s="50">
        <v>0</v>
      </c>
      <c r="K211" s="50">
        <v>0</v>
      </c>
      <c r="L211" s="348">
        <v>0</v>
      </c>
      <c r="M211" s="348"/>
      <c r="N211" s="348"/>
      <c r="O211" s="348"/>
      <c r="P211" s="348"/>
      <c r="Q211" s="348"/>
    </row>
    <row r="212" spans="1:17" x14ac:dyDescent="0.45">
      <c r="A212" s="313">
        <v>39</v>
      </c>
      <c r="B212" s="424" t="s">
        <v>540</v>
      </c>
      <c r="C212" s="425" t="s">
        <v>541</v>
      </c>
      <c r="D212" s="348">
        <v>2198790</v>
      </c>
      <c r="E212" s="50"/>
      <c r="F212" s="348">
        <v>2172843</v>
      </c>
      <c r="G212" s="50"/>
      <c r="H212" s="348">
        <v>25947</v>
      </c>
      <c r="I212" s="348"/>
      <c r="J212" s="50">
        <v>0</v>
      </c>
      <c r="K212" s="50">
        <v>0</v>
      </c>
      <c r="L212" s="348">
        <v>0</v>
      </c>
      <c r="M212" s="348"/>
      <c r="N212" s="348"/>
      <c r="O212" s="348"/>
      <c r="P212" s="348"/>
      <c r="Q212" s="348"/>
    </row>
    <row r="213" spans="1:17" x14ac:dyDescent="0.45">
      <c r="A213" s="313">
        <v>40</v>
      </c>
      <c r="B213" s="424" t="s">
        <v>542</v>
      </c>
      <c r="C213" s="425" t="s">
        <v>543</v>
      </c>
      <c r="D213" s="348">
        <v>119630777</v>
      </c>
      <c r="E213" s="50"/>
      <c r="F213" s="348">
        <v>112308775</v>
      </c>
      <c r="G213" s="50"/>
      <c r="H213" s="348">
        <v>5897677</v>
      </c>
      <c r="I213" s="348"/>
      <c r="J213" s="50">
        <v>1424325</v>
      </c>
      <c r="K213" s="50">
        <v>742812</v>
      </c>
      <c r="L213" s="348">
        <v>681513</v>
      </c>
      <c r="M213" s="348"/>
      <c r="N213" s="348"/>
      <c r="O213" s="348"/>
      <c r="P213" s="348"/>
      <c r="Q213" s="348"/>
    </row>
    <row r="214" spans="1:17" x14ac:dyDescent="0.45">
      <c r="A214" s="45"/>
      <c r="B214" s="45"/>
      <c r="C214" s="312"/>
      <c r="D214" s="50"/>
      <c r="E214" s="50"/>
      <c r="F214" s="50"/>
      <c r="G214" s="50"/>
      <c r="H214" s="50"/>
      <c r="I214" s="50"/>
      <c r="J214" s="50"/>
      <c r="K214" s="50"/>
      <c r="L214" s="50"/>
      <c r="M214" s="50"/>
      <c r="N214" s="50"/>
      <c r="O214" s="50"/>
      <c r="P214" s="50"/>
      <c r="Q214" s="50"/>
    </row>
    <row r="215" spans="1:17" x14ac:dyDescent="0.45">
      <c r="A215" s="45"/>
      <c r="B215" s="432" t="s">
        <v>867</v>
      </c>
      <c r="C215" s="45"/>
      <c r="D215" s="50"/>
      <c r="E215" s="50"/>
      <c r="F215" s="50"/>
      <c r="G215" s="50"/>
      <c r="H215" s="50"/>
      <c r="I215" s="50"/>
      <c r="J215" s="50"/>
      <c r="K215" s="50"/>
      <c r="L215" s="50"/>
      <c r="M215" s="50"/>
      <c r="N215" s="50"/>
      <c r="O215" s="50"/>
      <c r="P215" s="50"/>
      <c r="Q215" s="50"/>
    </row>
    <row r="216" spans="1:17" x14ac:dyDescent="0.45">
      <c r="A216" s="45"/>
      <c r="B216" s="431" t="s">
        <v>1266</v>
      </c>
      <c r="C216" s="45"/>
      <c r="D216" s="50"/>
      <c r="E216" s="50"/>
      <c r="F216" s="50"/>
      <c r="G216" s="50"/>
      <c r="H216" s="50"/>
      <c r="I216" s="50"/>
      <c r="J216" s="50"/>
      <c r="K216" s="50"/>
      <c r="L216" s="50"/>
      <c r="M216" s="50"/>
      <c r="N216" s="50"/>
      <c r="O216" s="50"/>
      <c r="P216" s="50"/>
      <c r="Q216" s="50"/>
    </row>
    <row r="217" spans="1:17" x14ac:dyDescent="0.45">
      <c r="A217" s="313">
        <v>1</v>
      </c>
      <c r="B217" s="424" t="s">
        <v>2192</v>
      </c>
      <c r="C217" s="425" t="s">
        <v>545</v>
      </c>
      <c r="D217" s="348">
        <v>3525210</v>
      </c>
      <c r="E217" s="50"/>
      <c r="F217" s="348">
        <v>3317156</v>
      </c>
      <c r="G217" s="50"/>
      <c r="H217" s="348">
        <v>167720</v>
      </c>
      <c r="I217" s="348"/>
      <c r="J217" s="50">
        <v>40334</v>
      </c>
      <c r="K217" s="50">
        <v>21031</v>
      </c>
      <c r="L217" s="348">
        <v>19303</v>
      </c>
      <c r="M217" s="348"/>
      <c r="N217" s="348"/>
      <c r="O217" s="348"/>
      <c r="P217" s="348"/>
      <c r="Q217" s="348"/>
    </row>
    <row r="218" spans="1:17" x14ac:dyDescent="0.45">
      <c r="A218" s="313">
        <v>2</v>
      </c>
      <c r="B218" s="424" t="s">
        <v>546</v>
      </c>
      <c r="C218" s="425" t="s">
        <v>547</v>
      </c>
      <c r="D218" s="348">
        <v>13167109</v>
      </c>
      <c r="E218" s="50"/>
      <c r="F218" s="348">
        <v>13058416</v>
      </c>
      <c r="G218" s="50"/>
      <c r="H218" s="348">
        <v>108693</v>
      </c>
      <c r="I218" s="348"/>
      <c r="J218" s="50">
        <v>0</v>
      </c>
      <c r="K218" s="50">
        <v>0</v>
      </c>
      <c r="L218" s="348">
        <v>0</v>
      </c>
      <c r="M218" s="348"/>
      <c r="N218" s="348"/>
      <c r="O218" s="348"/>
      <c r="P218" s="348"/>
      <c r="Q218" s="348"/>
    </row>
    <row r="219" spans="1:17" x14ac:dyDescent="0.45">
      <c r="A219" s="313">
        <v>3</v>
      </c>
      <c r="B219" s="424" t="s">
        <v>937</v>
      </c>
      <c r="C219" s="425" t="s">
        <v>938</v>
      </c>
      <c r="D219" s="348">
        <v>2187150405</v>
      </c>
      <c r="E219" s="50"/>
      <c r="F219" s="348">
        <v>2183621934</v>
      </c>
      <c r="G219" s="50"/>
      <c r="H219" s="348">
        <v>0</v>
      </c>
      <c r="I219" s="348"/>
      <c r="J219" s="50">
        <v>3528471</v>
      </c>
      <c r="K219" s="50">
        <v>3501619</v>
      </c>
      <c r="L219" s="348">
        <v>26852</v>
      </c>
      <c r="M219" s="348"/>
      <c r="N219" s="348"/>
      <c r="O219" s="348"/>
      <c r="P219" s="348"/>
      <c r="Q219" s="348"/>
    </row>
    <row r="220" spans="1:17" x14ac:dyDescent="0.45">
      <c r="A220" s="313">
        <v>4</v>
      </c>
      <c r="B220" s="424" t="s">
        <v>939</v>
      </c>
      <c r="C220" s="425" t="s">
        <v>940</v>
      </c>
      <c r="D220" s="348">
        <v>90909156</v>
      </c>
      <c r="E220" s="50"/>
      <c r="F220" s="348">
        <v>90909156</v>
      </c>
      <c r="G220" s="376"/>
      <c r="H220" s="376">
        <v>0</v>
      </c>
      <c r="I220" s="348"/>
      <c r="J220" s="50">
        <v>0</v>
      </c>
      <c r="K220" s="50">
        <v>0</v>
      </c>
      <c r="L220" s="376">
        <v>0</v>
      </c>
      <c r="M220" s="376"/>
      <c r="N220" s="348"/>
      <c r="O220" s="376"/>
      <c r="P220" s="376"/>
      <c r="Q220" s="376"/>
    </row>
    <row r="221" spans="1:17" x14ac:dyDescent="0.45">
      <c r="A221" s="313">
        <v>5</v>
      </c>
      <c r="B221" s="424" t="s">
        <v>941</v>
      </c>
      <c r="C221" s="425" t="s">
        <v>942</v>
      </c>
      <c r="D221" s="348">
        <v>4670387</v>
      </c>
      <c r="E221" s="50"/>
      <c r="F221" s="376">
        <v>0</v>
      </c>
      <c r="G221" s="376"/>
      <c r="H221" s="348">
        <v>4670387</v>
      </c>
      <c r="I221" s="348"/>
      <c r="J221" s="50">
        <v>0</v>
      </c>
      <c r="K221" s="50">
        <v>0</v>
      </c>
      <c r="L221" s="376">
        <v>0</v>
      </c>
      <c r="M221" s="348"/>
      <c r="N221" s="348"/>
      <c r="O221" s="376"/>
      <c r="P221" s="376"/>
      <c r="Q221" s="376"/>
    </row>
    <row r="222" spans="1:17" x14ac:dyDescent="0.45">
      <c r="A222" s="313">
        <v>6</v>
      </c>
      <c r="B222" s="424" t="s">
        <v>943</v>
      </c>
      <c r="C222" s="425" t="s">
        <v>944</v>
      </c>
      <c r="D222" s="348">
        <v>0</v>
      </c>
      <c r="E222" s="50"/>
      <c r="F222" s="376">
        <v>0</v>
      </c>
      <c r="G222" s="376"/>
      <c r="H222" s="376">
        <v>0</v>
      </c>
      <c r="I222" s="348"/>
      <c r="J222" s="50">
        <v>0</v>
      </c>
      <c r="K222" s="50">
        <v>0</v>
      </c>
      <c r="L222" s="376">
        <v>0</v>
      </c>
      <c r="M222" s="376"/>
      <c r="N222" s="348"/>
      <c r="O222" s="376"/>
      <c r="P222" s="376"/>
      <c r="Q222" s="376"/>
    </row>
    <row r="223" spans="1:17" x14ac:dyDescent="0.45">
      <c r="A223" s="313">
        <v>7</v>
      </c>
      <c r="B223" s="424" t="s">
        <v>945</v>
      </c>
      <c r="C223" s="425" t="s">
        <v>53</v>
      </c>
      <c r="D223" s="348">
        <v>1346509</v>
      </c>
      <c r="E223" s="50"/>
      <c r="F223" s="376">
        <v>0</v>
      </c>
      <c r="G223" s="376"/>
      <c r="H223" s="376">
        <v>0</v>
      </c>
      <c r="I223" s="348"/>
      <c r="J223" s="50">
        <v>1346509</v>
      </c>
      <c r="K223" s="50">
        <v>703022</v>
      </c>
      <c r="L223" s="376">
        <v>643487</v>
      </c>
      <c r="M223" s="376"/>
      <c r="N223" s="348"/>
      <c r="O223" s="348"/>
      <c r="P223" s="348"/>
      <c r="Q223" s="376"/>
    </row>
    <row r="224" spans="1:17" x14ac:dyDescent="0.45">
      <c r="A224" s="313">
        <v>8</v>
      </c>
      <c r="B224" s="427" t="s">
        <v>2136</v>
      </c>
      <c r="C224" s="425" t="s">
        <v>2137</v>
      </c>
      <c r="D224" s="348">
        <v>-1568547</v>
      </c>
      <c r="E224" s="50"/>
      <c r="F224" s="376">
        <v>-1546714</v>
      </c>
      <c r="G224" s="376"/>
      <c r="H224" s="376">
        <v>0</v>
      </c>
      <c r="I224" s="348"/>
      <c r="J224" s="50">
        <v>-21833</v>
      </c>
      <c r="K224" s="50">
        <v>-11424</v>
      </c>
      <c r="L224" s="376">
        <v>-10409</v>
      </c>
      <c r="M224" s="376"/>
      <c r="N224" s="348"/>
      <c r="O224" s="376"/>
      <c r="P224" s="376"/>
      <c r="Q224" s="376"/>
    </row>
    <row r="225" spans="1:17" x14ac:dyDescent="0.45">
      <c r="A225" s="313">
        <v>9</v>
      </c>
      <c r="B225" s="424" t="s">
        <v>2138</v>
      </c>
      <c r="C225" s="425" t="s">
        <v>2139</v>
      </c>
      <c r="D225" s="348">
        <v>181987112</v>
      </c>
      <c r="E225" s="50"/>
      <c r="F225" s="348">
        <v>173228434</v>
      </c>
      <c r="G225" s="50"/>
      <c r="H225" s="348">
        <v>8758678</v>
      </c>
      <c r="I225" s="348"/>
      <c r="J225" s="50">
        <v>0</v>
      </c>
      <c r="K225" s="50">
        <v>0</v>
      </c>
      <c r="L225" s="348">
        <v>0</v>
      </c>
      <c r="M225" s="348"/>
      <c r="N225" s="348"/>
      <c r="O225" s="348"/>
      <c r="P225" s="348"/>
      <c r="Q225" s="348"/>
    </row>
    <row r="226" spans="1:17" x14ac:dyDescent="0.45">
      <c r="A226" s="313">
        <v>10</v>
      </c>
      <c r="B226" s="424" t="s">
        <v>2140</v>
      </c>
      <c r="C226" s="425" t="s">
        <v>2141</v>
      </c>
      <c r="D226" s="348">
        <v>1316177147</v>
      </c>
      <c r="E226" s="50"/>
      <c r="F226" s="348">
        <v>1258772521</v>
      </c>
      <c r="G226" s="50"/>
      <c r="H226" s="348">
        <v>57404626</v>
      </c>
      <c r="I226" s="348"/>
      <c r="J226" s="50">
        <v>0</v>
      </c>
      <c r="K226" s="50">
        <v>0</v>
      </c>
      <c r="L226" s="348">
        <v>0</v>
      </c>
      <c r="M226" s="348"/>
      <c r="N226" s="348"/>
      <c r="O226" s="348"/>
      <c r="P226" s="348"/>
      <c r="Q226" s="348"/>
    </row>
    <row r="227" spans="1:17" x14ac:dyDescent="0.45">
      <c r="A227" s="313">
        <v>11</v>
      </c>
      <c r="B227" s="45"/>
      <c r="C227" s="312"/>
      <c r="D227" s="50"/>
      <c r="E227" s="50"/>
      <c r="F227" s="50"/>
      <c r="G227" s="50"/>
      <c r="H227" s="50"/>
      <c r="I227" s="50"/>
      <c r="J227" s="50"/>
      <c r="K227" s="50"/>
      <c r="L227" s="50"/>
      <c r="M227" s="50"/>
      <c r="N227" s="50"/>
      <c r="O227" s="50"/>
      <c r="P227" s="50"/>
      <c r="Q227" s="50"/>
    </row>
    <row r="228" spans="1:17" x14ac:dyDescent="0.45">
      <c r="A228" s="313">
        <v>12</v>
      </c>
      <c r="B228" s="45"/>
      <c r="C228" s="45"/>
      <c r="D228" s="50"/>
      <c r="E228" s="50"/>
      <c r="F228" s="50"/>
      <c r="G228" s="50"/>
      <c r="H228" s="50"/>
      <c r="I228" s="50"/>
      <c r="J228" s="50"/>
      <c r="K228" s="50"/>
      <c r="L228" s="50"/>
      <c r="M228" s="50"/>
      <c r="N228" s="50"/>
      <c r="O228" s="50"/>
      <c r="P228" s="50"/>
      <c r="Q228" s="50"/>
    </row>
    <row r="229" spans="1:17" x14ac:dyDescent="0.45">
      <c r="A229" s="313">
        <v>13</v>
      </c>
      <c r="B229" s="45"/>
      <c r="C229" s="45"/>
      <c r="D229" s="50"/>
      <c r="E229" s="50"/>
      <c r="F229" s="50"/>
      <c r="G229" s="50"/>
      <c r="H229" s="50"/>
      <c r="I229" s="50"/>
      <c r="J229" s="50"/>
      <c r="K229" s="50"/>
      <c r="L229" s="50"/>
      <c r="M229" s="50"/>
      <c r="N229" s="50"/>
      <c r="O229" s="50"/>
      <c r="P229" s="50"/>
      <c r="Q229" s="50"/>
    </row>
    <row r="230" spans="1:17" x14ac:dyDescent="0.45">
      <c r="A230" s="313">
        <v>14</v>
      </c>
      <c r="B230" s="45"/>
      <c r="C230" s="45"/>
      <c r="D230" s="50"/>
      <c r="E230" s="50"/>
      <c r="F230" s="50"/>
      <c r="G230" s="50"/>
      <c r="H230" s="50"/>
      <c r="I230" s="50"/>
      <c r="J230" s="50"/>
      <c r="K230" s="50"/>
      <c r="L230" s="50"/>
      <c r="M230" s="50"/>
      <c r="N230" s="50"/>
      <c r="O230" s="50"/>
      <c r="P230" s="50"/>
      <c r="Q230" s="50"/>
    </row>
    <row r="231" spans="1:17" x14ac:dyDescent="0.45">
      <c r="A231" s="313">
        <v>15</v>
      </c>
      <c r="B231" s="45"/>
      <c r="C231" s="45"/>
      <c r="D231" s="50"/>
      <c r="E231" s="50"/>
      <c r="F231" s="50"/>
      <c r="G231" s="50"/>
      <c r="H231" s="50"/>
      <c r="I231" s="50"/>
      <c r="J231" s="50"/>
      <c r="K231" s="50"/>
      <c r="L231" s="50"/>
      <c r="M231" s="50"/>
      <c r="N231" s="50"/>
      <c r="O231" s="50"/>
      <c r="P231" s="50"/>
      <c r="Q231" s="50"/>
    </row>
    <row r="232" spans="1:17" x14ac:dyDescent="0.45">
      <c r="A232" s="313">
        <v>16</v>
      </c>
      <c r="B232" s="45"/>
      <c r="C232" s="45"/>
      <c r="D232" s="50"/>
      <c r="E232" s="50"/>
      <c r="F232" s="50"/>
      <c r="G232" s="50"/>
      <c r="H232" s="50"/>
      <c r="I232" s="50"/>
      <c r="J232" s="50"/>
      <c r="K232" s="50"/>
      <c r="L232" s="50"/>
      <c r="M232" s="50"/>
      <c r="N232" s="50"/>
      <c r="O232" s="50"/>
      <c r="P232" s="50"/>
      <c r="Q232" s="50"/>
    </row>
    <row r="233" spans="1:17" x14ac:dyDescent="0.45">
      <c r="A233" s="313">
        <v>17</v>
      </c>
      <c r="B233" s="45"/>
      <c r="C233" s="45"/>
      <c r="D233" s="50"/>
      <c r="E233" s="50"/>
      <c r="F233" s="50"/>
      <c r="G233" s="50"/>
      <c r="H233" s="50"/>
      <c r="I233" s="50"/>
      <c r="J233" s="50"/>
      <c r="K233" s="50"/>
      <c r="L233" s="50"/>
      <c r="M233" s="50"/>
      <c r="N233" s="50"/>
      <c r="O233" s="50"/>
      <c r="P233" s="50"/>
      <c r="Q233" s="50"/>
    </row>
    <row r="234" spans="1:17" x14ac:dyDescent="0.45">
      <c r="A234" s="313">
        <v>18</v>
      </c>
      <c r="B234" s="45"/>
      <c r="C234" s="312"/>
      <c r="D234" s="50"/>
      <c r="E234" s="50"/>
      <c r="F234" s="50"/>
      <c r="G234" s="50"/>
      <c r="H234" s="50"/>
      <c r="I234" s="50"/>
      <c r="J234" s="50"/>
      <c r="K234" s="50"/>
      <c r="L234" s="50"/>
      <c r="M234" s="50"/>
      <c r="N234" s="50"/>
      <c r="O234" s="50"/>
      <c r="P234" s="50"/>
      <c r="Q234" s="50"/>
    </row>
    <row r="235" spans="1:17" x14ac:dyDescent="0.45">
      <c r="A235" s="313">
        <v>19</v>
      </c>
      <c r="B235" s="45"/>
      <c r="C235" s="312"/>
      <c r="D235" s="50"/>
      <c r="E235" s="50"/>
      <c r="F235" s="50"/>
      <c r="G235" s="50"/>
      <c r="H235" s="50"/>
      <c r="I235" s="50"/>
      <c r="J235" s="50"/>
      <c r="K235" s="50"/>
      <c r="L235" s="50"/>
      <c r="M235" s="50"/>
      <c r="N235" s="50"/>
      <c r="O235" s="50"/>
      <c r="P235" s="50"/>
      <c r="Q235" s="50"/>
    </row>
    <row r="236" spans="1:17" x14ac:dyDescent="0.45">
      <c r="A236" s="313">
        <v>20</v>
      </c>
      <c r="B236" s="45"/>
      <c r="C236" s="312"/>
      <c r="D236" s="50"/>
      <c r="E236" s="50"/>
      <c r="F236" s="50"/>
      <c r="G236" s="50"/>
      <c r="H236" s="50"/>
      <c r="I236" s="50"/>
      <c r="J236" s="50"/>
      <c r="K236" s="50"/>
      <c r="L236" s="50"/>
      <c r="M236" s="50"/>
      <c r="N236" s="50"/>
      <c r="O236" s="50"/>
      <c r="P236" s="50"/>
      <c r="Q236" s="50"/>
    </row>
    <row r="237" spans="1:17" x14ac:dyDescent="0.45">
      <c r="A237" s="313">
        <v>21</v>
      </c>
      <c r="B237" s="45"/>
      <c r="C237" s="312"/>
      <c r="D237" s="50"/>
      <c r="E237" s="50"/>
      <c r="F237" s="50"/>
      <c r="G237" s="50"/>
      <c r="H237" s="50"/>
      <c r="I237" s="50"/>
      <c r="J237" s="50"/>
      <c r="K237" s="50"/>
      <c r="L237" s="50"/>
      <c r="M237" s="50"/>
      <c r="N237" s="50"/>
      <c r="O237" s="50"/>
      <c r="P237" s="50"/>
      <c r="Q237" s="50"/>
    </row>
    <row r="238" spans="1:17" x14ac:dyDescent="0.45">
      <c r="A238" s="313">
        <v>22</v>
      </c>
      <c r="B238" s="45"/>
      <c r="C238" s="312"/>
      <c r="D238" s="50"/>
      <c r="E238" s="50"/>
      <c r="F238" s="50"/>
      <c r="G238" s="50"/>
      <c r="H238" s="50"/>
      <c r="I238" s="50"/>
      <c r="J238" s="50"/>
      <c r="K238" s="50"/>
      <c r="L238" s="50"/>
      <c r="M238" s="50"/>
      <c r="N238" s="50"/>
      <c r="O238" s="50"/>
      <c r="P238" s="50"/>
      <c r="Q238" s="50"/>
    </row>
    <row r="239" spans="1:17" x14ac:dyDescent="0.45">
      <c r="A239" s="313">
        <v>23</v>
      </c>
      <c r="B239" s="45"/>
      <c r="C239" s="312"/>
      <c r="D239" s="50"/>
      <c r="E239" s="50"/>
      <c r="F239" s="50"/>
      <c r="G239" s="50"/>
      <c r="H239" s="50"/>
      <c r="I239" s="50"/>
      <c r="J239" s="50"/>
      <c r="K239" s="50"/>
      <c r="L239" s="50"/>
      <c r="M239" s="50"/>
      <c r="N239" s="50"/>
      <c r="O239" s="50"/>
      <c r="P239" s="50"/>
      <c r="Q239" s="50"/>
    </row>
    <row r="240" spans="1:17" x14ac:dyDescent="0.45">
      <c r="A240" s="313">
        <v>24</v>
      </c>
      <c r="B240" s="45"/>
      <c r="C240" s="312"/>
      <c r="D240" s="50"/>
      <c r="E240" s="50"/>
      <c r="F240" s="50"/>
      <c r="G240" s="50"/>
      <c r="H240" s="50"/>
      <c r="I240" s="50"/>
      <c r="J240" s="50"/>
      <c r="K240" s="50"/>
      <c r="L240" s="50"/>
      <c r="M240" s="50"/>
      <c r="N240" s="50"/>
      <c r="O240" s="50"/>
      <c r="P240" s="50"/>
      <c r="Q240" s="50"/>
    </row>
    <row r="241" spans="1:17" x14ac:dyDescent="0.45">
      <c r="A241" s="313">
        <v>25</v>
      </c>
      <c r="B241" s="45"/>
      <c r="C241" s="312"/>
      <c r="D241" s="50"/>
      <c r="E241" s="50"/>
      <c r="F241" s="50"/>
      <c r="G241" s="50"/>
      <c r="H241" s="50"/>
      <c r="I241" s="50"/>
      <c r="J241" s="50"/>
      <c r="K241" s="50"/>
      <c r="L241" s="50"/>
      <c r="M241" s="50"/>
      <c r="N241" s="50"/>
      <c r="O241" s="50"/>
      <c r="P241" s="50"/>
      <c r="Q241" s="50"/>
    </row>
    <row r="242" spans="1:17" x14ac:dyDescent="0.45">
      <c r="A242" s="313">
        <v>26</v>
      </c>
      <c r="B242" s="45"/>
      <c r="C242" s="312"/>
      <c r="D242" s="50"/>
      <c r="E242" s="50"/>
      <c r="F242" s="50"/>
      <c r="G242" s="50"/>
      <c r="H242" s="50"/>
      <c r="I242" s="50"/>
      <c r="J242" s="50"/>
      <c r="K242" s="50"/>
      <c r="L242" s="50"/>
      <c r="M242" s="50"/>
      <c r="N242" s="50"/>
      <c r="O242" s="50"/>
      <c r="P242" s="50"/>
      <c r="Q242" s="50"/>
    </row>
    <row r="243" spans="1:17" x14ac:dyDescent="0.45">
      <c r="A243" s="313">
        <v>27</v>
      </c>
      <c r="B243" s="45"/>
      <c r="C243" s="312"/>
      <c r="D243" s="50"/>
      <c r="E243" s="50"/>
      <c r="F243" s="50"/>
      <c r="G243" s="50"/>
      <c r="H243" s="50"/>
      <c r="I243" s="50"/>
      <c r="J243" s="50"/>
      <c r="K243" s="50"/>
      <c r="L243" s="50"/>
      <c r="M243" s="50"/>
      <c r="N243" s="50"/>
      <c r="O243" s="50"/>
      <c r="P243" s="50"/>
      <c r="Q243" s="50"/>
    </row>
    <row r="244" spans="1:17" x14ac:dyDescent="0.45">
      <c r="A244" s="313">
        <v>28</v>
      </c>
      <c r="B244" s="45"/>
      <c r="C244" s="312"/>
      <c r="D244" s="50"/>
      <c r="E244" s="50"/>
      <c r="F244" s="50"/>
      <c r="G244" s="50"/>
      <c r="H244" s="50"/>
      <c r="I244" s="50"/>
      <c r="J244" s="50"/>
      <c r="K244" s="50"/>
      <c r="L244" s="50"/>
      <c r="M244" s="50"/>
      <c r="N244" s="50"/>
      <c r="O244" s="50"/>
      <c r="P244" s="50"/>
      <c r="Q244" s="50"/>
    </row>
    <row r="245" spans="1:17" x14ac:dyDescent="0.45">
      <c r="A245" s="313">
        <v>29</v>
      </c>
      <c r="B245" s="45"/>
      <c r="C245" s="312"/>
      <c r="D245" s="50"/>
      <c r="E245" s="50"/>
      <c r="F245" s="50"/>
      <c r="G245" s="50"/>
      <c r="H245" s="50"/>
      <c r="I245" s="50"/>
      <c r="J245" s="50"/>
      <c r="K245" s="50"/>
      <c r="L245" s="50"/>
      <c r="M245" s="50"/>
      <c r="N245" s="50"/>
      <c r="O245" s="50"/>
      <c r="P245" s="50"/>
      <c r="Q245" s="50"/>
    </row>
    <row r="246" spans="1:17" x14ac:dyDescent="0.45">
      <c r="A246" s="313">
        <v>30</v>
      </c>
      <c r="B246" s="45"/>
      <c r="C246" s="312"/>
      <c r="D246" s="50"/>
      <c r="E246" s="50"/>
      <c r="F246" s="50"/>
      <c r="G246" s="50"/>
      <c r="H246" s="50"/>
      <c r="I246" s="50"/>
      <c r="J246" s="50"/>
      <c r="K246" s="50"/>
      <c r="L246" s="50"/>
      <c r="M246" s="50"/>
      <c r="N246" s="50"/>
      <c r="O246" s="50"/>
      <c r="P246" s="50"/>
      <c r="Q246" s="50"/>
    </row>
    <row r="247" spans="1:17" x14ac:dyDescent="0.45">
      <c r="A247" s="313">
        <v>31</v>
      </c>
      <c r="B247" s="45"/>
      <c r="C247" s="312"/>
      <c r="D247" s="50"/>
      <c r="E247" s="50"/>
      <c r="F247" s="50"/>
      <c r="G247" s="50"/>
      <c r="H247" s="50"/>
      <c r="I247" s="50"/>
      <c r="J247" s="50"/>
      <c r="K247" s="50"/>
      <c r="L247" s="50"/>
      <c r="M247" s="50"/>
      <c r="N247" s="50"/>
      <c r="O247" s="50"/>
      <c r="P247" s="50"/>
      <c r="Q247" s="50"/>
    </row>
    <row r="248" spans="1:17" x14ac:dyDescent="0.45">
      <c r="A248" s="313">
        <v>32</v>
      </c>
      <c r="B248" s="45"/>
      <c r="C248" s="312"/>
      <c r="D248" s="50"/>
      <c r="E248" s="50"/>
      <c r="F248" s="50"/>
      <c r="G248" s="50"/>
      <c r="H248" s="50"/>
      <c r="I248" s="50"/>
      <c r="J248" s="50"/>
      <c r="K248" s="50"/>
      <c r="L248" s="50"/>
      <c r="M248" s="50"/>
      <c r="N248" s="50"/>
      <c r="O248" s="50"/>
      <c r="P248" s="50"/>
      <c r="Q248" s="50"/>
    </row>
    <row r="249" spans="1:17" x14ac:dyDescent="0.45">
      <c r="A249" s="313">
        <v>33</v>
      </c>
      <c r="B249" s="45"/>
      <c r="C249" s="312"/>
      <c r="D249" s="50"/>
      <c r="E249" s="50"/>
      <c r="F249" s="50"/>
      <c r="G249" s="50"/>
      <c r="H249" s="50"/>
      <c r="I249" s="50"/>
      <c r="J249" s="50"/>
      <c r="K249" s="50"/>
      <c r="L249" s="50"/>
      <c r="M249" s="50"/>
      <c r="N249" s="50"/>
      <c r="O249" s="50"/>
      <c r="P249" s="50"/>
      <c r="Q249" s="50"/>
    </row>
    <row r="250" spans="1:17" x14ac:dyDescent="0.45">
      <c r="A250" s="313">
        <v>34</v>
      </c>
      <c r="B250" s="45"/>
      <c r="C250" s="312"/>
      <c r="D250" s="50"/>
      <c r="E250" s="50"/>
      <c r="F250" s="50"/>
      <c r="G250" s="50"/>
      <c r="H250" s="50"/>
      <c r="I250" s="50"/>
      <c r="J250" s="50"/>
      <c r="K250" s="50"/>
      <c r="L250" s="50"/>
      <c r="M250" s="50"/>
      <c r="N250" s="50"/>
      <c r="O250" s="50"/>
      <c r="P250" s="50"/>
      <c r="Q250" s="50"/>
    </row>
    <row r="251" spans="1:17" x14ac:dyDescent="0.45">
      <c r="A251" s="313">
        <v>35</v>
      </c>
      <c r="B251" s="45"/>
      <c r="C251" s="312"/>
      <c r="D251" s="50"/>
      <c r="E251" s="50"/>
      <c r="F251" s="50"/>
      <c r="G251" s="50"/>
      <c r="H251" s="50"/>
      <c r="I251" s="50"/>
      <c r="J251" s="50"/>
      <c r="K251" s="50"/>
      <c r="L251" s="50"/>
      <c r="M251" s="50"/>
      <c r="N251" s="50"/>
      <c r="O251" s="50"/>
      <c r="P251" s="50"/>
      <c r="Q251" s="50"/>
    </row>
    <row r="252" spans="1:17" x14ac:dyDescent="0.45">
      <c r="A252" s="313">
        <v>36</v>
      </c>
      <c r="B252" s="45"/>
      <c r="C252" s="312"/>
      <c r="D252" s="50"/>
      <c r="E252" s="50"/>
      <c r="F252" s="50"/>
      <c r="G252" s="50"/>
      <c r="H252" s="50"/>
      <c r="I252" s="50"/>
      <c r="J252" s="50"/>
      <c r="K252" s="50"/>
      <c r="L252" s="50"/>
      <c r="M252" s="50"/>
      <c r="N252" s="50"/>
      <c r="O252" s="50"/>
      <c r="P252" s="50"/>
      <c r="Q252" s="50"/>
    </row>
    <row r="253" spans="1:17" x14ac:dyDescent="0.45">
      <c r="A253" s="313">
        <v>37</v>
      </c>
      <c r="B253" s="45"/>
      <c r="C253" s="312"/>
      <c r="D253" s="50"/>
      <c r="E253" s="50"/>
      <c r="F253" s="50"/>
      <c r="G253" s="50"/>
      <c r="H253" s="50"/>
      <c r="I253" s="50"/>
      <c r="J253" s="50"/>
      <c r="K253" s="50"/>
      <c r="L253" s="50"/>
      <c r="M253" s="50"/>
      <c r="N253" s="50"/>
      <c r="O253" s="50"/>
      <c r="P253" s="50"/>
      <c r="Q253" s="50"/>
    </row>
    <row r="254" spans="1:17" x14ac:dyDescent="0.45">
      <c r="A254" s="313">
        <v>38</v>
      </c>
      <c r="B254" s="45"/>
      <c r="C254" s="312"/>
      <c r="D254" s="50"/>
      <c r="E254" s="50"/>
      <c r="F254" s="50"/>
      <c r="G254" s="50"/>
      <c r="H254" s="50"/>
      <c r="I254" s="50"/>
      <c r="J254" s="50"/>
      <c r="K254" s="50"/>
      <c r="L254" s="50"/>
      <c r="M254" s="50"/>
      <c r="N254" s="50"/>
      <c r="O254" s="50"/>
      <c r="P254" s="50"/>
      <c r="Q254" s="50"/>
    </row>
    <row r="255" spans="1:17" x14ac:dyDescent="0.45">
      <c r="A255" s="313">
        <v>39</v>
      </c>
      <c r="B255" s="45"/>
      <c r="C255" s="312"/>
      <c r="D255" s="50"/>
      <c r="E255" s="50"/>
      <c r="F255" s="50"/>
      <c r="G255" s="50"/>
      <c r="H255" s="50"/>
      <c r="I255" s="50"/>
      <c r="J255" s="50"/>
      <c r="K255" s="50"/>
      <c r="L255" s="50"/>
      <c r="M255" s="50"/>
      <c r="N255" s="50"/>
      <c r="O255" s="50"/>
      <c r="P255" s="50"/>
      <c r="Q255" s="50"/>
    </row>
    <row r="256" spans="1:17" x14ac:dyDescent="0.45">
      <c r="A256" s="313">
        <v>40</v>
      </c>
      <c r="B256" s="45"/>
      <c r="C256" s="312"/>
      <c r="D256" s="50"/>
      <c r="E256" s="50"/>
      <c r="F256" s="50"/>
      <c r="G256" s="50"/>
      <c r="H256" s="50"/>
      <c r="I256" s="50"/>
      <c r="J256" s="50"/>
      <c r="K256" s="50"/>
      <c r="L256" s="50"/>
      <c r="M256" s="50"/>
      <c r="N256" s="50"/>
      <c r="O256" s="50"/>
      <c r="P256" s="50"/>
      <c r="Q256" s="50"/>
    </row>
    <row r="257" spans="1:21" x14ac:dyDescent="0.45">
      <c r="A257" s="45"/>
      <c r="B257" s="45"/>
      <c r="C257" s="45"/>
      <c r="D257" s="50"/>
      <c r="E257" s="50"/>
      <c r="F257" s="50"/>
      <c r="G257" s="50"/>
      <c r="H257" s="50"/>
      <c r="I257" s="50"/>
      <c r="J257" s="50"/>
      <c r="K257" s="50"/>
      <c r="L257" s="50"/>
      <c r="M257" s="50"/>
      <c r="N257" s="50"/>
      <c r="O257" s="50"/>
      <c r="P257" s="50"/>
      <c r="Q257" s="50"/>
    </row>
    <row r="258" spans="1:21" x14ac:dyDescent="0.45">
      <c r="A258" s="45"/>
      <c r="B258" s="426" t="s">
        <v>54</v>
      </c>
      <c r="C258" s="312"/>
      <c r="D258" s="50"/>
      <c r="E258" s="50"/>
      <c r="F258" s="50"/>
      <c r="G258" s="50"/>
      <c r="H258" s="50"/>
      <c r="I258" s="50"/>
      <c r="J258" s="50"/>
      <c r="K258" s="50"/>
      <c r="L258" s="50"/>
      <c r="M258" s="50"/>
      <c r="N258" s="50"/>
      <c r="O258" s="50"/>
      <c r="P258" s="50"/>
      <c r="Q258" s="50"/>
    </row>
    <row r="259" spans="1:21" x14ac:dyDescent="0.45">
      <c r="A259" s="45"/>
      <c r="B259" s="431" t="s">
        <v>1266</v>
      </c>
      <c r="C259" s="312"/>
      <c r="D259" s="50"/>
      <c r="E259" s="50"/>
      <c r="F259" s="50"/>
      <c r="G259" s="50"/>
      <c r="H259" s="50"/>
      <c r="I259" s="50"/>
      <c r="J259" s="50"/>
      <c r="K259" s="50"/>
      <c r="L259" s="50"/>
      <c r="M259" s="50"/>
      <c r="N259" s="50"/>
      <c r="O259" s="50"/>
      <c r="P259" s="50"/>
      <c r="Q259" s="50"/>
    </row>
    <row r="260" spans="1:21" x14ac:dyDescent="0.45">
      <c r="A260" s="311">
        <v>1</v>
      </c>
      <c r="B260" s="316" t="s">
        <v>1942</v>
      </c>
      <c r="C260" s="309"/>
      <c r="D260" s="371">
        <v>681840252</v>
      </c>
      <c r="E260" s="71"/>
      <c r="F260" s="374">
        <v>640474467</v>
      </c>
      <c r="G260" s="377"/>
      <c r="H260" s="374">
        <v>41365784</v>
      </c>
      <c r="I260" s="371"/>
      <c r="J260" s="71">
        <v>0</v>
      </c>
      <c r="K260" s="71">
        <v>0</v>
      </c>
      <c r="L260" s="374">
        <v>0</v>
      </c>
      <c r="M260" s="375"/>
      <c r="N260" s="371"/>
      <c r="O260" s="374"/>
      <c r="P260" s="374"/>
      <c r="Q260" s="375"/>
    </row>
    <row r="261" spans="1:21" x14ac:dyDescent="0.45">
      <c r="A261" s="311">
        <v>2</v>
      </c>
      <c r="B261" s="316" t="s">
        <v>2142</v>
      </c>
      <c r="C261" s="309"/>
      <c r="D261" s="371">
        <v>445420512</v>
      </c>
      <c r="E261" s="71"/>
      <c r="F261" s="374">
        <v>426915076</v>
      </c>
      <c r="G261" s="377"/>
      <c r="H261" s="374">
        <v>18505436</v>
      </c>
      <c r="I261" s="371"/>
      <c r="J261" s="71">
        <v>0</v>
      </c>
      <c r="K261" s="71">
        <v>0</v>
      </c>
      <c r="L261" s="374">
        <v>0</v>
      </c>
      <c r="M261" s="375"/>
      <c r="N261" s="371"/>
      <c r="O261" s="374"/>
      <c r="P261" s="374"/>
      <c r="Q261" s="375"/>
    </row>
    <row r="262" spans="1:21" x14ac:dyDescent="0.45">
      <c r="A262" s="311">
        <v>3</v>
      </c>
      <c r="B262" s="316" t="s">
        <v>1943</v>
      </c>
      <c r="C262" s="309"/>
      <c r="D262" s="371">
        <v>0</v>
      </c>
      <c r="E262" s="71"/>
      <c r="F262" s="374">
        <v>0</v>
      </c>
      <c r="G262" s="377"/>
      <c r="H262" s="374">
        <v>0</v>
      </c>
      <c r="I262" s="371"/>
      <c r="J262" s="71">
        <v>0</v>
      </c>
      <c r="K262" s="71">
        <v>0</v>
      </c>
      <c r="L262" s="374">
        <v>0</v>
      </c>
      <c r="M262" s="375"/>
      <c r="N262" s="371"/>
      <c r="O262" s="374"/>
      <c r="P262" s="374"/>
      <c r="Q262" s="375"/>
    </row>
    <row r="263" spans="1:21" x14ac:dyDescent="0.45">
      <c r="A263" s="311">
        <v>4</v>
      </c>
      <c r="B263" s="316" t="s">
        <v>1944</v>
      </c>
      <c r="C263" s="309"/>
      <c r="D263" s="371">
        <v>391032442</v>
      </c>
      <c r="E263" s="71"/>
      <c r="F263" s="374">
        <v>382727598</v>
      </c>
      <c r="G263" s="377"/>
      <c r="H263" s="374">
        <v>8304845</v>
      </c>
      <c r="I263" s="371"/>
      <c r="J263" s="71">
        <v>0</v>
      </c>
      <c r="K263" s="71">
        <v>0</v>
      </c>
      <c r="L263" s="374">
        <v>0</v>
      </c>
      <c r="M263" s="375"/>
      <c r="N263" s="371"/>
      <c r="O263" s="374"/>
      <c r="P263" s="374"/>
      <c r="Q263" s="375"/>
    </row>
    <row r="264" spans="1:21" x14ac:dyDescent="0.45">
      <c r="A264" s="311">
        <v>5</v>
      </c>
      <c r="B264" s="316" t="s">
        <v>1945</v>
      </c>
      <c r="C264" s="309"/>
      <c r="D264" s="371">
        <v>0</v>
      </c>
      <c r="E264" s="71"/>
      <c r="F264" s="374">
        <v>0</v>
      </c>
      <c r="G264" s="377"/>
      <c r="H264" s="374">
        <v>0</v>
      </c>
      <c r="I264" s="371"/>
      <c r="J264" s="71">
        <v>0</v>
      </c>
      <c r="K264" s="71">
        <v>0</v>
      </c>
      <c r="L264" s="374">
        <v>0</v>
      </c>
      <c r="M264" s="375"/>
      <c r="N264" s="371"/>
      <c r="O264" s="374"/>
      <c r="P264" s="374"/>
      <c r="Q264" s="375"/>
    </row>
    <row r="265" spans="1:21" x14ac:dyDescent="0.45">
      <c r="A265" s="311">
        <v>6</v>
      </c>
      <c r="B265" s="316" t="s">
        <v>1946</v>
      </c>
      <c r="C265" s="309"/>
      <c r="D265" s="371">
        <v>13155302</v>
      </c>
      <c r="E265" s="71"/>
      <c r="F265" s="374">
        <v>12736465</v>
      </c>
      <c r="G265" s="377"/>
      <c r="H265" s="374">
        <v>418837</v>
      </c>
      <c r="I265" s="371"/>
      <c r="J265" s="71">
        <v>0</v>
      </c>
      <c r="K265" s="71">
        <v>0</v>
      </c>
      <c r="L265" s="374">
        <v>0</v>
      </c>
      <c r="M265" s="375"/>
      <c r="N265" s="371"/>
      <c r="O265" s="374"/>
      <c r="P265" s="374"/>
      <c r="Q265" s="375"/>
    </row>
    <row r="266" spans="1:21" x14ac:dyDescent="0.45">
      <c r="A266" s="311">
        <v>7</v>
      </c>
      <c r="B266" s="316" t="s">
        <v>1947</v>
      </c>
      <c r="C266" s="309"/>
      <c r="D266" s="371">
        <v>138862829</v>
      </c>
      <c r="E266" s="71"/>
      <c r="F266" s="374">
        <v>131716194</v>
      </c>
      <c r="G266" s="377"/>
      <c r="H266" s="374">
        <v>7146634</v>
      </c>
      <c r="I266" s="371"/>
      <c r="J266" s="71">
        <v>0</v>
      </c>
      <c r="K266" s="71">
        <v>0</v>
      </c>
      <c r="L266" s="374">
        <v>0</v>
      </c>
      <c r="M266" s="375"/>
      <c r="N266" s="371"/>
      <c r="O266" s="374"/>
      <c r="P266" s="374"/>
      <c r="Q266" s="375"/>
    </row>
    <row r="267" spans="1:21" x14ac:dyDescent="0.45">
      <c r="A267" s="311">
        <v>8</v>
      </c>
      <c r="B267" s="316" t="s">
        <v>1948</v>
      </c>
      <c r="C267" s="309"/>
      <c r="D267" s="371">
        <v>0</v>
      </c>
      <c r="E267" s="71"/>
      <c r="F267" s="374">
        <v>0</v>
      </c>
      <c r="G267" s="377"/>
      <c r="H267" s="374">
        <v>0</v>
      </c>
      <c r="I267" s="371"/>
      <c r="J267" s="71">
        <v>0</v>
      </c>
      <c r="K267" s="71">
        <v>0</v>
      </c>
      <c r="L267" s="374">
        <v>0</v>
      </c>
      <c r="M267" s="375"/>
      <c r="N267" s="371"/>
      <c r="O267" s="374"/>
      <c r="P267" s="374"/>
      <c r="Q267" s="375"/>
    </row>
    <row r="268" spans="1:21" x14ac:dyDescent="0.45">
      <c r="A268" s="311">
        <v>9</v>
      </c>
      <c r="B268" s="316" t="s">
        <v>1949</v>
      </c>
      <c r="C268" s="309"/>
      <c r="D268" s="371">
        <v>23936454</v>
      </c>
      <c r="E268" s="71"/>
      <c r="F268" s="374">
        <v>0</v>
      </c>
      <c r="G268" s="377"/>
      <c r="H268" s="374">
        <v>0</v>
      </c>
      <c r="I268" s="371"/>
      <c r="J268" s="71">
        <v>23936454</v>
      </c>
      <c r="K268" s="71">
        <v>12216381</v>
      </c>
      <c r="L268" s="374">
        <v>11720073</v>
      </c>
      <c r="M268" s="375"/>
      <c r="N268" s="371"/>
      <c r="O268" s="374"/>
      <c r="P268" s="374"/>
      <c r="Q268" s="375"/>
    </row>
    <row r="269" spans="1:21" x14ac:dyDescent="0.45">
      <c r="A269" s="313">
        <v>10</v>
      </c>
      <c r="B269" s="424" t="s">
        <v>55</v>
      </c>
      <c r="C269" s="312"/>
      <c r="D269" s="348">
        <v>0</v>
      </c>
      <c r="E269" s="50"/>
      <c r="F269" s="379">
        <v>0</v>
      </c>
      <c r="G269" s="379"/>
      <c r="H269" s="379">
        <v>0</v>
      </c>
      <c r="I269" s="348"/>
      <c r="J269" s="50">
        <v>0</v>
      </c>
      <c r="K269" s="50">
        <v>0</v>
      </c>
      <c r="L269" s="379">
        <v>0</v>
      </c>
      <c r="M269" s="379"/>
      <c r="N269" s="348"/>
      <c r="O269" s="379"/>
      <c r="P269" s="379"/>
      <c r="Q269" s="379"/>
    </row>
    <row r="270" spans="1:21" x14ac:dyDescent="0.45">
      <c r="A270" s="313">
        <v>11</v>
      </c>
      <c r="B270" s="433" t="s">
        <v>1950</v>
      </c>
      <c r="C270" s="312"/>
      <c r="D270" s="348">
        <v>0</v>
      </c>
      <c r="E270" s="50"/>
      <c r="F270" s="379">
        <v>0</v>
      </c>
      <c r="G270" s="379"/>
      <c r="H270" s="374">
        <v>0</v>
      </c>
      <c r="I270" s="348"/>
      <c r="J270" s="50">
        <v>0</v>
      </c>
      <c r="K270" s="50">
        <v>0</v>
      </c>
      <c r="L270" s="379">
        <v>0</v>
      </c>
      <c r="M270" s="379"/>
      <c r="N270" s="348"/>
      <c r="O270" s="374"/>
      <c r="P270" s="374"/>
      <c r="Q270" s="379"/>
      <c r="U270" s="320"/>
    </row>
    <row r="271" spans="1:21" x14ac:dyDescent="0.45">
      <c r="A271" s="313">
        <v>12</v>
      </c>
      <c r="B271" s="45"/>
      <c r="C271" s="312"/>
      <c r="D271" s="312"/>
      <c r="E271" s="312"/>
      <c r="F271" s="312"/>
      <c r="G271" s="312"/>
      <c r="H271" s="312"/>
      <c r="I271" s="312"/>
      <c r="J271" s="312"/>
      <c r="K271" s="312"/>
      <c r="L271" s="312"/>
      <c r="M271" s="312"/>
      <c r="N271" s="312"/>
      <c r="O271" s="312"/>
      <c r="P271" s="312"/>
      <c r="Q271" s="312"/>
    </row>
    <row r="272" spans="1:21" x14ac:dyDescent="0.45">
      <c r="A272" s="313">
        <v>13</v>
      </c>
      <c r="B272" s="45"/>
      <c r="C272" s="312"/>
      <c r="D272" s="312"/>
      <c r="E272" s="312"/>
      <c r="F272" s="312"/>
      <c r="G272" s="312"/>
      <c r="H272" s="312"/>
      <c r="I272" s="312"/>
      <c r="J272" s="312"/>
      <c r="K272" s="312"/>
      <c r="L272" s="312"/>
      <c r="M272" s="312"/>
      <c r="N272" s="312"/>
      <c r="O272" s="312"/>
      <c r="P272" s="312"/>
      <c r="Q272" s="312"/>
    </row>
    <row r="273" spans="1:17" x14ac:dyDescent="0.45">
      <c r="A273" s="45"/>
      <c r="B273" s="45"/>
      <c r="C273" s="312"/>
      <c r="D273" s="45"/>
      <c r="E273" s="45"/>
      <c r="F273" s="45"/>
      <c r="G273" s="45"/>
      <c r="H273" s="45"/>
      <c r="I273" s="45"/>
      <c r="J273" s="45"/>
      <c r="K273" s="45"/>
      <c r="L273" s="45"/>
      <c r="M273" s="45"/>
      <c r="N273" s="45"/>
      <c r="O273" s="45"/>
      <c r="P273" s="45"/>
      <c r="Q273" s="45"/>
    </row>
    <row r="274" spans="1:17" x14ac:dyDescent="0.45">
      <c r="A274" s="45"/>
      <c r="B274" s="45"/>
      <c r="C274" s="312"/>
      <c r="D274" s="45"/>
      <c r="E274" s="45"/>
      <c r="F274" s="45"/>
      <c r="G274" s="45"/>
      <c r="H274" s="45"/>
      <c r="I274" s="45"/>
      <c r="J274" s="45"/>
      <c r="K274" s="45"/>
      <c r="L274" s="45"/>
      <c r="M274" s="45"/>
      <c r="N274" s="45"/>
      <c r="O274" s="45"/>
      <c r="P274" s="45"/>
      <c r="Q274" s="45"/>
    </row>
    <row r="275" spans="1:17" x14ac:dyDescent="0.45">
      <c r="A275" s="45"/>
      <c r="B275" s="45"/>
      <c r="C275" s="312"/>
      <c r="D275" s="45"/>
      <c r="E275" s="45"/>
      <c r="F275" s="45"/>
      <c r="G275" s="45"/>
      <c r="H275" s="45"/>
      <c r="I275" s="45"/>
      <c r="J275" s="45"/>
      <c r="K275" s="45"/>
      <c r="L275" s="45"/>
      <c r="M275" s="45"/>
      <c r="N275" s="45"/>
      <c r="O275" s="45"/>
      <c r="P275" s="45"/>
      <c r="Q275" s="45"/>
    </row>
    <row r="276" spans="1:17" x14ac:dyDescent="0.45">
      <c r="A276" s="45"/>
      <c r="B276" s="45"/>
      <c r="C276" s="312"/>
      <c r="D276" s="45"/>
      <c r="E276" s="45"/>
      <c r="F276" s="45"/>
      <c r="G276" s="45"/>
      <c r="H276" s="45"/>
      <c r="I276" s="45"/>
      <c r="J276" s="45"/>
      <c r="K276" s="45"/>
      <c r="L276" s="45"/>
      <c r="M276" s="45"/>
      <c r="N276" s="45"/>
      <c r="O276" s="45"/>
      <c r="P276" s="45"/>
      <c r="Q276" s="45"/>
    </row>
    <row r="277" spans="1:17" x14ac:dyDescent="0.45">
      <c r="A277" s="45"/>
      <c r="B277" s="45"/>
      <c r="C277" s="312"/>
      <c r="D277" s="45"/>
      <c r="E277" s="45"/>
      <c r="F277" s="45"/>
      <c r="G277" s="45"/>
      <c r="H277" s="45"/>
      <c r="I277" s="45"/>
      <c r="J277" s="45"/>
      <c r="K277" s="45"/>
      <c r="L277" s="45"/>
      <c r="M277" s="45"/>
      <c r="N277" s="45"/>
      <c r="O277" s="45"/>
      <c r="P277" s="45"/>
      <c r="Q277" s="45"/>
    </row>
    <row r="278" spans="1:17" x14ac:dyDescent="0.45">
      <c r="A278" s="45"/>
      <c r="B278" s="426" t="s">
        <v>56</v>
      </c>
      <c r="C278" s="312"/>
      <c r="D278" s="45"/>
      <c r="E278" s="45"/>
      <c r="F278" s="45"/>
      <c r="G278" s="45"/>
      <c r="H278" s="45"/>
      <c r="I278" s="45"/>
      <c r="J278" s="45"/>
      <c r="K278" s="45"/>
      <c r="L278" s="45"/>
      <c r="M278" s="45"/>
      <c r="N278" s="45"/>
      <c r="O278" s="45"/>
      <c r="P278" s="45"/>
      <c r="Q278" s="45"/>
    </row>
    <row r="279" spans="1:17" x14ac:dyDescent="0.45">
      <c r="A279" s="45"/>
      <c r="B279" s="45"/>
      <c r="C279" s="312"/>
      <c r="D279" s="45"/>
      <c r="E279" s="45"/>
      <c r="F279" s="45"/>
      <c r="G279" s="45"/>
      <c r="H279" s="45"/>
      <c r="I279" s="45"/>
      <c r="J279" s="45"/>
      <c r="K279" s="45"/>
      <c r="L279" s="45"/>
      <c r="M279" s="45"/>
      <c r="N279" s="45"/>
      <c r="O279" s="45"/>
      <c r="P279" s="45"/>
      <c r="Q279" s="45"/>
    </row>
    <row r="280" spans="1:17" x14ac:dyDescent="0.45">
      <c r="A280" s="45"/>
      <c r="B280" s="426" t="s">
        <v>57</v>
      </c>
      <c r="C280" s="312"/>
      <c r="D280" s="45"/>
      <c r="E280" s="45"/>
      <c r="F280" s="45"/>
      <c r="G280" s="45"/>
      <c r="H280" s="45"/>
      <c r="I280" s="45"/>
      <c r="J280" s="45"/>
      <c r="K280" s="45"/>
      <c r="L280" s="45"/>
      <c r="M280" s="45"/>
      <c r="N280" s="45"/>
      <c r="O280" s="45"/>
      <c r="P280" s="45"/>
      <c r="Q280" s="45"/>
    </row>
    <row r="281" spans="1:17" x14ac:dyDescent="0.45">
      <c r="A281" s="45"/>
      <c r="B281" s="431" t="s">
        <v>1266</v>
      </c>
      <c r="C281" s="312"/>
      <c r="D281" s="45"/>
      <c r="E281" s="45"/>
      <c r="F281" s="45"/>
      <c r="G281" s="45"/>
      <c r="H281" s="45"/>
      <c r="I281" s="45"/>
      <c r="J281" s="45"/>
      <c r="K281" s="45"/>
      <c r="L281" s="45"/>
      <c r="M281" s="45"/>
      <c r="N281" s="45"/>
      <c r="O281" s="45"/>
      <c r="P281" s="45"/>
      <c r="Q281" s="45"/>
    </row>
    <row r="282" spans="1:17" x14ac:dyDescent="0.45">
      <c r="A282" s="45"/>
      <c r="B282" s="426" t="s">
        <v>1267</v>
      </c>
      <c r="C282" s="45"/>
      <c r="D282" s="45"/>
      <c r="E282" s="45"/>
      <c r="F282" s="45"/>
      <c r="G282" s="45"/>
      <c r="H282" s="45"/>
      <c r="I282" s="45"/>
      <c r="J282" s="45"/>
      <c r="K282" s="45"/>
      <c r="L282" s="45"/>
      <c r="M282" s="45"/>
      <c r="N282" s="45"/>
      <c r="O282" s="45"/>
      <c r="P282" s="45"/>
      <c r="Q282" s="45"/>
    </row>
    <row r="283" spans="1:17" x14ac:dyDescent="0.45">
      <c r="A283" s="313">
        <v>1</v>
      </c>
      <c r="B283" s="424" t="s">
        <v>1268</v>
      </c>
      <c r="C283" s="425" t="s">
        <v>1269</v>
      </c>
      <c r="D283" s="322">
        <v>1</v>
      </c>
      <c r="E283" s="45"/>
      <c r="F283" s="322">
        <v>0.93811</v>
      </c>
      <c r="G283" s="322"/>
      <c r="H283" s="322">
        <v>4.249E-2</v>
      </c>
      <c r="I283" s="322"/>
      <c r="J283" s="45">
        <v>1.9400000000000001E-2</v>
      </c>
      <c r="K283" s="322">
        <v>9.8399999999999998E-3</v>
      </c>
      <c r="L283" s="322">
        <v>9.5600000000000008E-3</v>
      </c>
      <c r="M283" s="322"/>
      <c r="N283" s="322"/>
      <c r="O283" s="322"/>
      <c r="P283" s="322"/>
      <c r="Q283" s="322"/>
    </row>
    <row r="284" spans="1:17" x14ac:dyDescent="0.45">
      <c r="A284" s="313">
        <v>2</v>
      </c>
      <c r="B284" s="424" t="s">
        <v>1270</v>
      </c>
      <c r="C284" s="425" t="s">
        <v>1271</v>
      </c>
      <c r="D284" s="322">
        <v>1</v>
      </c>
      <c r="E284" s="45"/>
      <c r="F284" s="322">
        <v>0.51436999999999999</v>
      </c>
      <c r="G284" s="322"/>
      <c r="H284" s="322">
        <v>0.33338000000000001</v>
      </c>
      <c r="I284" s="322"/>
      <c r="J284" s="45">
        <v>0.15225</v>
      </c>
      <c r="K284" s="322">
        <v>7.7229999999999993E-2</v>
      </c>
      <c r="L284" s="322">
        <v>7.5020000000000003E-2</v>
      </c>
      <c r="M284" s="322"/>
      <c r="N284" s="322"/>
      <c r="O284" s="322"/>
      <c r="P284" s="322"/>
      <c r="Q284" s="322"/>
    </row>
    <row r="285" spans="1:17" x14ac:dyDescent="0.45">
      <c r="A285" s="313">
        <v>3</v>
      </c>
      <c r="B285" s="424" t="s">
        <v>1272</v>
      </c>
      <c r="C285" s="425" t="s">
        <v>1273</v>
      </c>
      <c r="D285" s="322">
        <v>1</v>
      </c>
      <c r="E285" s="45"/>
      <c r="F285" s="322">
        <v>0</v>
      </c>
      <c r="G285" s="322"/>
      <c r="H285" s="322">
        <v>1</v>
      </c>
      <c r="I285" s="322"/>
      <c r="J285" s="45">
        <v>0</v>
      </c>
      <c r="K285" s="322">
        <v>0</v>
      </c>
      <c r="L285" s="322">
        <v>0</v>
      </c>
      <c r="M285" s="322"/>
      <c r="N285" s="322"/>
      <c r="O285" s="322"/>
      <c r="P285" s="322"/>
      <c r="Q285" s="322"/>
    </row>
    <row r="286" spans="1:17" x14ac:dyDescent="0.45">
      <c r="A286" s="313">
        <v>4</v>
      </c>
      <c r="B286" s="424" t="s">
        <v>1274</v>
      </c>
      <c r="C286" s="425" t="s">
        <v>1275</v>
      </c>
      <c r="D286" s="322">
        <v>1</v>
      </c>
      <c r="E286" s="45"/>
      <c r="F286" s="322">
        <v>0.97974000000000006</v>
      </c>
      <c r="G286" s="322"/>
      <c r="H286" s="322">
        <v>0</v>
      </c>
      <c r="I286" s="322"/>
      <c r="J286" s="45">
        <v>2.026E-2</v>
      </c>
      <c r="K286" s="322">
        <v>1.0279999999999999E-2</v>
      </c>
      <c r="L286" s="322">
        <v>9.9799999999999993E-3</v>
      </c>
      <c r="M286" s="322"/>
      <c r="N286" s="322"/>
      <c r="O286" s="322"/>
      <c r="P286" s="322"/>
      <c r="Q286" s="322"/>
    </row>
    <row r="287" spans="1:17" x14ac:dyDescent="0.45">
      <c r="A287" s="313">
        <v>5</v>
      </c>
      <c r="B287" s="424" t="s">
        <v>1276</v>
      </c>
      <c r="C287" s="425" t="s">
        <v>1277</v>
      </c>
      <c r="D287" s="322">
        <v>1</v>
      </c>
      <c r="E287" s="45"/>
      <c r="F287" s="322">
        <v>0.77161000000000002</v>
      </c>
      <c r="G287" s="322"/>
      <c r="H287" s="322">
        <v>0</v>
      </c>
      <c r="I287" s="322"/>
      <c r="J287" s="45">
        <v>0.22839000000000001</v>
      </c>
      <c r="K287" s="322">
        <v>0.11584999999999999</v>
      </c>
      <c r="L287" s="322">
        <v>0.11254</v>
      </c>
      <c r="M287" s="322"/>
      <c r="N287" s="322"/>
      <c r="O287" s="322"/>
      <c r="P287" s="322"/>
      <c r="Q287" s="322"/>
    </row>
    <row r="288" spans="1:17" x14ac:dyDescent="0.45">
      <c r="A288" s="313">
        <v>6</v>
      </c>
      <c r="B288" s="424" t="s">
        <v>1278</v>
      </c>
      <c r="C288" s="425" t="s">
        <v>1279</v>
      </c>
      <c r="D288" s="322">
        <v>1</v>
      </c>
      <c r="E288" s="45"/>
      <c r="F288" s="322">
        <v>0.97974000000000006</v>
      </c>
      <c r="G288" s="322"/>
      <c r="H288" s="322">
        <v>0</v>
      </c>
      <c r="I288" s="322"/>
      <c r="J288" s="45">
        <v>2.026E-2</v>
      </c>
      <c r="K288" s="322">
        <v>1.0279999999999999E-2</v>
      </c>
      <c r="L288" s="322">
        <v>9.9799999999999993E-3</v>
      </c>
      <c r="M288" s="322"/>
      <c r="N288" s="322"/>
      <c r="O288" s="322"/>
      <c r="P288" s="322"/>
      <c r="Q288" s="322"/>
    </row>
    <row r="289" spans="1:17" x14ac:dyDescent="0.45">
      <c r="A289" s="45"/>
      <c r="B289" s="426" t="s">
        <v>1280</v>
      </c>
      <c r="C289" s="45"/>
      <c r="D289" s="45"/>
      <c r="E289" s="45"/>
      <c r="F289" s="45"/>
      <c r="G289" s="45"/>
      <c r="H289" s="45"/>
      <c r="I289" s="45"/>
      <c r="J289" s="45"/>
      <c r="K289" s="45"/>
      <c r="L289" s="45"/>
      <c r="M289" s="45"/>
      <c r="N289" s="45"/>
      <c r="O289" s="45"/>
      <c r="P289" s="45"/>
      <c r="Q289" s="45"/>
    </row>
    <row r="290" spans="1:17" x14ac:dyDescent="0.45">
      <c r="A290" s="313">
        <v>7</v>
      </c>
      <c r="B290" s="424" t="s">
        <v>1281</v>
      </c>
      <c r="C290" s="425" t="s">
        <v>1282</v>
      </c>
      <c r="D290" s="322">
        <v>1</v>
      </c>
      <c r="E290" s="45"/>
      <c r="F290" s="322">
        <v>0.93811</v>
      </c>
      <c r="G290" s="322"/>
      <c r="H290" s="322">
        <v>4.249E-2</v>
      </c>
      <c r="I290" s="322"/>
      <c r="J290" s="45">
        <v>1.9400000000000001E-2</v>
      </c>
      <c r="K290" s="322">
        <v>9.8399999999999998E-3</v>
      </c>
      <c r="L290" s="322">
        <v>9.5600000000000008E-3</v>
      </c>
      <c r="M290" s="322"/>
      <c r="N290" s="322"/>
      <c r="O290" s="322"/>
      <c r="P290" s="322"/>
      <c r="Q290" s="322"/>
    </row>
    <row r="291" spans="1:17" x14ac:dyDescent="0.45">
      <c r="A291" s="313">
        <v>8</v>
      </c>
      <c r="B291" s="424" t="s">
        <v>1283</v>
      </c>
      <c r="C291" s="425" t="s">
        <v>1284</v>
      </c>
      <c r="D291" s="322">
        <v>1</v>
      </c>
      <c r="E291" s="45"/>
      <c r="F291" s="322">
        <v>0</v>
      </c>
      <c r="G291" s="322"/>
      <c r="H291" s="322">
        <v>1</v>
      </c>
      <c r="I291" s="322"/>
      <c r="J291" s="45">
        <v>0</v>
      </c>
      <c r="K291" s="322">
        <v>0</v>
      </c>
      <c r="L291" s="322">
        <v>0</v>
      </c>
      <c r="M291" s="322"/>
      <c r="N291" s="322"/>
      <c r="O291" s="322"/>
      <c r="P291" s="322"/>
      <c r="Q291" s="322"/>
    </row>
    <row r="292" spans="1:17" x14ac:dyDescent="0.45">
      <c r="A292" s="313">
        <v>9</v>
      </c>
      <c r="B292" s="427" t="s">
        <v>1848</v>
      </c>
      <c r="C292" s="428" t="s">
        <v>1849</v>
      </c>
      <c r="D292" s="322">
        <v>1</v>
      </c>
      <c r="E292" s="45"/>
      <c r="F292" s="322">
        <v>0.95667000000000002</v>
      </c>
      <c r="G292" s="322"/>
      <c r="H292" s="322">
        <v>4.333E-2</v>
      </c>
      <c r="I292" s="322"/>
      <c r="J292" s="45">
        <v>0</v>
      </c>
      <c r="K292" s="322">
        <v>0</v>
      </c>
      <c r="L292" s="322">
        <v>0</v>
      </c>
      <c r="M292" s="322"/>
      <c r="N292" s="322"/>
      <c r="O292" s="322"/>
      <c r="P292" s="322"/>
      <c r="Q292" s="322"/>
    </row>
    <row r="293" spans="1:17" x14ac:dyDescent="0.45">
      <c r="A293" s="313">
        <v>10</v>
      </c>
      <c r="B293" s="424" t="s">
        <v>1285</v>
      </c>
      <c r="C293" s="425" t="s">
        <v>1286</v>
      </c>
      <c r="D293" s="322">
        <v>1</v>
      </c>
      <c r="E293" s="45"/>
      <c r="F293" s="322">
        <v>0</v>
      </c>
      <c r="G293" s="322"/>
      <c r="H293" s="322">
        <v>0.68649000000000004</v>
      </c>
      <c r="I293" s="322"/>
      <c r="J293" s="45">
        <v>0.31351000000000001</v>
      </c>
      <c r="K293" s="322">
        <v>0.15903</v>
      </c>
      <c r="L293" s="322">
        <v>0.15448000000000001</v>
      </c>
      <c r="M293" s="322"/>
      <c r="N293" s="322"/>
      <c r="O293" s="322"/>
      <c r="P293" s="322"/>
      <c r="Q293" s="322"/>
    </row>
    <row r="294" spans="1:17" x14ac:dyDescent="0.45">
      <c r="A294" s="313">
        <v>11</v>
      </c>
      <c r="B294" s="427" t="s">
        <v>2131</v>
      </c>
      <c r="C294" s="428" t="s">
        <v>2132</v>
      </c>
      <c r="D294" s="322">
        <v>1</v>
      </c>
      <c r="E294" s="45"/>
      <c r="F294" s="322">
        <v>1</v>
      </c>
      <c r="G294" s="322"/>
      <c r="H294" s="322">
        <v>0</v>
      </c>
      <c r="I294" s="322"/>
      <c r="J294" s="45">
        <v>0</v>
      </c>
      <c r="K294" s="322">
        <v>0</v>
      </c>
      <c r="L294" s="322">
        <v>0</v>
      </c>
      <c r="M294" s="322"/>
      <c r="N294" s="322"/>
      <c r="O294" s="322"/>
      <c r="P294" s="322"/>
      <c r="Q294" s="322"/>
    </row>
    <row r="295" spans="1:17" x14ac:dyDescent="0.45">
      <c r="A295" s="313"/>
      <c r="B295" s="45"/>
      <c r="C295" s="45"/>
      <c r="D295" s="45"/>
      <c r="E295" s="45"/>
      <c r="F295" s="45"/>
      <c r="G295" s="45"/>
      <c r="H295" s="45"/>
      <c r="I295" s="45"/>
      <c r="J295" s="45"/>
      <c r="K295" s="45"/>
      <c r="L295" s="45"/>
      <c r="M295" s="45"/>
      <c r="N295" s="45"/>
      <c r="O295" s="45"/>
      <c r="P295" s="45"/>
      <c r="Q295" s="45"/>
    </row>
    <row r="296" spans="1:17" x14ac:dyDescent="0.45">
      <c r="A296" s="45"/>
      <c r="B296" s="426" t="s">
        <v>1287</v>
      </c>
      <c r="C296" s="45"/>
      <c r="D296" s="45"/>
      <c r="E296" s="45"/>
      <c r="F296" s="45"/>
      <c r="G296" s="45"/>
      <c r="H296" s="45"/>
      <c r="I296" s="45"/>
      <c r="J296" s="45"/>
      <c r="K296" s="45"/>
      <c r="L296" s="45"/>
      <c r="M296" s="45"/>
      <c r="N296" s="45"/>
      <c r="O296" s="45"/>
      <c r="P296" s="45"/>
      <c r="Q296" s="45"/>
    </row>
    <row r="297" spans="1:17" x14ac:dyDescent="0.45">
      <c r="A297" s="313">
        <v>12</v>
      </c>
      <c r="B297" s="424" t="s">
        <v>1850</v>
      </c>
      <c r="C297" s="425" t="s">
        <v>1851</v>
      </c>
      <c r="D297" s="322">
        <v>1</v>
      </c>
      <c r="E297" s="45"/>
      <c r="F297" s="322">
        <v>0.999</v>
      </c>
      <c r="G297" s="322"/>
      <c r="H297" s="322">
        <v>0</v>
      </c>
      <c r="I297" s="322"/>
      <c r="J297" s="45">
        <v>1E-3</v>
      </c>
      <c r="K297" s="322">
        <v>1E-3</v>
      </c>
      <c r="L297" s="322">
        <v>0</v>
      </c>
      <c r="M297" s="322"/>
      <c r="N297" s="322"/>
      <c r="O297" s="322"/>
      <c r="P297" s="322"/>
      <c r="Q297" s="322"/>
    </row>
    <row r="298" spans="1:17" x14ac:dyDescent="0.45">
      <c r="A298" s="313">
        <v>13</v>
      </c>
      <c r="B298" s="424" t="s">
        <v>1852</v>
      </c>
      <c r="C298" s="425" t="s">
        <v>1853</v>
      </c>
      <c r="D298" s="322">
        <v>1</v>
      </c>
      <c r="E298" s="45"/>
      <c r="F298" s="322">
        <v>0.98802000000000001</v>
      </c>
      <c r="G298" s="322"/>
      <c r="H298" s="322">
        <v>0</v>
      </c>
      <c r="I298" s="322"/>
      <c r="J298" s="45">
        <v>1.1979999999999999E-2</v>
      </c>
      <c r="K298" s="322">
        <v>1.1979999999999999E-2</v>
      </c>
      <c r="L298" s="322">
        <v>0</v>
      </c>
      <c r="M298" s="322"/>
      <c r="N298" s="322"/>
      <c r="O298" s="322"/>
      <c r="P298" s="322"/>
      <c r="Q298" s="322"/>
    </row>
    <row r="299" spans="1:17" x14ac:dyDescent="0.45">
      <c r="A299" s="313">
        <v>14</v>
      </c>
      <c r="B299" s="424" t="s">
        <v>1854</v>
      </c>
      <c r="C299" s="425" t="s">
        <v>1855</v>
      </c>
      <c r="D299" s="322">
        <v>1</v>
      </c>
      <c r="E299" s="45"/>
      <c r="F299" s="322">
        <v>0.98982999999999999</v>
      </c>
      <c r="G299" s="322"/>
      <c r="H299" s="322">
        <v>0</v>
      </c>
      <c r="I299" s="322"/>
      <c r="J299" s="45">
        <v>1.017E-2</v>
      </c>
      <c r="K299" s="322">
        <v>1.017E-2</v>
      </c>
      <c r="L299" s="322">
        <v>0</v>
      </c>
      <c r="M299" s="322"/>
      <c r="N299" s="322"/>
      <c r="O299" s="322"/>
      <c r="P299" s="322"/>
      <c r="Q299" s="322"/>
    </row>
    <row r="300" spans="1:17" x14ac:dyDescent="0.45">
      <c r="A300" s="313">
        <v>15</v>
      </c>
      <c r="B300" s="424" t="s">
        <v>1856</v>
      </c>
      <c r="C300" s="425" t="s">
        <v>1857</v>
      </c>
      <c r="D300" s="322">
        <v>1</v>
      </c>
      <c r="E300" s="45"/>
      <c r="F300" s="322">
        <v>1</v>
      </c>
      <c r="G300" s="322"/>
      <c r="H300" s="322">
        <v>0</v>
      </c>
      <c r="I300" s="322"/>
      <c r="J300" s="45">
        <v>0</v>
      </c>
      <c r="K300" s="322">
        <v>0</v>
      </c>
      <c r="L300" s="322">
        <v>0</v>
      </c>
      <c r="M300" s="322"/>
      <c r="N300" s="322"/>
      <c r="O300" s="322"/>
      <c r="P300" s="322"/>
      <c r="Q300" s="322"/>
    </row>
    <row r="301" spans="1:17" x14ac:dyDescent="0.45">
      <c r="A301" s="313">
        <v>16</v>
      </c>
      <c r="B301" s="424" t="s">
        <v>1858</v>
      </c>
      <c r="C301" s="425" t="s">
        <v>1859</v>
      </c>
      <c r="D301" s="322">
        <v>1</v>
      </c>
      <c r="E301" s="45"/>
      <c r="F301" s="322">
        <v>1</v>
      </c>
      <c r="G301" s="322"/>
      <c r="H301" s="322">
        <v>0</v>
      </c>
      <c r="I301" s="322"/>
      <c r="J301" s="45">
        <v>0</v>
      </c>
      <c r="K301" s="322">
        <v>0</v>
      </c>
      <c r="L301" s="322">
        <v>0</v>
      </c>
      <c r="M301" s="322"/>
      <c r="N301" s="322"/>
      <c r="O301" s="322"/>
      <c r="P301" s="322"/>
      <c r="Q301" s="322"/>
    </row>
    <row r="302" spans="1:17" x14ac:dyDescent="0.45">
      <c r="A302" s="313">
        <v>17</v>
      </c>
      <c r="B302" s="424" t="s">
        <v>1860</v>
      </c>
      <c r="C302" s="425" t="s">
        <v>1861</v>
      </c>
      <c r="D302" s="322">
        <v>1</v>
      </c>
      <c r="E302" s="45"/>
      <c r="F302" s="322">
        <v>1</v>
      </c>
      <c r="G302" s="322"/>
      <c r="H302" s="322">
        <v>0</v>
      </c>
      <c r="I302" s="322"/>
      <c r="J302" s="45">
        <v>0</v>
      </c>
      <c r="K302" s="322">
        <v>0</v>
      </c>
      <c r="L302" s="322">
        <v>0</v>
      </c>
      <c r="M302" s="322"/>
      <c r="N302" s="322"/>
      <c r="O302" s="322"/>
      <c r="P302" s="322"/>
      <c r="Q302" s="322"/>
    </row>
    <row r="303" spans="1:17" x14ac:dyDescent="0.45">
      <c r="A303" s="313">
        <v>18</v>
      </c>
      <c r="B303" s="424" t="s">
        <v>1862</v>
      </c>
      <c r="C303" s="425" t="s">
        <v>1863</v>
      </c>
      <c r="D303" s="322">
        <v>1</v>
      </c>
      <c r="E303" s="45"/>
      <c r="F303" s="322">
        <v>1</v>
      </c>
      <c r="G303" s="322"/>
      <c r="H303" s="322">
        <v>0</v>
      </c>
      <c r="I303" s="322"/>
      <c r="J303" s="45">
        <v>0</v>
      </c>
      <c r="K303" s="322">
        <v>0</v>
      </c>
      <c r="L303" s="322">
        <v>0</v>
      </c>
      <c r="M303" s="322"/>
      <c r="N303" s="322"/>
      <c r="O303" s="322"/>
      <c r="P303" s="322"/>
      <c r="Q303" s="322"/>
    </row>
    <row r="304" spans="1:17" x14ac:dyDescent="0.45">
      <c r="A304" s="313">
        <v>19</v>
      </c>
      <c r="B304" s="424" t="s">
        <v>1864</v>
      </c>
      <c r="C304" s="425" t="s">
        <v>1363</v>
      </c>
      <c r="D304" s="322">
        <v>1</v>
      </c>
      <c r="E304" s="45"/>
      <c r="F304" s="322">
        <v>1</v>
      </c>
      <c r="G304" s="322"/>
      <c r="H304" s="322">
        <v>0</v>
      </c>
      <c r="I304" s="322"/>
      <c r="J304" s="45">
        <v>0</v>
      </c>
      <c r="K304" s="322">
        <v>0</v>
      </c>
      <c r="L304" s="322">
        <v>0</v>
      </c>
      <c r="M304" s="322"/>
      <c r="N304" s="322"/>
      <c r="O304" s="322"/>
      <c r="P304" s="322"/>
      <c r="Q304" s="322"/>
    </row>
    <row r="305" spans="1:17" x14ac:dyDescent="0.45">
      <c r="A305" s="313">
        <v>20</v>
      </c>
      <c r="B305" s="427" t="s">
        <v>1865</v>
      </c>
      <c r="C305" s="428" t="s">
        <v>1785</v>
      </c>
      <c r="D305" s="322">
        <v>1</v>
      </c>
      <c r="E305" s="45"/>
      <c r="F305" s="322">
        <v>1</v>
      </c>
      <c r="G305" s="322"/>
      <c r="H305" s="322">
        <v>0</v>
      </c>
      <c r="I305" s="322"/>
      <c r="J305" s="45">
        <v>0</v>
      </c>
      <c r="K305" s="322">
        <v>0</v>
      </c>
      <c r="L305" s="322">
        <v>0</v>
      </c>
      <c r="M305" s="322"/>
      <c r="N305" s="322"/>
      <c r="O305" s="322"/>
      <c r="P305" s="322"/>
      <c r="Q305" s="322"/>
    </row>
    <row r="306" spans="1:17" x14ac:dyDescent="0.45">
      <c r="A306" s="313">
        <v>21</v>
      </c>
      <c r="B306" s="424" t="s">
        <v>1866</v>
      </c>
      <c r="C306" s="425" t="s">
        <v>1867</v>
      </c>
      <c r="D306" s="322">
        <v>1</v>
      </c>
      <c r="E306" s="45"/>
      <c r="F306" s="322">
        <v>0</v>
      </c>
      <c r="G306" s="322"/>
      <c r="H306" s="322">
        <v>1</v>
      </c>
      <c r="I306" s="322"/>
      <c r="J306" s="45">
        <v>0</v>
      </c>
      <c r="K306" s="322">
        <v>0</v>
      </c>
      <c r="L306" s="322">
        <v>0</v>
      </c>
      <c r="M306" s="322"/>
      <c r="N306" s="322"/>
      <c r="O306" s="322"/>
      <c r="P306" s="322"/>
      <c r="Q306" s="322"/>
    </row>
    <row r="307" spans="1:17" x14ac:dyDescent="0.45">
      <c r="A307" s="313">
        <v>22</v>
      </c>
      <c r="B307" s="424" t="s">
        <v>1868</v>
      </c>
      <c r="C307" s="425" t="s">
        <v>1869</v>
      </c>
      <c r="D307" s="322">
        <v>1</v>
      </c>
      <c r="E307" s="45"/>
      <c r="F307" s="322">
        <v>0</v>
      </c>
      <c r="G307" s="322"/>
      <c r="H307" s="322">
        <v>1</v>
      </c>
      <c r="I307" s="322"/>
      <c r="J307" s="45">
        <v>0</v>
      </c>
      <c r="K307" s="322">
        <v>0</v>
      </c>
      <c r="L307" s="322">
        <v>0</v>
      </c>
      <c r="M307" s="322"/>
      <c r="N307" s="322"/>
      <c r="O307" s="322"/>
      <c r="P307" s="322"/>
      <c r="Q307" s="322"/>
    </row>
    <row r="308" spans="1:17" x14ac:dyDescent="0.45">
      <c r="A308" s="313">
        <v>23</v>
      </c>
      <c r="B308" s="424" t="s">
        <v>1870</v>
      </c>
      <c r="C308" s="425" t="s">
        <v>1871</v>
      </c>
      <c r="D308" s="322">
        <v>1</v>
      </c>
      <c r="E308" s="45"/>
      <c r="F308" s="322">
        <v>0</v>
      </c>
      <c r="G308" s="322"/>
      <c r="H308" s="322">
        <v>1</v>
      </c>
      <c r="I308" s="322"/>
      <c r="J308" s="45">
        <v>0</v>
      </c>
      <c r="K308" s="322">
        <v>0</v>
      </c>
      <c r="L308" s="322">
        <v>0</v>
      </c>
      <c r="M308" s="322"/>
      <c r="N308" s="322"/>
      <c r="O308" s="322"/>
      <c r="P308" s="322"/>
      <c r="Q308" s="322"/>
    </row>
    <row r="309" spans="1:17" x14ac:dyDescent="0.45">
      <c r="A309" s="313">
        <v>24</v>
      </c>
      <c r="B309" s="316" t="s">
        <v>2188</v>
      </c>
      <c r="C309" s="423" t="s">
        <v>2189</v>
      </c>
      <c r="D309" s="322">
        <v>1</v>
      </c>
      <c r="E309" s="45"/>
      <c r="F309" s="322">
        <v>0.61606000000000005</v>
      </c>
      <c r="G309" s="322"/>
      <c r="H309" s="322">
        <v>0.38394</v>
      </c>
      <c r="I309" s="322"/>
      <c r="J309" s="45">
        <v>0</v>
      </c>
      <c r="K309" s="322">
        <v>0</v>
      </c>
      <c r="L309" s="322">
        <v>0</v>
      </c>
      <c r="M309" s="322"/>
      <c r="N309" s="322"/>
      <c r="O309" s="322"/>
      <c r="P309" s="322"/>
      <c r="Q309" s="322"/>
    </row>
    <row r="310" spans="1:17" x14ac:dyDescent="0.45">
      <c r="A310" s="313">
        <v>25</v>
      </c>
      <c r="B310" s="424" t="s">
        <v>1872</v>
      </c>
      <c r="C310" s="425" t="s">
        <v>1873</v>
      </c>
      <c r="D310" s="322">
        <v>1</v>
      </c>
      <c r="E310" s="45"/>
      <c r="F310" s="322">
        <v>0</v>
      </c>
      <c r="G310" s="322"/>
      <c r="H310" s="322">
        <v>1</v>
      </c>
      <c r="I310" s="322"/>
      <c r="J310" s="45">
        <v>0</v>
      </c>
      <c r="K310" s="322">
        <v>0</v>
      </c>
      <c r="L310" s="322">
        <v>0</v>
      </c>
      <c r="M310" s="322"/>
      <c r="N310" s="322"/>
      <c r="O310" s="322"/>
      <c r="P310" s="322"/>
      <c r="Q310" s="322"/>
    </row>
    <row r="311" spans="1:17" x14ac:dyDescent="0.45">
      <c r="A311" s="313">
        <v>26</v>
      </c>
      <c r="B311" s="424" t="s">
        <v>1874</v>
      </c>
      <c r="C311" s="425" t="s">
        <v>1875</v>
      </c>
      <c r="D311" s="322">
        <v>1</v>
      </c>
      <c r="E311" s="45"/>
      <c r="F311" s="322">
        <v>0</v>
      </c>
      <c r="G311" s="322"/>
      <c r="H311" s="322">
        <v>1</v>
      </c>
      <c r="I311" s="322"/>
      <c r="J311" s="45">
        <v>0</v>
      </c>
      <c r="K311" s="322">
        <v>0</v>
      </c>
      <c r="L311" s="322">
        <v>0</v>
      </c>
      <c r="M311" s="322"/>
      <c r="N311" s="322"/>
      <c r="O311" s="322"/>
      <c r="P311" s="322"/>
      <c r="Q311" s="322"/>
    </row>
    <row r="312" spans="1:17" x14ac:dyDescent="0.45">
      <c r="A312" s="313">
        <v>27</v>
      </c>
      <c r="B312" s="424" t="s">
        <v>1876</v>
      </c>
      <c r="C312" s="425" t="s">
        <v>1877</v>
      </c>
      <c r="D312" s="322">
        <v>1</v>
      </c>
      <c r="E312" s="45"/>
      <c r="F312" s="322">
        <v>0</v>
      </c>
      <c r="G312" s="322"/>
      <c r="H312" s="322">
        <v>1</v>
      </c>
      <c r="I312" s="322"/>
      <c r="J312" s="45">
        <v>0</v>
      </c>
      <c r="K312" s="322">
        <v>0</v>
      </c>
      <c r="L312" s="322">
        <v>0</v>
      </c>
      <c r="M312" s="322"/>
      <c r="N312" s="322"/>
      <c r="O312" s="322"/>
      <c r="P312" s="322"/>
      <c r="Q312" s="322"/>
    </row>
    <row r="313" spans="1:17" x14ac:dyDescent="0.45">
      <c r="A313" s="313">
        <v>28</v>
      </c>
      <c r="B313" s="424" t="s">
        <v>1878</v>
      </c>
      <c r="C313" s="425" t="s">
        <v>1364</v>
      </c>
      <c r="D313" s="322">
        <v>1</v>
      </c>
      <c r="E313" s="45"/>
      <c r="F313" s="322">
        <v>0</v>
      </c>
      <c r="G313" s="322"/>
      <c r="H313" s="322">
        <v>1</v>
      </c>
      <c r="I313" s="322"/>
      <c r="J313" s="45">
        <v>0</v>
      </c>
      <c r="K313" s="322">
        <v>0</v>
      </c>
      <c r="L313" s="322">
        <v>0</v>
      </c>
      <c r="M313" s="322"/>
      <c r="N313" s="322"/>
      <c r="O313" s="322"/>
      <c r="P313" s="322"/>
      <c r="Q313" s="322"/>
    </row>
    <row r="314" spans="1:17" x14ac:dyDescent="0.45">
      <c r="A314" s="313">
        <v>29</v>
      </c>
      <c r="B314" s="424" t="s">
        <v>1879</v>
      </c>
      <c r="C314" s="425" t="s">
        <v>1880</v>
      </c>
      <c r="D314" s="322">
        <v>1</v>
      </c>
      <c r="E314" s="45"/>
      <c r="F314" s="322">
        <v>1</v>
      </c>
      <c r="G314" s="322"/>
      <c r="H314" s="322">
        <v>0</v>
      </c>
      <c r="I314" s="322"/>
      <c r="J314" s="45">
        <v>0</v>
      </c>
      <c r="K314" s="322">
        <v>0</v>
      </c>
      <c r="L314" s="322">
        <v>0</v>
      </c>
      <c r="M314" s="322"/>
      <c r="N314" s="322"/>
      <c r="O314" s="322"/>
      <c r="P314" s="322"/>
      <c r="Q314" s="322"/>
    </row>
    <row r="315" spans="1:17" x14ac:dyDescent="0.45">
      <c r="A315" s="313">
        <v>30</v>
      </c>
      <c r="B315" s="424" t="s">
        <v>1881</v>
      </c>
      <c r="C315" s="425" t="s">
        <v>1882</v>
      </c>
      <c r="D315" s="322">
        <v>1</v>
      </c>
      <c r="E315" s="45"/>
      <c r="F315" s="322">
        <v>1</v>
      </c>
      <c r="G315" s="322"/>
      <c r="H315" s="322">
        <v>0</v>
      </c>
      <c r="I315" s="322"/>
      <c r="J315" s="45">
        <v>0</v>
      </c>
      <c r="K315" s="322">
        <v>0</v>
      </c>
      <c r="L315" s="322">
        <v>0</v>
      </c>
      <c r="M315" s="322"/>
      <c r="N315" s="322"/>
      <c r="O315" s="322"/>
      <c r="P315" s="322"/>
      <c r="Q315" s="322"/>
    </row>
    <row r="316" spans="1:17" x14ac:dyDescent="0.45">
      <c r="A316" s="313">
        <v>31</v>
      </c>
      <c r="B316" s="424" t="s">
        <v>1883</v>
      </c>
      <c r="C316" s="425" t="s">
        <v>1884</v>
      </c>
      <c r="D316" s="322">
        <v>1</v>
      </c>
      <c r="E316" s="45"/>
      <c r="F316" s="322">
        <v>1</v>
      </c>
      <c r="G316" s="322"/>
      <c r="H316" s="322">
        <v>0</v>
      </c>
      <c r="I316" s="322"/>
      <c r="J316" s="45">
        <v>0</v>
      </c>
      <c r="K316" s="322">
        <v>0</v>
      </c>
      <c r="L316" s="322">
        <v>0</v>
      </c>
      <c r="M316" s="322"/>
      <c r="N316" s="322"/>
      <c r="O316" s="322"/>
      <c r="P316" s="322"/>
      <c r="Q316" s="322"/>
    </row>
    <row r="317" spans="1:17" x14ac:dyDescent="0.45">
      <c r="A317" s="313">
        <v>32</v>
      </c>
      <c r="B317" s="424" t="s">
        <v>1885</v>
      </c>
      <c r="C317" s="425" t="s">
        <v>1886</v>
      </c>
      <c r="D317" s="322">
        <v>1</v>
      </c>
      <c r="E317" s="45"/>
      <c r="F317" s="322">
        <v>1</v>
      </c>
      <c r="G317" s="322"/>
      <c r="H317" s="322">
        <v>0</v>
      </c>
      <c r="I317" s="322"/>
      <c r="J317" s="45">
        <v>0</v>
      </c>
      <c r="K317" s="322">
        <v>0</v>
      </c>
      <c r="L317" s="322">
        <v>0</v>
      </c>
      <c r="M317" s="322"/>
      <c r="N317" s="322"/>
      <c r="O317" s="322"/>
      <c r="P317" s="322"/>
      <c r="Q317" s="322"/>
    </row>
    <row r="318" spans="1:17" x14ac:dyDescent="0.45">
      <c r="A318" s="313">
        <v>33</v>
      </c>
      <c r="B318" s="424" t="s">
        <v>1887</v>
      </c>
      <c r="C318" s="425" t="s">
        <v>1888</v>
      </c>
      <c r="D318" s="322">
        <v>1</v>
      </c>
      <c r="E318" s="45"/>
      <c r="F318" s="322">
        <v>1</v>
      </c>
      <c r="G318" s="322"/>
      <c r="H318" s="322">
        <v>0</v>
      </c>
      <c r="I318" s="322"/>
      <c r="J318" s="45">
        <v>0</v>
      </c>
      <c r="K318" s="322">
        <v>0</v>
      </c>
      <c r="L318" s="322">
        <v>0</v>
      </c>
      <c r="M318" s="322"/>
      <c r="N318" s="322"/>
      <c r="O318" s="322"/>
      <c r="P318" s="322"/>
      <c r="Q318" s="322"/>
    </row>
    <row r="319" spans="1:17" x14ac:dyDescent="0.45">
      <c r="A319" s="313">
        <v>34</v>
      </c>
      <c r="B319" s="424" t="s">
        <v>1889</v>
      </c>
      <c r="C319" s="425" t="s">
        <v>1890</v>
      </c>
      <c r="D319" s="322">
        <v>0</v>
      </c>
      <c r="E319" s="45"/>
      <c r="F319" s="322">
        <v>0</v>
      </c>
      <c r="G319" s="322"/>
      <c r="H319" s="322">
        <v>0</v>
      </c>
      <c r="I319" s="322"/>
      <c r="J319" s="45">
        <v>0</v>
      </c>
      <c r="K319" s="322">
        <v>0</v>
      </c>
      <c r="L319" s="322">
        <v>0</v>
      </c>
      <c r="M319" s="322"/>
      <c r="N319" s="322"/>
      <c r="O319" s="322"/>
      <c r="P319" s="322"/>
      <c r="Q319" s="322"/>
    </row>
    <row r="320" spans="1:17" x14ac:dyDescent="0.45">
      <c r="A320" s="313">
        <v>35</v>
      </c>
      <c r="B320" s="424" t="s">
        <v>1891</v>
      </c>
      <c r="C320" s="425" t="s">
        <v>1892</v>
      </c>
      <c r="D320" s="322">
        <v>0</v>
      </c>
      <c r="E320" s="45"/>
      <c r="F320" s="322">
        <v>0</v>
      </c>
      <c r="G320" s="322"/>
      <c r="H320" s="322">
        <v>0</v>
      </c>
      <c r="I320" s="322"/>
      <c r="J320" s="45">
        <v>0</v>
      </c>
      <c r="K320" s="322">
        <v>0</v>
      </c>
      <c r="L320" s="322">
        <v>0</v>
      </c>
      <c r="M320" s="322"/>
      <c r="N320" s="322"/>
      <c r="O320" s="322"/>
      <c r="P320" s="322"/>
      <c r="Q320" s="322"/>
    </row>
    <row r="321" spans="1:17" x14ac:dyDescent="0.45">
      <c r="A321" s="313">
        <v>36</v>
      </c>
      <c r="B321" s="424" t="s">
        <v>1893</v>
      </c>
      <c r="C321" s="425" t="s">
        <v>1894</v>
      </c>
      <c r="D321" s="322">
        <v>0</v>
      </c>
      <c r="E321" s="45"/>
      <c r="F321" s="322">
        <v>0</v>
      </c>
      <c r="G321" s="322"/>
      <c r="H321" s="322">
        <v>0</v>
      </c>
      <c r="I321" s="322"/>
      <c r="J321" s="45">
        <v>0</v>
      </c>
      <c r="K321" s="322">
        <v>0</v>
      </c>
      <c r="L321" s="322">
        <v>0</v>
      </c>
      <c r="M321" s="322"/>
      <c r="N321" s="322"/>
      <c r="O321" s="322"/>
      <c r="P321" s="322"/>
      <c r="Q321" s="322"/>
    </row>
    <row r="322" spans="1:17" x14ac:dyDescent="0.45">
      <c r="A322" s="313">
        <v>37</v>
      </c>
      <c r="B322" s="424" t="s">
        <v>1895</v>
      </c>
      <c r="C322" s="425" t="s">
        <v>1896</v>
      </c>
      <c r="D322" s="322">
        <v>0</v>
      </c>
      <c r="E322" s="45"/>
      <c r="F322" s="322">
        <v>0</v>
      </c>
      <c r="G322" s="322"/>
      <c r="H322" s="322">
        <v>0</v>
      </c>
      <c r="I322" s="322"/>
      <c r="J322" s="45">
        <v>0</v>
      </c>
      <c r="K322" s="322">
        <v>0</v>
      </c>
      <c r="L322" s="322">
        <v>0</v>
      </c>
      <c r="M322" s="322"/>
      <c r="N322" s="322"/>
      <c r="O322" s="322"/>
      <c r="P322" s="322"/>
      <c r="Q322" s="322"/>
    </row>
    <row r="323" spans="1:17" x14ac:dyDescent="0.45">
      <c r="A323" s="313">
        <v>38</v>
      </c>
      <c r="B323" s="424" t="s">
        <v>58</v>
      </c>
      <c r="C323" s="425" t="s">
        <v>1366</v>
      </c>
      <c r="D323" s="322">
        <v>1</v>
      </c>
      <c r="E323" s="45"/>
      <c r="F323" s="322">
        <v>4.4000000000000002E-4</v>
      </c>
      <c r="G323" s="322"/>
      <c r="H323" s="322">
        <v>0.99956</v>
      </c>
      <c r="I323" s="322"/>
      <c r="J323" s="45">
        <v>0</v>
      </c>
      <c r="K323" s="322">
        <v>0</v>
      </c>
      <c r="L323" s="322">
        <v>0</v>
      </c>
      <c r="M323" s="322"/>
      <c r="N323" s="322"/>
      <c r="O323" s="322"/>
      <c r="P323" s="322"/>
      <c r="Q323" s="322"/>
    </row>
    <row r="324" spans="1:17" x14ac:dyDescent="0.45">
      <c r="A324" s="313">
        <v>39</v>
      </c>
      <c r="B324" s="424" t="s">
        <v>59</v>
      </c>
      <c r="C324" s="425" t="s">
        <v>1368</v>
      </c>
      <c r="D324" s="322">
        <v>1</v>
      </c>
      <c r="E324" s="45"/>
      <c r="F324" s="322">
        <v>0</v>
      </c>
      <c r="G324" s="322"/>
      <c r="H324" s="322">
        <v>1</v>
      </c>
      <c r="I324" s="322"/>
      <c r="J324" s="45">
        <v>0</v>
      </c>
      <c r="K324" s="322">
        <v>0</v>
      </c>
      <c r="L324" s="322">
        <v>0</v>
      </c>
      <c r="M324" s="322"/>
      <c r="N324" s="322"/>
      <c r="O324" s="322"/>
      <c r="P324" s="322"/>
      <c r="Q324" s="322"/>
    </row>
    <row r="325" spans="1:17" x14ac:dyDescent="0.45">
      <c r="A325" s="313">
        <v>40</v>
      </c>
      <c r="B325" s="424" t="s">
        <v>60</v>
      </c>
      <c r="C325" s="425" t="s">
        <v>1369</v>
      </c>
      <c r="D325" s="322">
        <v>1</v>
      </c>
      <c r="E325" s="45"/>
      <c r="F325" s="322">
        <v>0</v>
      </c>
      <c r="G325" s="322"/>
      <c r="H325" s="322">
        <v>1</v>
      </c>
      <c r="I325" s="322"/>
      <c r="J325" s="45">
        <v>0</v>
      </c>
      <c r="K325" s="322">
        <v>0</v>
      </c>
      <c r="L325" s="322">
        <v>0</v>
      </c>
      <c r="M325" s="322"/>
      <c r="N325" s="322"/>
      <c r="O325" s="322"/>
      <c r="P325" s="322"/>
      <c r="Q325" s="322"/>
    </row>
    <row r="326" spans="1:17" x14ac:dyDescent="0.45">
      <c r="A326" s="313">
        <v>41</v>
      </c>
      <c r="B326" s="424" t="s">
        <v>1449</v>
      </c>
      <c r="C326" s="425" t="s">
        <v>1370</v>
      </c>
      <c r="D326" s="322">
        <v>0</v>
      </c>
      <c r="E326" s="45"/>
      <c r="F326" s="322">
        <v>0</v>
      </c>
      <c r="G326" s="322"/>
      <c r="H326" s="322">
        <v>0</v>
      </c>
      <c r="I326" s="322"/>
      <c r="J326" s="45">
        <v>0</v>
      </c>
      <c r="K326" s="322">
        <v>0</v>
      </c>
      <c r="L326" s="322">
        <v>0</v>
      </c>
      <c r="M326" s="322"/>
      <c r="N326" s="322"/>
      <c r="O326" s="322"/>
      <c r="P326" s="322"/>
      <c r="Q326" s="322"/>
    </row>
    <row r="327" spans="1:17" x14ac:dyDescent="0.45">
      <c r="A327" s="313">
        <v>42</v>
      </c>
      <c r="B327" s="427" t="s">
        <v>1897</v>
      </c>
      <c r="C327" s="428" t="s">
        <v>1898</v>
      </c>
      <c r="D327" s="322">
        <v>1</v>
      </c>
      <c r="E327" s="45"/>
      <c r="F327" s="322">
        <v>0.74419999999999997</v>
      </c>
      <c r="G327" s="322"/>
      <c r="H327" s="322">
        <v>0.19958999999999999</v>
      </c>
      <c r="I327" s="322"/>
      <c r="J327" s="45">
        <v>5.6219999999999999E-2</v>
      </c>
      <c r="K327" s="322">
        <v>5.6219999999999999E-2</v>
      </c>
      <c r="L327" s="322">
        <v>0</v>
      </c>
      <c r="M327" s="322"/>
      <c r="N327" s="322"/>
      <c r="O327" s="322"/>
      <c r="P327" s="322"/>
      <c r="Q327" s="322"/>
    </row>
    <row r="328" spans="1:17" x14ac:dyDescent="0.45">
      <c r="A328" s="313">
        <v>43</v>
      </c>
      <c r="B328" s="427" t="s">
        <v>1899</v>
      </c>
      <c r="C328" s="428" t="s">
        <v>1900</v>
      </c>
      <c r="D328" s="322">
        <v>1</v>
      </c>
      <c r="E328" s="45"/>
      <c r="F328" s="322">
        <v>0.96403000000000005</v>
      </c>
      <c r="G328" s="322"/>
      <c r="H328" s="322">
        <v>3.5970000000000002E-2</v>
      </c>
      <c r="I328" s="322"/>
      <c r="J328" s="45">
        <v>0</v>
      </c>
      <c r="K328" s="322">
        <v>0</v>
      </c>
      <c r="L328" s="322">
        <v>0</v>
      </c>
      <c r="M328" s="322"/>
      <c r="N328" s="322"/>
      <c r="O328" s="322"/>
      <c r="P328" s="322"/>
      <c r="Q328" s="322"/>
    </row>
    <row r="329" spans="1:17" x14ac:dyDescent="0.45">
      <c r="A329" s="313">
        <v>44</v>
      </c>
      <c r="B329" s="427" t="s">
        <v>1901</v>
      </c>
      <c r="C329" s="428" t="s">
        <v>1902</v>
      </c>
      <c r="D329" s="322">
        <v>1</v>
      </c>
      <c r="E329" s="45"/>
      <c r="F329" s="322">
        <v>1</v>
      </c>
      <c r="G329" s="322"/>
      <c r="H329" s="322">
        <v>0</v>
      </c>
      <c r="I329" s="322"/>
      <c r="J329" s="45">
        <v>0</v>
      </c>
      <c r="K329" s="322">
        <v>0</v>
      </c>
      <c r="L329" s="322">
        <v>0</v>
      </c>
      <c r="M329" s="322"/>
      <c r="N329" s="322"/>
      <c r="O329" s="322"/>
      <c r="P329" s="322"/>
      <c r="Q329" s="322"/>
    </row>
    <row r="330" spans="1:17" x14ac:dyDescent="0.45">
      <c r="A330" s="313">
        <v>45</v>
      </c>
      <c r="B330" s="427" t="s">
        <v>1951</v>
      </c>
      <c r="C330" s="429" t="s">
        <v>1904</v>
      </c>
      <c r="D330" s="322">
        <v>1</v>
      </c>
      <c r="E330" s="45"/>
      <c r="F330" s="322">
        <v>0.96748000000000001</v>
      </c>
      <c r="G330" s="322"/>
      <c r="H330" s="322">
        <v>3.252E-2</v>
      </c>
      <c r="I330" s="322"/>
      <c r="J330" s="45">
        <v>0</v>
      </c>
      <c r="K330" s="322">
        <v>0</v>
      </c>
      <c r="L330" s="322">
        <v>0</v>
      </c>
      <c r="M330" s="322"/>
      <c r="N330" s="322"/>
      <c r="O330" s="322"/>
      <c r="P330" s="322"/>
      <c r="Q330" s="322"/>
    </row>
    <row r="331" spans="1:17" x14ac:dyDescent="0.45">
      <c r="A331" s="313">
        <v>46</v>
      </c>
      <c r="B331" s="427" t="s">
        <v>1952</v>
      </c>
      <c r="C331" s="429" t="s">
        <v>1906</v>
      </c>
      <c r="D331" s="322">
        <v>1</v>
      </c>
      <c r="E331" s="45"/>
      <c r="F331" s="322">
        <v>0.99894000000000005</v>
      </c>
      <c r="G331" s="322"/>
      <c r="H331" s="322">
        <v>1.06E-3</v>
      </c>
      <c r="I331" s="322"/>
      <c r="J331" s="45">
        <v>0</v>
      </c>
      <c r="K331" s="322">
        <v>0</v>
      </c>
      <c r="L331" s="322">
        <v>0</v>
      </c>
      <c r="M331" s="322"/>
      <c r="N331" s="322"/>
      <c r="O331" s="322"/>
      <c r="P331" s="322"/>
      <c r="Q331" s="322"/>
    </row>
    <row r="332" spans="1:17" x14ac:dyDescent="0.45">
      <c r="A332" s="313">
        <v>47</v>
      </c>
      <c r="B332" s="427" t="s">
        <v>1953</v>
      </c>
      <c r="C332" s="429" t="s">
        <v>1908</v>
      </c>
      <c r="D332" s="322">
        <v>1</v>
      </c>
      <c r="E332" s="45"/>
      <c r="F332" s="322">
        <v>0.88571999999999995</v>
      </c>
      <c r="G332" s="322"/>
      <c r="H332" s="322">
        <v>0.11428000000000001</v>
      </c>
      <c r="I332" s="322"/>
      <c r="J332" s="45">
        <v>0</v>
      </c>
      <c r="K332" s="322">
        <v>0</v>
      </c>
      <c r="L332" s="322">
        <v>0</v>
      </c>
      <c r="M332" s="322"/>
      <c r="N332" s="322"/>
      <c r="O332" s="322"/>
      <c r="P332" s="322"/>
      <c r="Q332" s="322"/>
    </row>
    <row r="333" spans="1:17" x14ac:dyDescent="0.45">
      <c r="A333" s="313">
        <v>48</v>
      </c>
      <c r="B333" s="424" t="s">
        <v>1371</v>
      </c>
      <c r="C333" s="425" t="s">
        <v>1372</v>
      </c>
      <c r="D333" s="322">
        <v>1</v>
      </c>
      <c r="E333" s="45"/>
      <c r="F333" s="322">
        <v>0</v>
      </c>
      <c r="G333" s="322"/>
      <c r="H333" s="322">
        <v>1</v>
      </c>
      <c r="I333" s="322"/>
      <c r="J333" s="45">
        <v>0</v>
      </c>
      <c r="K333" s="322">
        <v>0</v>
      </c>
      <c r="L333" s="322">
        <v>0</v>
      </c>
      <c r="M333" s="322"/>
      <c r="N333" s="322"/>
      <c r="O333" s="322"/>
      <c r="P333" s="322"/>
      <c r="Q333" s="322"/>
    </row>
    <row r="334" spans="1:17" x14ac:dyDescent="0.45">
      <c r="A334" s="313">
        <v>49</v>
      </c>
      <c r="B334" s="424" t="s">
        <v>1373</v>
      </c>
      <c r="C334" s="425" t="s">
        <v>1374</v>
      </c>
      <c r="D334" s="322">
        <v>0</v>
      </c>
      <c r="E334" s="45"/>
      <c r="F334" s="322">
        <v>0</v>
      </c>
      <c r="G334" s="322"/>
      <c r="H334" s="322">
        <v>0</v>
      </c>
      <c r="I334" s="322"/>
      <c r="J334" s="45">
        <v>0</v>
      </c>
      <c r="K334" s="322">
        <v>0</v>
      </c>
      <c r="L334" s="322">
        <v>0</v>
      </c>
      <c r="M334" s="322"/>
      <c r="N334" s="322"/>
      <c r="O334" s="322"/>
      <c r="P334" s="322"/>
      <c r="Q334" s="322"/>
    </row>
    <row r="335" spans="1:17" x14ac:dyDescent="0.45">
      <c r="A335" s="313">
        <v>50</v>
      </c>
      <c r="B335" s="424" t="s">
        <v>1375</v>
      </c>
      <c r="C335" s="425" t="s">
        <v>1376</v>
      </c>
      <c r="D335" s="322">
        <v>1</v>
      </c>
      <c r="E335" s="45"/>
      <c r="F335" s="322">
        <v>0</v>
      </c>
      <c r="G335" s="322"/>
      <c r="H335" s="322">
        <v>1</v>
      </c>
      <c r="I335" s="322"/>
      <c r="J335" s="45">
        <v>0</v>
      </c>
      <c r="K335" s="322">
        <v>0</v>
      </c>
      <c r="L335" s="322">
        <v>0</v>
      </c>
      <c r="M335" s="322"/>
      <c r="N335" s="322"/>
      <c r="O335" s="322"/>
      <c r="P335" s="322"/>
      <c r="Q335" s="322"/>
    </row>
    <row r="336" spans="1:17" x14ac:dyDescent="0.45">
      <c r="A336" s="313">
        <v>51</v>
      </c>
      <c r="B336" s="424" t="s">
        <v>2500</v>
      </c>
      <c r="C336" s="425" t="s">
        <v>2501</v>
      </c>
      <c r="D336" s="322">
        <v>1</v>
      </c>
      <c r="E336" s="45"/>
      <c r="F336" s="322">
        <v>0.94113000000000002</v>
      </c>
      <c r="G336" s="322"/>
      <c r="H336" s="322">
        <v>5.0209999999999998E-2</v>
      </c>
      <c r="I336" s="322"/>
      <c r="J336" s="45">
        <v>8.6599999999999993E-3</v>
      </c>
      <c r="K336" s="322">
        <v>8.6599999999999993E-3</v>
      </c>
      <c r="L336" s="322">
        <v>0</v>
      </c>
      <c r="M336" s="322"/>
      <c r="N336" s="322"/>
      <c r="O336" s="322"/>
      <c r="P336" s="322"/>
      <c r="Q336" s="322"/>
    </row>
    <row r="337" spans="1:17" x14ac:dyDescent="0.45">
      <c r="A337" s="313">
        <v>52</v>
      </c>
      <c r="B337" s="424" t="s">
        <v>2528</v>
      </c>
      <c r="C337" s="425" t="s">
        <v>2527</v>
      </c>
      <c r="D337" s="322">
        <v>1</v>
      </c>
      <c r="E337" s="45"/>
      <c r="F337" s="322">
        <v>0.93827000000000005</v>
      </c>
      <c r="G337" s="322"/>
      <c r="H337" s="322">
        <v>5.0040000000000001E-2</v>
      </c>
      <c r="I337" s="322"/>
      <c r="J337" s="45">
        <v>1.1690000000000001E-2</v>
      </c>
      <c r="K337" s="322">
        <v>1.1690000000000001E-2</v>
      </c>
      <c r="L337" s="322">
        <v>0</v>
      </c>
      <c r="M337" s="322"/>
      <c r="N337" s="322"/>
      <c r="O337" s="322"/>
      <c r="P337" s="322"/>
      <c r="Q337" s="322"/>
    </row>
    <row r="338" spans="1:17" x14ac:dyDescent="0.45">
      <c r="A338" s="313"/>
      <c r="B338" s="424"/>
      <c r="C338" s="425"/>
      <c r="D338" s="322"/>
      <c r="E338" s="45"/>
      <c r="F338" s="322"/>
      <c r="G338" s="322"/>
      <c r="H338" s="322"/>
      <c r="I338" s="322"/>
      <c r="J338" s="45"/>
      <c r="K338" s="322"/>
      <c r="L338" s="322"/>
      <c r="M338" s="322"/>
      <c r="N338" s="322"/>
      <c r="O338" s="322"/>
      <c r="P338" s="322"/>
      <c r="Q338" s="322"/>
    </row>
    <row r="339" spans="1:17" x14ac:dyDescent="0.45">
      <c r="A339" s="313"/>
      <c r="B339" s="424"/>
      <c r="C339" s="425"/>
      <c r="D339" s="322"/>
      <c r="E339" s="45"/>
      <c r="F339" s="322"/>
      <c r="G339" s="322"/>
      <c r="H339" s="322"/>
      <c r="I339" s="322"/>
      <c r="J339" s="45"/>
      <c r="K339" s="322"/>
      <c r="L339" s="322"/>
      <c r="M339" s="322"/>
      <c r="N339" s="322"/>
      <c r="O339" s="322"/>
      <c r="P339" s="322"/>
      <c r="Q339" s="322"/>
    </row>
    <row r="340" spans="1:17" x14ac:dyDescent="0.45">
      <c r="A340" s="313"/>
      <c r="B340" s="426" t="s">
        <v>2502</v>
      </c>
      <c r="C340" s="425"/>
      <c r="D340" s="322"/>
      <c r="E340" s="45"/>
      <c r="F340" s="322"/>
      <c r="G340" s="322"/>
      <c r="H340" s="322"/>
      <c r="I340" s="322"/>
      <c r="J340" s="45"/>
      <c r="K340" s="322"/>
      <c r="L340" s="322"/>
      <c r="M340" s="322"/>
      <c r="N340" s="322"/>
      <c r="O340" s="322"/>
      <c r="P340" s="322"/>
      <c r="Q340" s="322"/>
    </row>
    <row r="341" spans="1:17" x14ac:dyDescent="0.45">
      <c r="A341" s="313">
        <v>1</v>
      </c>
      <c r="B341" s="424"/>
      <c r="C341" s="425"/>
      <c r="D341" s="322"/>
      <c r="E341" s="45"/>
      <c r="F341" s="322"/>
      <c r="G341" s="322"/>
      <c r="H341" s="322"/>
      <c r="I341" s="322"/>
      <c r="J341" s="45"/>
      <c r="K341" s="322"/>
      <c r="L341" s="322"/>
      <c r="M341" s="322"/>
      <c r="N341" s="322"/>
      <c r="O341" s="322"/>
      <c r="P341" s="322"/>
      <c r="Q341" s="322"/>
    </row>
    <row r="342" spans="1:17" x14ac:dyDescent="0.45">
      <c r="A342" s="313">
        <v>2</v>
      </c>
      <c r="B342" s="45"/>
      <c r="C342" s="45"/>
      <c r="D342" s="45"/>
      <c r="E342" s="45"/>
      <c r="F342" s="45"/>
      <c r="G342" s="45"/>
      <c r="H342" s="45"/>
      <c r="I342" s="45"/>
      <c r="J342" s="45"/>
      <c r="K342" s="45"/>
      <c r="L342" s="45"/>
      <c r="M342" s="45"/>
      <c r="N342" s="45"/>
      <c r="O342" s="45"/>
      <c r="P342" s="45"/>
      <c r="Q342" s="45"/>
    </row>
    <row r="343" spans="1:17" x14ac:dyDescent="0.45">
      <c r="A343" s="45"/>
      <c r="B343" s="45"/>
      <c r="C343" s="312"/>
      <c r="D343" s="45"/>
      <c r="E343" s="45"/>
      <c r="F343" s="45"/>
      <c r="G343" s="45"/>
      <c r="H343" s="45"/>
      <c r="I343" s="45"/>
      <c r="J343" s="45"/>
      <c r="K343" s="45"/>
      <c r="L343" s="45"/>
      <c r="M343" s="45"/>
      <c r="N343" s="45"/>
      <c r="O343" s="45"/>
      <c r="P343" s="45"/>
      <c r="Q343" s="45"/>
    </row>
    <row r="344" spans="1:17" x14ac:dyDescent="0.45">
      <c r="A344" s="45"/>
      <c r="B344" s="45"/>
      <c r="C344" s="312"/>
      <c r="D344" s="45"/>
      <c r="E344" s="45"/>
      <c r="F344" s="45"/>
      <c r="G344" s="45"/>
      <c r="H344" s="45"/>
      <c r="I344" s="45"/>
      <c r="J344" s="45"/>
      <c r="K344" s="45"/>
      <c r="L344" s="45"/>
      <c r="M344" s="45"/>
      <c r="N344" s="45"/>
      <c r="O344" s="45"/>
      <c r="P344" s="45"/>
      <c r="Q344" s="45"/>
    </row>
    <row r="345" spans="1:17" x14ac:dyDescent="0.45">
      <c r="A345" s="45"/>
      <c r="B345" s="426" t="s">
        <v>1377</v>
      </c>
      <c r="C345" s="312"/>
      <c r="D345" s="45"/>
      <c r="E345" s="45"/>
      <c r="F345" s="45"/>
      <c r="G345" s="45"/>
      <c r="H345" s="45"/>
      <c r="I345" s="45"/>
      <c r="J345" s="45"/>
      <c r="K345" s="45"/>
      <c r="L345" s="45"/>
      <c r="M345" s="45"/>
      <c r="N345" s="45"/>
      <c r="O345" s="45"/>
      <c r="P345" s="45"/>
      <c r="Q345" s="45"/>
    </row>
    <row r="346" spans="1:17" x14ac:dyDescent="0.45">
      <c r="A346" s="45"/>
      <c r="B346" s="431" t="s">
        <v>1266</v>
      </c>
      <c r="C346" s="312"/>
      <c r="D346" s="45"/>
      <c r="E346" s="45"/>
      <c r="F346" s="45"/>
      <c r="G346" s="45"/>
      <c r="H346" s="45"/>
      <c r="I346" s="45"/>
      <c r="J346" s="45"/>
      <c r="K346" s="45"/>
      <c r="L346" s="45"/>
      <c r="M346" s="45"/>
      <c r="N346" s="45"/>
      <c r="O346" s="45"/>
      <c r="P346" s="45"/>
      <c r="Q346" s="45"/>
    </row>
    <row r="347" spans="1:17" x14ac:dyDescent="0.45">
      <c r="A347" s="313">
        <v>1</v>
      </c>
      <c r="B347" s="424" t="s">
        <v>1378</v>
      </c>
      <c r="C347" s="425" t="s">
        <v>1377</v>
      </c>
      <c r="D347" s="322">
        <v>1</v>
      </c>
      <c r="E347" s="45"/>
      <c r="F347" s="322">
        <v>0.94182999999999995</v>
      </c>
      <c r="G347" s="322"/>
      <c r="H347" s="322">
        <v>3.7819999999999999E-2</v>
      </c>
      <c r="I347" s="322"/>
      <c r="J347" s="45">
        <v>2.035E-2</v>
      </c>
      <c r="K347" s="322">
        <v>1.0449999999999999E-2</v>
      </c>
      <c r="L347" s="322">
        <v>9.9100000000000004E-3</v>
      </c>
      <c r="M347" s="322"/>
      <c r="N347" s="322"/>
      <c r="O347" s="322"/>
      <c r="P347" s="322"/>
      <c r="Q347" s="322"/>
    </row>
    <row r="348" spans="1:17" x14ac:dyDescent="0.45">
      <c r="A348" s="313">
        <v>2</v>
      </c>
      <c r="B348" s="424" t="s">
        <v>1379</v>
      </c>
      <c r="C348" s="425" t="s">
        <v>1380</v>
      </c>
      <c r="D348" s="322">
        <v>1</v>
      </c>
      <c r="E348" s="45"/>
      <c r="F348" s="322">
        <v>0.96138999999999997</v>
      </c>
      <c r="G348" s="322"/>
      <c r="H348" s="322">
        <v>3.8609999999999998E-2</v>
      </c>
      <c r="I348" s="322"/>
      <c r="J348" s="45">
        <v>0</v>
      </c>
      <c r="K348" s="322">
        <v>0</v>
      </c>
      <c r="L348" s="322">
        <v>0</v>
      </c>
      <c r="M348" s="322"/>
      <c r="N348" s="322"/>
      <c r="O348" s="322"/>
      <c r="P348" s="322"/>
      <c r="Q348" s="322"/>
    </row>
    <row r="349" spans="1:17" x14ac:dyDescent="0.45">
      <c r="A349" s="313">
        <v>3</v>
      </c>
      <c r="B349" s="45"/>
      <c r="C349" s="312"/>
      <c r="D349" s="322"/>
      <c r="E349" s="45"/>
      <c r="F349" s="322"/>
      <c r="G349" s="322"/>
      <c r="H349" s="322"/>
      <c r="I349" s="322"/>
      <c r="J349" s="45"/>
      <c r="K349" s="322"/>
      <c r="L349" s="322"/>
      <c r="M349" s="322"/>
      <c r="N349" s="322"/>
      <c r="O349" s="322"/>
      <c r="P349" s="322"/>
      <c r="Q349" s="322"/>
    </row>
    <row r="350" spans="1:17" x14ac:dyDescent="0.45">
      <c r="A350" s="313">
        <v>4</v>
      </c>
      <c r="B350" s="45"/>
      <c r="C350" s="312"/>
      <c r="D350" s="45"/>
      <c r="E350" s="45"/>
      <c r="F350" s="45"/>
      <c r="G350" s="45"/>
      <c r="H350" s="45"/>
      <c r="I350" s="45"/>
      <c r="J350" s="45"/>
      <c r="K350" s="45"/>
      <c r="L350" s="45"/>
      <c r="M350" s="45"/>
      <c r="N350" s="45"/>
      <c r="O350" s="45"/>
      <c r="P350" s="45"/>
      <c r="Q350" s="45"/>
    </row>
    <row r="351" spans="1:17" x14ac:dyDescent="0.45">
      <c r="A351" s="45"/>
      <c r="B351" s="45"/>
      <c r="C351" s="312"/>
      <c r="D351" s="45"/>
      <c r="E351" s="45"/>
      <c r="F351" s="45"/>
      <c r="G351" s="45"/>
      <c r="H351" s="45"/>
      <c r="I351" s="45"/>
      <c r="J351" s="45"/>
      <c r="K351" s="45"/>
      <c r="L351" s="45"/>
      <c r="M351" s="45"/>
      <c r="N351" s="45"/>
      <c r="O351" s="45"/>
      <c r="P351" s="45"/>
      <c r="Q351" s="45"/>
    </row>
    <row r="352" spans="1:17" x14ac:dyDescent="0.45">
      <c r="A352" s="45"/>
      <c r="B352" s="426" t="s">
        <v>1381</v>
      </c>
      <c r="C352" s="312"/>
      <c r="D352" s="45"/>
      <c r="E352" s="45"/>
      <c r="F352" s="45"/>
      <c r="G352" s="45"/>
      <c r="H352" s="45"/>
      <c r="I352" s="45"/>
      <c r="J352" s="45"/>
      <c r="K352" s="45"/>
      <c r="L352" s="45"/>
      <c r="M352" s="45"/>
      <c r="N352" s="45"/>
      <c r="O352" s="45"/>
      <c r="P352" s="45"/>
      <c r="Q352" s="45"/>
    </row>
    <row r="353" spans="1:17" x14ac:dyDescent="0.45">
      <c r="A353" s="45"/>
      <c r="B353" s="431" t="s">
        <v>1266</v>
      </c>
      <c r="C353" s="312"/>
      <c r="D353" s="45"/>
      <c r="E353" s="45"/>
      <c r="F353" s="45"/>
      <c r="G353" s="45"/>
      <c r="H353" s="45"/>
      <c r="I353" s="45"/>
      <c r="J353" s="45"/>
      <c r="K353" s="45"/>
      <c r="L353" s="45"/>
      <c r="M353" s="45"/>
      <c r="N353" s="45"/>
      <c r="O353" s="45"/>
      <c r="P353" s="45"/>
      <c r="Q353" s="45"/>
    </row>
    <row r="354" spans="1:17" x14ac:dyDescent="0.45">
      <c r="A354" s="313">
        <v>1</v>
      </c>
      <c r="B354" s="424" t="s">
        <v>1382</v>
      </c>
      <c r="C354" s="425" t="s">
        <v>1383</v>
      </c>
      <c r="D354" s="322">
        <v>1</v>
      </c>
      <c r="E354" s="45"/>
      <c r="F354" s="322">
        <v>1</v>
      </c>
      <c r="G354" s="322"/>
      <c r="H354" s="322">
        <v>0</v>
      </c>
      <c r="I354" s="322"/>
      <c r="J354" s="45">
        <v>0</v>
      </c>
      <c r="K354" s="322">
        <v>0</v>
      </c>
      <c r="L354" s="322">
        <v>0</v>
      </c>
      <c r="M354" s="322"/>
      <c r="N354" s="322"/>
      <c r="O354" s="322"/>
      <c r="P354" s="322"/>
      <c r="Q354" s="322"/>
    </row>
    <row r="355" spans="1:17" x14ac:dyDescent="0.45">
      <c r="A355" s="313">
        <v>2</v>
      </c>
      <c r="B355" s="424" t="s">
        <v>1384</v>
      </c>
      <c r="C355" s="425" t="s">
        <v>1385</v>
      </c>
      <c r="D355" s="322">
        <v>1</v>
      </c>
      <c r="E355" s="45"/>
      <c r="F355" s="322">
        <v>0.99939</v>
      </c>
      <c r="G355" s="322"/>
      <c r="H355" s="322">
        <v>0</v>
      </c>
      <c r="I355" s="322"/>
      <c r="J355" s="45">
        <v>6.0999999999999997E-4</v>
      </c>
      <c r="K355" s="322">
        <v>2.5999999999999998E-4</v>
      </c>
      <c r="L355" s="322">
        <v>3.5E-4</v>
      </c>
      <c r="M355" s="322"/>
      <c r="N355" s="322"/>
      <c r="O355" s="322"/>
      <c r="P355" s="322"/>
      <c r="Q355" s="322"/>
    </row>
    <row r="356" spans="1:17" x14ac:dyDescent="0.45">
      <c r="A356" s="313">
        <v>3</v>
      </c>
      <c r="B356" s="424" t="s">
        <v>1386</v>
      </c>
      <c r="C356" s="425" t="s">
        <v>1387</v>
      </c>
      <c r="D356" s="322">
        <v>1</v>
      </c>
      <c r="E356" s="45"/>
      <c r="F356" s="322">
        <v>1</v>
      </c>
      <c r="G356" s="322"/>
      <c r="H356" s="322">
        <v>0</v>
      </c>
      <c r="I356" s="322"/>
      <c r="J356" s="45">
        <v>0</v>
      </c>
      <c r="K356" s="322">
        <v>0</v>
      </c>
      <c r="L356" s="322">
        <v>0</v>
      </c>
      <c r="M356" s="322"/>
      <c r="N356" s="322"/>
      <c r="O356" s="322"/>
      <c r="P356" s="322"/>
      <c r="Q356" s="322"/>
    </row>
    <row r="357" spans="1:17" x14ac:dyDescent="0.45">
      <c r="A357" s="313">
        <v>4</v>
      </c>
      <c r="B357" s="424" t="s">
        <v>1388</v>
      </c>
      <c r="C357" s="425" t="s">
        <v>1389</v>
      </c>
      <c r="D357" s="322">
        <v>1</v>
      </c>
      <c r="E357" s="45"/>
      <c r="F357" s="322">
        <v>1</v>
      </c>
      <c r="G357" s="322"/>
      <c r="H357" s="322">
        <v>0</v>
      </c>
      <c r="I357" s="322"/>
      <c r="J357" s="45">
        <v>0</v>
      </c>
      <c r="K357" s="322">
        <v>0</v>
      </c>
      <c r="L357" s="322">
        <v>0</v>
      </c>
      <c r="M357" s="322"/>
      <c r="N357" s="322"/>
      <c r="O357" s="322"/>
      <c r="P357" s="322"/>
      <c r="Q357" s="322"/>
    </row>
    <row r="358" spans="1:17" x14ac:dyDescent="0.45">
      <c r="A358" s="313">
        <v>5</v>
      </c>
      <c r="B358" s="424" t="s">
        <v>1390</v>
      </c>
      <c r="C358" s="425" t="s">
        <v>1391</v>
      </c>
      <c r="D358" s="322">
        <v>1</v>
      </c>
      <c r="E358" s="45"/>
      <c r="F358" s="322">
        <v>0.99560999999999999</v>
      </c>
      <c r="G358" s="322"/>
      <c r="H358" s="322">
        <v>4.3899999999999998E-3</v>
      </c>
      <c r="I358" s="322"/>
      <c r="J358" s="45">
        <v>0</v>
      </c>
      <c r="K358" s="322">
        <v>0</v>
      </c>
      <c r="L358" s="322">
        <v>0</v>
      </c>
      <c r="M358" s="322"/>
      <c r="N358" s="322"/>
      <c r="O358" s="322"/>
      <c r="P358" s="322"/>
      <c r="Q358" s="322"/>
    </row>
    <row r="359" spans="1:17" x14ac:dyDescent="0.45">
      <c r="A359" s="313">
        <v>6</v>
      </c>
      <c r="B359" s="424" t="s">
        <v>1392</v>
      </c>
      <c r="C359" s="425" t="s">
        <v>1393</v>
      </c>
      <c r="D359" s="322">
        <v>1</v>
      </c>
      <c r="E359" s="45"/>
      <c r="F359" s="322">
        <v>0.96118000000000003</v>
      </c>
      <c r="G359" s="322"/>
      <c r="H359" s="322">
        <v>3.882E-2</v>
      </c>
      <c r="I359" s="322"/>
      <c r="J359" s="45">
        <v>0</v>
      </c>
      <c r="K359" s="322">
        <v>0</v>
      </c>
      <c r="L359" s="322">
        <v>0</v>
      </c>
      <c r="M359" s="322"/>
      <c r="N359" s="322"/>
      <c r="O359" s="322"/>
      <c r="P359" s="322"/>
      <c r="Q359" s="322"/>
    </row>
    <row r="360" spans="1:17" x14ac:dyDescent="0.45">
      <c r="A360" s="313">
        <v>7</v>
      </c>
      <c r="B360" s="424" t="s">
        <v>1394</v>
      </c>
      <c r="C360" s="425" t="s">
        <v>1395</v>
      </c>
      <c r="D360" s="322">
        <v>1</v>
      </c>
      <c r="E360" s="45"/>
      <c r="F360" s="322">
        <v>0.95099</v>
      </c>
      <c r="G360" s="322"/>
      <c r="H360" s="322">
        <v>4.861E-2</v>
      </c>
      <c r="I360" s="322"/>
      <c r="J360" s="45">
        <v>4.0000000000000002E-4</v>
      </c>
      <c r="K360" s="322">
        <v>1.6000000000000001E-4</v>
      </c>
      <c r="L360" s="322">
        <v>2.4000000000000001E-4</v>
      </c>
      <c r="M360" s="322"/>
      <c r="N360" s="322"/>
      <c r="O360" s="322"/>
      <c r="P360" s="322"/>
      <c r="Q360" s="322"/>
    </row>
    <row r="361" spans="1:17" x14ac:dyDescent="0.45">
      <c r="A361" s="313">
        <v>8</v>
      </c>
      <c r="B361" s="424" t="s">
        <v>1396</v>
      </c>
      <c r="C361" s="425" t="s">
        <v>1397</v>
      </c>
      <c r="D361" s="322">
        <v>1</v>
      </c>
      <c r="E361" s="45"/>
      <c r="F361" s="322">
        <v>0.95099</v>
      </c>
      <c r="G361" s="322"/>
      <c r="H361" s="322">
        <v>4.861E-2</v>
      </c>
      <c r="I361" s="322"/>
      <c r="J361" s="45">
        <v>4.0000000000000002E-4</v>
      </c>
      <c r="K361" s="322">
        <v>1.6000000000000001E-4</v>
      </c>
      <c r="L361" s="322">
        <v>2.4000000000000001E-4</v>
      </c>
      <c r="M361" s="322"/>
      <c r="N361" s="322"/>
      <c r="O361" s="322"/>
      <c r="P361" s="322"/>
      <c r="Q361" s="322"/>
    </row>
    <row r="362" spans="1:17" x14ac:dyDescent="0.45">
      <c r="A362" s="313">
        <v>9</v>
      </c>
      <c r="B362" s="424" t="s">
        <v>1398</v>
      </c>
      <c r="C362" s="425" t="s">
        <v>1399</v>
      </c>
      <c r="D362" s="322">
        <v>1</v>
      </c>
      <c r="E362" s="45"/>
      <c r="F362" s="322">
        <v>0.95099</v>
      </c>
      <c r="G362" s="322"/>
      <c r="H362" s="322">
        <v>4.861E-2</v>
      </c>
      <c r="I362" s="322"/>
      <c r="J362" s="45">
        <v>4.0000000000000002E-4</v>
      </c>
      <c r="K362" s="322">
        <v>1.6000000000000001E-4</v>
      </c>
      <c r="L362" s="322">
        <v>2.4000000000000001E-4</v>
      </c>
      <c r="M362" s="322"/>
      <c r="N362" s="322"/>
      <c r="O362" s="322"/>
      <c r="P362" s="322"/>
      <c r="Q362" s="322"/>
    </row>
    <row r="363" spans="1:17" x14ac:dyDescent="0.45">
      <c r="A363" s="313">
        <v>10</v>
      </c>
      <c r="B363" s="424" t="s">
        <v>1400</v>
      </c>
      <c r="C363" s="425" t="s">
        <v>1401</v>
      </c>
      <c r="D363" s="322">
        <v>1</v>
      </c>
      <c r="E363" s="45"/>
      <c r="F363" s="322">
        <v>0</v>
      </c>
      <c r="G363" s="322"/>
      <c r="H363" s="322">
        <v>1</v>
      </c>
      <c r="I363" s="322"/>
      <c r="J363" s="45">
        <v>0</v>
      </c>
      <c r="K363" s="322">
        <v>0</v>
      </c>
      <c r="L363" s="322">
        <v>0</v>
      </c>
      <c r="M363" s="322"/>
      <c r="N363" s="322"/>
      <c r="O363" s="322"/>
      <c r="P363" s="322"/>
      <c r="Q363" s="322"/>
    </row>
    <row r="364" spans="1:17" x14ac:dyDescent="0.45">
      <c r="A364" s="313">
        <v>11</v>
      </c>
      <c r="B364" s="424" t="s">
        <v>1402</v>
      </c>
      <c r="C364" s="425" t="s">
        <v>1403</v>
      </c>
      <c r="D364" s="322">
        <v>1</v>
      </c>
      <c r="E364" s="45"/>
      <c r="F364" s="322">
        <v>0</v>
      </c>
      <c r="G364" s="322"/>
      <c r="H364" s="322">
        <v>1</v>
      </c>
      <c r="I364" s="322"/>
      <c r="J364" s="45">
        <v>0</v>
      </c>
      <c r="K364" s="322">
        <v>0</v>
      </c>
      <c r="L364" s="322">
        <v>0</v>
      </c>
      <c r="M364" s="322"/>
      <c r="N364" s="322"/>
      <c r="O364" s="322"/>
      <c r="P364" s="322"/>
      <c r="Q364" s="322"/>
    </row>
    <row r="365" spans="1:17" x14ac:dyDescent="0.45">
      <c r="A365" s="313">
        <v>12</v>
      </c>
      <c r="B365" s="424" t="s">
        <v>1404</v>
      </c>
      <c r="C365" s="425" t="s">
        <v>1405</v>
      </c>
      <c r="D365" s="322">
        <v>0</v>
      </c>
      <c r="E365" s="45"/>
      <c r="F365" s="322">
        <v>0</v>
      </c>
      <c r="G365" s="322"/>
      <c r="H365" s="322">
        <v>0</v>
      </c>
      <c r="I365" s="322"/>
      <c r="J365" s="45">
        <v>0</v>
      </c>
      <c r="K365" s="322">
        <v>0</v>
      </c>
      <c r="L365" s="322">
        <v>0</v>
      </c>
      <c r="M365" s="322"/>
      <c r="N365" s="322"/>
      <c r="O365" s="322"/>
      <c r="P365" s="322"/>
      <c r="Q365" s="322"/>
    </row>
    <row r="366" spans="1:17" x14ac:dyDescent="0.45">
      <c r="A366" s="313">
        <v>13</v>
      </c>
      <c r="B366" s="424" t="s">
        <v>1406</v>
      </c>
      <c r="C366" s="425" t="s">
        <v>1407</v>
      </c>
      <c r="D366" s="322">
        <v>1</v>
      </c>
      <c r="E366" s="45"/>
      <c r="F366" s="322">
        <v>0</v>
      </c>
      <c r="G366" s="322"/>
      <c r="H366" s="322">
        <v>1</v>
      </c>
      <c r="I366" s="322"/>
      <c r="J366" s="45">
        <v>0</v>
      </c>
      <c r="K366" s="322">
        <v>0</v>
      </c>
      <c r="L366" s="322">
        <v>0</v>
      </c>
      <c r="M366" s="322"/>
      <c r="N366" s="322"/>
      <c r="O366" s="322"/>
      <c r="P366" s="322"/>
      <c r="Q366" s="322"/>
    </row>
    <row r="367" spans="1:17" x14ac:dyDescent="0.45">
      <c r="A367" s="313">
        <v>14</v>
      </c>
      <c r="B367" s="424" t="s">
        <v>1408</v>
      </c>
      <c r="C367" s="425" t="s">
        <v>1409</v>
      </c>
      <c r="D367" s="322">
        <v>1</v>
      </c>
      <c r="E367" s="45"/>
      <c r="F367" s="322">
        <v>1</v>
      </c>
      <c r="G367" s="322"/>
      <c r="H367" s="322">
        <v>0</v>
      </c>
      <c r="I367" s="322"/>
      <c r="J367" s="45">
        <v>0</v>
      </c>
      <c r="K367" s="322">
        <v>0</v>
      </c>
      <c r="L367" s="322">
        <v>0</v>
      </c>
      <c r="M367" s="322"/>
      <c r="N367" s="322"/>
      <c r="O367" s="322"/>
      <c r="P367" s="322"/>
      <c r="Q367" s="322"/>
    </row>
    <row r="368" spans="1:17" x14ac:dyDescent="0.45">
      <c r="A368" s="313">
        <v>15</v>
      </c>
      <c r="B368" s="424" t="s">
        <v>1410</v>
      </c>
      <c r="C368" s="425" t="s">
        <v>1411</v>
      </c>
      <c r="D368" s="322">
        <v>1</v>
      </c>
      <c r="E368" s="45"/>
      <c r="F368" s="322">
        <v>0.95003000000000004</v>
      </c>
      <c r="G368" s="322"/>
      <c r="H368" s="322">
        <v>4.9970000000000001E-2</v>
      </c>
      <c r="I368" s="322"/>
      <c r="J368" s="45">
        <v>0</v>
      </c>
      <c r="K368" s="322">
        <v>0</v>
      </c>
      <c r="L368" s="322">
        <v>0</v>
      </c>
      <c r="M368" s="322"/>
      <c r="N368" s="322"/>
      <c r="O368" s="322"/>
      <c r="P368" s="322"/>
      <c r="Q368" s="322"/>
    </row>
    <row r="369" spans="1:17" x14ac:dyDescent="0.45">
      <c r="A369" s="313">
        <v>16</v>
      </c>
      <c r="B369" s="424" t="s">
        <v>1412</v>
      </c>
      <c r="C369" s="425" t="s">
        <v>1413</v>
      </c>
      <c r="D369" s="322">
        <v>1</v>
      </c>
      <c r="E369" s="45"/>
      <c r="F369" s="322">
        <v>0.95003000000000004</v>
      </c>
      <c r="G369" s="322"/>
      <c r="H369" s="322">
        <v>4.9970000000000001E-2</v>
      </c>
      <c r="I369" s="322"/>
      <c r="J369" s="45">
        <v>0</v>
      </c>
      <c r="K369" s="322">
        <v>0</v>
      </c>
      <c r="L369" s="322">
        <v>0</v>
      </c>
      <c r="M369" s="322"/>
      <c r="N369" s="322"/>
      <c r="O369" s="322"/>
      <c r="P369" s="322"/>
      <c r="Q369" s="322"/>
    </row>
    <row r="370" spans="1:17" x14ac:dyDescent="0.45">
      <c r="A370" s="313">
        <v>17</v>
      </c>
      <c r="B370" s="424" t="s">
        <v>1414</v>
      </c>
      <c r="C370" s="425" t="s">
        <v>1415</v>
      </c>
      <c r="D370" s="322">
        <v>1</v>
      </c>
      <c r="E370" s="45"/>
      <c r="F370" s="322">
        <v>0.95003000000000004</v>
      </c>
      <c r="G370" s="322"/>
      <c r="H370" s="322">
        <v>4.9970000000000001E-2</v>
      </c>
      <c r="I370" s="322"/>
      <c r="J370" s="45">
        <v>0</v>
      </c>
      <c r="K370" s="322">
        <v>0</v>
      </c>
      <c r="L370" s="322">
        <v>0</v>
      </c>
      <c r="M370" s="322"/>
      <c r="N370" s="322"/>
      <c r="O370" s="322"/>
      <c r="P370" s="322"/>
      <c r="Q370" s="322"/>
    </row>
    <row r="371" spans="1:17" x14ac:dyDescent="0.45">
      <c r="A371" s="313">
        <v>18</v>
      </c>
      <c r="B371" s="424" t="s">
        <v>1416</v>
      </c>
      <c r="C371" s="425" t="s">
        <v>1417</v>
      </c>
      <c r="D371" s="322">
        <v>0</v>
      </c>
      <c r="E371" s="45"/>
      <c r="F371" s="322">
        <v>0</v>
      </c>
      <c r="G371" s="322"/>
      <c r="H371" s="322">
        <v>0</v>
      </c>
      <c r="I371" s="322"/>
      <c r="J371" s="45">
        <v>0</v>
      </c>
      <c r="K371" s="322">
        <v>0</v>
      </c>
      <c r="L371" s="322">
        <v>0</v>
      </c>
      <c r="M371" s="322"/>
      <c r="N371" s="322"/>
      <c r="O371" s="322"/>
      <c r="P371" s="322"/>
      <c r="Q371" s="322"/>
    </row>
    <row r="372" spans="1:17" x14ac:dyDescent="0.45">
      <c r="A372" s="313">
        <v>19</v>
      </c>
      <c r="B372" s="424" t="s">
        <v>1418</v>
      </c>
      <c r="C372" s="425" t="s">
        <v>1419</v>
      </c>
      <c r="D372" s="322">
        <v>1</v>
      </c>
      <c r="E372" s="45"/>
      <c r="F372" s="322">
        <v>0.96460000000000001</v>
      </c>
      <c r="G372" s="322"/>
      <c r="H372" s="322">
        <v>3.5400000000000001E-2</v>
      </c>
      <c r="I372" s="322"/>
      <c r="J372" s="45">
        <v>0</v>
      </c>
      <c r="K372" s="322">
        <v>0</v>
      </c>
      <c r="L372" s="322">
        <v>0</v>
      </c>
      <c r="M372" s="322"/>
      <c r="N372" s="322"/>
      <c r="O372" s="322"/>
      <c r="P372" s="322"/>
      <c r="Q372" s="322"/>
    </row>
    <row r="373" spans="1:17" x14ac:dyDescent="0.45">
      <c r="A373" s="313">
        <v>20</v>
      </c>
      <c r="B373" s="424" t="s">
        <v>1764</v>
      </c>
      <c r="C373" s="428" t="s">
        <v>1914</v>
      </c>
      <c r="D373" s="322">
        <v>1</v>
      </c>
      <c r="E373" s="45"/>
      <c r="F373" s="322">
        <v>0.95943999999999996</v>
      </c>
      <c r="G373" s="322"/>
      <c r="H373" s="322">
        <v>4.0489999999999998E-2</v>
      </c>
      <c r="I373" s="322"/>
      <c r="J373" s="45">
        <v>6.0000000000000002E-5</v>
      </c>
      <c r="K373" s="322">
        <v>6.0000000000000002E-5</v>
      </c>
      <c r="L373" s="322">
        <v>0</v>
      </c>
      <c r="M373" s="322"/>
      <c r="N373" s="322"/>
      <c r="O373" s="322"/>
      <c r="P373" s="322"/>
      <c r="Q373" s="322"/>
    </row>
    <row r="374" spans="1:17" x14ac:dyDescent="0.45">
      <c r="A374" s="313">
        <v>21</v>
      </c>
      <c r="B374" s="45"/>
      <c r="C374" s="45"/>
      <c r="D374" s="45"/>
      <c r="E374" s="45"/>
      <c r="F374" s="45"/>
      <c r="G374" s="45"/>
      <c r="H374" s="45"/>
      <c r="I374" s="45"/>
      <c r="J374" s="45"/>
      <c r="K374" s="45"/>
      <c r="L374" s="45"/>
      <c r="M374" s="45"/>
      <c r="N374" s="45"/>
      <c r="O374" s="45"/>
      <c r="P374" s="45"/>
      <c r="Q374" s="45"/>
    </row>
    <row r="375" spans="1:17" x14ac:dyDescent="0.45">
      <c r="A375" s="313">
        <v>22</v>
      </c>
      <c r="B375" s="45"/>
      <c r="C375" s="45"/>
      <c r="D375" s="45"/>
      <c r="E375" s="45"/>
      <c r="F375" s="45"/>
      <c r="G375" s="45"/>
      <c r="H375" s="45"/>
      <c r="I375" s="45"/>
      <c r="J375" s="45"/>
      <c r="K375" s="45"/>
      <c r="L375" s="45"/>
      <c r="M375" s="45"/>
      <c r="N375" s="45"/>
      <c r="O375" s="45"/>
      <c r="P375" s="45"/>
      <c r="Q375" s="45"/>
    </row>
    <row r="376" spans="1:17" x14ac:dyDescent="0.45">
      <c r="A376" s="313">
        <v>23</v>
      </c>
      <c r="B376" s="45"/>
      <c r="C376" s="45"/>
      <c r="D376" s="45"/>
      <c r="E376" s="45"/>
      <c r="F376" s="45"/>
      <c r="G376" s="45"/>
      <c r="H376" s="45"/>
      <c r="I376" s="45"/>
      <c r="J376" s="45"/>
      <c r="K376" s="45"/>
      <c r="L376" s="45"/>
      <c r="M376" s="45"/>
      <c r="N376" s="45"/>
      <c r="O376" s="45"/>
      <c r="P376" s="45"/>
      <c r="Q376" s="45"/>
    </row>
    <row r="377" spans="1:17" x14ac:dyDescent="0.45">
      <c r="A377" s="313">
        <v>24</v>
      </c>
      <c r="B377" s="45"/>
      <c r="C377" s="45"/>
      <c r="D377" s="45"/>
      <c r="E377" s="45"/>
      <c r="F377" s="45"/>
      <c r="G377" s="45"/>
      <c r="H377" s="45"/>
      <c r="I377" s="45"/>
      <c r="J377" s="45"/>
      <c r="K377" s="45"/>
      <c r="L377" s="45"/>
      <c r="M377" s="45"/>
      <c r="N377" s="45"/>
      <c r="O377" s="45"/>
      <c r="P377" s="45"/>
      <c r="Q377" s="45"/>
    </row>
    <row r="378" spans="1:17" x14ac:dyDescent="0.45">
      <c r="A378" s="313">
        <v>25</v>
      </c>
      <c r="B378" s="45"/>
      <c r="C378" s="45"/>
      <c r="D378" s="45"/>
      <c r="E378" s="45"/>
      <c r="F378" s="45"/>
      <c r="G378" s="45"/>
      <c r="H378" s="45"/>
      <c r="I378" s="45"/>
      <c r="J378" s="45"/>
      <c r="K378" s="45"/>
      <c r="L378" s="45"/>
      <c r="M378" s="45"/>
      <c r="N378" s="45"/>
      <c r="O378" s="45"/>
      <c r="P378" s="45"/>
      <c r="Q378" s="45"/>
    </row>
    <row r="379" spans="1:17" x14ac:dyDescent="0.45">
      <c r="A379" s="45"/>
      <c r="B379" s="45"/>
      <c r="C379" s="312"/>
      <c r="D379" s="45"/>
      <c r="E379" s="45"/>
      <c r="F379" s="45"/>
      <c r="G379" s="45"/>
      <c r="H379" s="45"/>
      <c r="I379" s="45"/>
      <c r="J379" s="45"/>
      <c r="K379" s="45"/>
      <c r="L379" s="45"/>
      <c r="M379" s="45"/>
      <c r="N379" s="45"/>
      <c r="O379" s="45"/>
      <c r="P379" s="45"/>
      <c r="Q379" s="45"/>
    </row>
    <row r="380" spans="1:17" x14ac:dyDescent="0.45">
      <c r="A380" s="45"/>
      <c r="B380" s="432" t="s">
        <v>1420</v>
      </c>
      <c r="C380" s="312"/>
      <c r="D380" s="45"/>
      <c r="E380" s="45"/>
      <c r="F380" s="45"/>
      <c r="G380" s="45"/>
      <c r="H380" s="45"/>
      <c r="I380" s="45"/>
      <c r="J380" s="45"/>
      <c r="K380" s="45"/>
      <c r="L380" s="45"/>
      <c r="M380" s="45"/>
      <c r="N380" s="45"/>
      <c r="O380" s="45"/>
      <c r="P380" s="45"/>
      <c r="Q380" s="45"/>
    </row>
    <row r="381" spans="1:17" x14ac:dyDescent="0.45">
      <c r="A381" s="45"/>
      <c r="B381" s="431" t="s">
        <v>1266</v>
      </c>
      <c r="C381" s="312"/>
      <c r="D381" s="45"/>
      <c r="E381" s="45"/>
      <c r="F381" s="45"/>
      <c r="G381" s="45"/>
      <c r="H381" s="45"/>
      <c r="I381" s="45"/>
      <c r="J381" s="45"/>
      <c r="K381" s="45"/>
      <c r="L381" s="45"/>
      <c r="M381" s="45"/>
      <c r="N381" s="45"/>
      <c r="O381" s="45"/>
      <c r="P381" s="45"/>
      <c r="Q381" s="45"/>
    </row>
    <row r="382" spans="1:17" x14ac:dyDescent="0.45">
      <c r="A382" s="313">
        <v>1</v>
      </c>
      <c r="B382" s="424" t="s">
        <v>1421</v>
      </c>
      <c r="C382" s="425" t="s">
        <v>1422</v>
      </c>
      <c r="D382" s="322">
        <v>1</v>
      </c>
      <c r="E382" s="45"/>
      <c r="F382" s="322">
        <v>0.93467999999999996</v>
      </c>
      <c r="G382" s="322"/>
      <c r="H382" s="322">
        <v>5.2130000000000003E-2</v>
      </c>
      <c r="I382" s="322"/>
      <c r="J382" s="45">
        <v>1.319E-2</v>
      </c>
      <c r="K382" s="322">
        <v>6.8999999999999999E-3</v>
      </c>
      <c r="L382" s="322">
        <v>6.2899999999999996E-3</v>
      </c>
      <c r="M382" s="322"/>
      <c r="N382" s="322"/>
      <c r="O382" s="322"/>
      <c r="P382" s="322"/>
      <c r="Q382" s="322"/>
    </row>
    <row r="383" spans="1:17" x14ac:dyDescent="0.45">
      <c r="A383" s="313">
        <v>2</v>
      </c>
      <c r="B383" s="424" t="s">
        <v>1423</v>
      </c>
      <c r="C383" s="425" t="s">
        <v>1424</v>
      </c>
      <c r="D383" s="322">
        <v>1</v>
      </c>
      <c r="E383" s="45"/>
      <c r="F383" s="322">
        <v>1</v>
      </c>
      <c r="G383" s="322"/>
      <c r="H383" s="322">
        <v>0</v>
      </c>
      <c r="I383" s="322"/>
      <c r="J383" s="45">
        <v>0</v>
      </c>
      <c r="K383" s="322">
        <v>0</v>
      </c>
      <c r="L383" s="322">
        <v>0</v>
      </c>
      <c r="M383" s="322"/>
      <c r="N383" s="322"/>
      <c r="O383" s="322"/>
      <c r="P383" s="322"/>
      <c r="Q383" s="322"/>
    </row>
    <row r="384" spans="1:17" x14ac:dyDescent="0.45">
      <c r="A384" s="313">
        <v>3</v>
      </c>
      <c r="B384" s="424" t="s">
        <v>1425</v>
      </c>
      <c r="C384" s="425" t="s">
        <v>1426</v>
      </c>
      <c r="D384" s="322">
        <v>1</v>
      </c>
      <c r="E384" s="45"/>
      <c r="F384" s="322">
        <v>0.94096999999999997</v>
      </c>
      <c r="G384" s="322"/>
      <c r="H384" s="322">
        <v>4.7579999999999997E-2</v>
      </c>
      <c r="I384" s="322"/>
      <c r="J384" s="45">
        <v>1.145E-2</v>
      </c>
      <c r="K384" s="322">
        <v>5.9699999999999996E-3</v>
      </c>
      <c r="L384" s="322">
        <v>5.4799999999999996E-3</v>
      </c>
      <c r="M384" s="322"/>
      <c r="N384" s="322"/>
      <c r="O384" s="322"/>
      <c r="P384" s="322"/>
      <c r="Q384" s="322"/>
    </row>
    <row r="385" spans="1:17" x14ac:dyDescent="0.45">
      <c r="A385" s="313">
        <v>4</v>
      </c>
      <c r="B385" s="424" t="s">
        <v>1425</v>
      </c>
      <c r="C385" s="428" t="s">
        <v>1430</v>
      </c>
      <c r="D385" s="322">
        <v>1</v>
      </c>
      <c r="E385" s="45"/>
      <c r="F385" s="322">
        <v>0.94096999999999997</v>
      </c>
      <c r="G385" s="322"/>
      <c r="H385" s="322">
        <v>4.7579999999999997E-2</v>
      </c>
      <c r="I385" s="322"/>
      <c r="J385" s="45">
        <v>1.145E-2</v>
      </c>
      <c r="K385" s="322">
        <v>5.9699999999999996E-3</v>
      </c>
      <c r="L385" s="322">
        <v>5.4799999999999996E-3</v>
      </c>
      <c r="M385" s="322"/>
      <c r="N385" s="322"/>
      <c r="O385" s="322"/>
      <c r="P385" s="322"/>
      <c r="Q385" s="322"/>
    </row>
    <row r="386" spans="1:17" x14ac:dyDescent="0.45">
      <c r="A386" s="313">
        <v>5</v>
      </c>
      <c r="B386" s="424" t="s">
        <v>1427</v>
      </c>
      <c r="C386" s="425" t="s">
        <v>1428</v>
      </c>
      <c r="D386" s="322">
        <v>1</v>
      </c>
      <c r="E386" s="45"/>
      <c r="F386" s="322">
        <v>0.93811</v>
      </c>
      <c r="G386" s="322"/>
      <c r="H386" s="322">
        <v>4.249E-2</v>
      </c>
      <c r="I386" s="322"/>
      <c r="J386" s="45">
        <v>1.9400000000000001E-2</v>
      </c>
      <c r="K386" s="322">
        <v>9.8399999999999998E-3</v>
      </c>
      <c r="L386" s="322">
        <v>9.5600000000000008E-3</v>
      </c>
      <c r="M386" s="322"/>
      <c r="N386" s="322"/>
      <c r="O386" s="322"/>
      <c r="P386" s="322"/>
      <c r="Q386" s="322"/>
    </row>
    <row r="387" spans="1:17" x14ac:dyDescent="0.45">
      <c r="A387" s="313">
        <v>6</v>
      </c>
      <c r="B387" s="424" t="s">
        <v>1431</v>
      </c>
      <c r="C387" s="425" t="s">
        <v>1432</v>
      </c>
      <c r="D387" s="322">
        <v>1</v>
      </c>
      <c r="E387" s="45"/>
      <c r="F387" s="322">
        <v>0.93811</v>
      </c>
      <c r="G387" s="322"/>
      <c r="H387" s="322">
        <v>4.249E-2</v>
      </c>
      <c r="I387" s="322"/>
      <c r="J387" s="45">
        <v>1.9400000000000001E-2</v>
      </c>
      <c r="K387" s="322">
        <v>9.8399999999999998E-3</v>
      </c>
      <c r="L387" s="322">
        <v>9.5600000000000008E-3</v>
      </c>
      <c r="M387" s="322"/>
      <c r="N387" s="322"/>
      <c r="O387" s="322"/>
      <c r="P387" s="322"/>
      <c r="Q387" s="322"/>
    </row>
    <row r="388" spans="1:17" x14ac:dyDescent="0.45">
      <c r="A388" s="313">
        <v>7</v>
      </c>
      <c r="B388" s="424" t="s">
        <v>1433</v>
      </c>
      <c r="C388" s="425" t="s">
        <v>1434</v>
      </c>
      <c r="D388" s="322">
        <v>1</v>
      </c>
      <c r="E388" s="45"/>
      <c r="F388" s="322">
        <v>0.93828999999999996</v>
      </c>
      <c r="G388" s="322"/>
      <c r="H388" s="322">
        <v>4.2360000000000002E-2</v>
      </c>
      <c r="I388" s="322"/>
      <c r="J388" s="45">
        <v>1.9349999999999999E-2</v>
      </c>
      <c r="K388" s="322">
        <v>9.8099999999999993E-3</v>
      </c>
      <c r="L388" s="322">
        <v>9.5300000000000003E-3</v>
      </c>
      <c r="M388" s="322"/>
      <c r="N388" s="322"/>
      <c r="O388" s="322"/>
      <c r="P388" s="322"/>
      <c r="Q388" s="322"/>
    </row>
    <row r="389" spans="1:17" x14ac:dyDescent="0.45">
      <c r="A389" s="313">
        <v>8</v>
      </c>
      <c r="B389" s="424" t="s">
        <v>1435</v>
      </c>
      <c r="C389" s="425" t="s">
        <v>1436</v>
      </c>
      <c r="D389" s="322">
        <v>1</v>
      </c>
      <c r="E389" s="45"/>
      <c r="F389" s="322">
        <v>0.95542000000000005</v>
      </c>
      <c r="G389" s="322"/>
      <c r="H389" s="322">
        <v>4.3569999999999998E-2</v>
      </c>
      <c r="I389" s="322"/>
      <c r="J389" s="45">
        <v>1.01E-3</v>
      </c>
      <c r="K389" s="322">
        <v>9.1E-4</v>
      </c>
      <c r="L389" s="322">
        <v>1E-4</v>
      </c>
      <c r="M389" s="322"/>
      <c r="N389" s="322"/>
      <c r="O389" s="322"/>
      <c r="P389" s="322"/>
      <c r="Q389" s="322"/>
    </row>
    <row r="390" spans="1:17" x14ac:dyDescent="0.45">
      <c r="A390" s="313">
        <v>9</v>
      </c>
      <c r="B390" s="424" t="s">
        <v>1437</v>
      </c>
      <c r="C390" s="425" t="s">
        <v>1438</v>
      </c>
      <c r="D390" s="322">
        <v>1</v>
      </c>
      <c r="E390" s="45"/>
      <c r="F390" s="322">
        <v>0</v>
      </c>
      <c r="G390" s="322"/>
      <c r="H390" s="322">
        <v>1</v>
      </c>
      <c r="I390" s="322"/>
      <c r="J390" s="45">
        <v>0</v>
      </c>
      <c r="K390" s="322">
        <v>0</v>
      </c>
      <c r="L390" s="322">
        <v>0</v>
      </c>
      <c r="M390" s="322"/>
      <c r="N390" s="322"/>
      <c r="O390" s="322"/>
      <c r="P390" s="322"/>
      <c r="Q390" s="322"/>
    </row>
    <row r="391" spans="1:17" x14ac:dyDescent="0.45">
      <c r="A391" s="313">
        <v>10</v>
      </c>
      <c r="B391" s="424" t="s">
        <v>1439</v>
      </c>
      <c r="C391" s="425" t="s">
        <v>1440</v>
      </c>
      <c r="D391" s="322">
        <v>1</v>
      </c>
      <c r="E391" s="45"/>
      <c r="F391" s="322">
        <v>8.0130000000000007E-2</v>
      </c>
      <c r="G391" s="322"/>
      <c r="H391" s="322">
        <v>0.91986999999999997</v>
      </c>
      <c r="I391" s="322"/>
      <c r="J391" s="45">
        <v>0</v>
      </c>
      <c r="K391" s="322">
        <v>0</v>
      </c>
      <c r="L391" s="322">
        <v>0</v>
      </c>
      <c r="M391" s="322"/>
      <c r="N391" s="322"/>
      <c r="O391" s="322"/>
      <c r="P391" s="322"/>
      <c r="Q391" s="322"/>
    </row>
    <row r="392" spans="1:17" x14ac:dyDescent="0.45">
      <c r="A392" s="313">
        <v>11</v>
      </c>
      <c r="B392" s="424" t="s">
        <v>1441</v>
      </c>
      <c r="C392" s="425" t="s">
        <v>1442</v>
      </c>
      <c r="D392" s="322">
        <v>1</v>
      </c>
      <c r="E392" s="45"/>
      <c r="F392" s="322">
        <v>0.95194999999999996</v>
      </c>
      <c r="G392" s="322"/>
      <c r="H392" s="322">
        <v>4.6519999999999999E-2</v>
      </c>
      <c r="I392" s="322"/>
      <c r="J392" s="45">
        <v>1.5399999999999999E-3</v>
      </c>
      <c r="K392" s="322">
        <v>1.5299999999999999E-3</v>
      </c>
      <c r="L392" s="322">
        <v>1.0000000000000001E-5</v>
      </c>
      <c r="M392" s="322"/>
      <c r="N392" s="322"/>
      <c r="O392" s="322"/>
      <c r="P392" s="322"/>
      <c r="Q392" s="322"/>
    </row>
    <row r="393" spans="1:17" x14ac:dyDescent="0.45">
      <c r="A393" s="313">
        <v>12</v>
      </c>
      <c r="B393" s="424" t="s">
        <v>1443</v>
      </c>
      <c r="C393" s="425" t="s">
        <v>1444</v>
      </c>
      <c r="D393" s="322">
        <v>1</v>
      </c>
      <c r="E393" s="45"/>
      <c r="F393" s="322">
        <v>0.99839</v>
      </c>
      <c r="G393" s="322"/>
      <c r="H393" s="322">
        <v>0</v>
      </c>
      <c r="I393" s="322"/>
      <c r="J393" s="45">
        <v>1.6100000000000001E-3</v>
      </c>
      <c r="K393" s="322">
        <v>1.6000000000000001E-3</v>
      </c>
      <c r="L393" s="322">
        <v>1.0000000000000001E-5</v>
      </c>
      <c r="M393" s="322"/>
      <c r="N393" s="322"/>
      <c r="O393" s="322"/>
      <c r="P393" s="322"/>
      <c r="Q393" s="322"/>
    </row>
    <row r="394" spans="1:17" x14ac:dyDescent="0.45">
      <c r="A394" s="313">
        <v>13</v>
      </c>
      <c r="B394" s="424" t="s">
        <v>1445</v>
      </c>
      <c r="C394" s="425" t="s">
        <v>1446</v>
      </c>
      <c r="D394" s="322">
        <v>1</v>
      </c>
      <c r="E394" s="45"/>
      <c r="F394" s="322">
        <v>0.94264999999999999</v>
      </c>
      <c r="G394" s="322"/>
      <c r="H394" s="322">
        <v>4.6219999999999997E-2</v>
      </c>
      <c r="I394" s="322"/>
      <c r="J394" s="45">
        <v>1.112E-2</v>
      </c>
      <c r="K394" s="322">
        <v>5.7999999999999996E-3</v>
      </c>
      <c r="L394" s="322">
        <v>5.3200000000000001E-3</v>
      </c>
      <c r="M394" s="322"/>
      <c r="N394" s="322"/>
      <c r="O394" s="322"/>
      <c r="P394" s="322"/>
      <c r="Q394" s="322"/>
    </row>
    <row r="395" spans="1:17" x14ac:dyDescent="0.45">
      <c r="A395" s="313">
        <v>14</v>
      </c>
      <c r="B395" s="424" t="s">
        <v>1447</v>
      </c>
      <c r="C395" s="428" t="s">
        <v>1915</v>
      </c>
      <c r="D395" s="322">
        <v>1</v>
      </c>
      <c r="E395" s="45"/>
      <c r="F395" s="322">
        <v>1</v>
      </c>
      <c r="G395" s="322"/>
      <c r="H395" s="322">
        <v>0</v>
      </c>
      <c r="I395" s="322"/>
      <c r="J395" s="45">
        <v>0</v>
      </c>
      <c r="K395" s="322">
        <v>0</v>
      </c>
      <c r="L395" s="322">
        <v>0</v>
      </c>
      <c r="M395" s="322"/>
      <c r="N395" s="322"/>
      <c r="O395" s="322"/>
      <c r="P395" s="322"/>
      <c r="Q395" s="322"/>
    </row>
    <row r="396" spans="1:17" x14ac:dyDescent="0.45">
      <c r="A396" s="313">
        <v>15</v>
      </c>
      <c r="B396" s="424" t="s">
        <v>485</v>
      </c>
      <c r="C396" s="428" t="s">
        <v>1916</v>
      </c>
      <c r="D396" s="322">
        <v>1</v>
      </c>
      <c r="E396" s="45"/>
      <c r="F396" s="322">
        <v>0.93467999999999996</v>
      </c>
      <c r="G396" s="322"/>
      <c r="H396" s="322">
        <v>5.2130000000000003E-2</v>
      </c>
      <c r="I396" s="322"/>
      <c r="J396" s="45">
        <v>1.319E-2</v>
      </c>
      <c r="K396" s="322">
        <v>6.8999999999999999E-3</v>
      </c>
      <c r="L396" s="322">
        <v>6.2899999999999996E-3</v>
      </c>
      <c r="M396" s="322"/>
      <c r="N396" s="322"/>
      <c r="O396" s="322"/>
      <c r="P396" s="322"/>
      <c r="Q396" s="322"/>
    </row>
    <row r="397" spans="1:17" x14ac:dyDescent="0.45">
      <c r="A397" s="313">
        <v>16</v>
      </c>
      <c r="B397" s="424" t="s">
        <v>486</v>
      </c>
      <c r="C397" s="425" t="s">
        <v>487</v>
      </c>
      <c r="D397" s="322">
        <v>1</v>
      </c>
      <c r="E397" s="45"/>
      <c r="F397" s="322">
        <v>0.93813999999999997</v>
      </c>
      <c r="G397" s="322"/>
      <c r="H397" s="322">
        <v>4.2470000000000001E-2</v>
      </c>
      <c r="I397" s="322"/>
      <c r="J397" s="45">
        <v>1.9390000000000001E-2</v>
      </c>
      <c r="K397" s="322">
        <v>9.8399999999999998E-3</v>
      </c>
      <c r="L397" s="322">
        <v>9.5600000000000008E-3</v>
      </c>
      <c r="M397" s="322"/>
      <c r="N397" s="322"/>
      <c r="O397" s="322"/>
      <c r="P397" s="322"/>
      <c r="Q397" s="322"/>
    </row>
    <row r="398" spans="1:17" x14ac:dyDescent="0.45">
      <c r="A398" s="313">
        <v>17</v>
      </c>
      <c r="B398" s="424" t="s">
        <v>911</v>
      </c>
      <c r="C398" s="425" t="s">
        <v>912</v>
      </c>
      <c r="D398" s="322">
        <v>1</v>
      </c>
      <c r="E398" s="45"/>
      <c r="F398" s="322">
        <v>0.93749000000000005</v>
      </c>
      <c r="G398" s="322"/>
      <c r="H398" s="322">
        <v>4.2750000000000003E-2</v>
      </c>
      <c r="I398" s="322"/>
      <c r="J398" s="45">
        <v>1.976E-2</v>
      </c>
      <c r="K398" s="322">
        <v>1.0019999999999999E-2</v>
      </c>
      <c r="L398" s="322">
        <v>9.7400000000000004E-3</v>
      </c>
      <c r="M398" s="322"/>
      <c r="N398" s="322"/>
      <c r="O398" s="322"/>
      <c r="P398" s="322"/>
      <c r="Q398" s="322"/>
    </row>
    <row r="399" spans="1:17" x14ac:dyDescent="0.45">
      <c r="A399" s="313">
        <v>18</v>
      </c>
      <c r="B399" s="424" t="s">
        <v>913</v>
      </c>
      <c r="C399" s="425" t="s">
        <v>914</v>
      </c>
      <c r="D399" s="322">
        <v>1</v>
      </c>
      <c r="E399" s="45"/>
      <c r="F399" s="322">
        <v>0.89212000000000002</v>
      </c>
      <c r="G399" s="322"/>
      <c r="H399" s="322">
        <v>0.10693999999999999</v>
      </c>
      <c r="I399" s="322"/>
      <c r="J399" s="45">
        <v>9.3999999999999997E-4</v>
      </c>
      <c r="K399" s="322">
        <v>8.4000000000000003E-4</v>
      </c>
      <c r="L399" s="322">
        <v>9.0000000000000006E-5</v>
      </c>
      <c r="M399" s="322"/>
      <c r="N399" s="322"/>
      <c r="O399" s="322"/>
      <c r="P399" s="322"/>
      <c r="Q399" s="322"/>
    </row>
    <row r="400" spans="1:17" x14ac:dyDescent="0.45">
      <c r="A400" s="313">
        <v>19</v>
      </c>
      <c r="B400" s="424" t="s">
        <v>2133</v>
      </c>
      <c r="C400" s="425" t="s">
        <v>2134</v>
      </c>
      <c r="D400" s="322">
        <v>1</v>
      </c>
      <c r="E400" s="45"/>
      <c r="F400" s="322">
        <v>0.89295999999999998</v>
      </c>
      <c r="G400" s="322"/>
      <c r="H400" s="322">
        <v>0.10704</v>
      </c>
      <c r="I400" s="322"/>
      <c r="J400" s="45">
        <v>0</v>
      </c>
      <c r="K400" s="322">
        <v>0</v>
      </c>
      <c r="L400" s="322">
        <v>0</v>
      </c>
      <c r="M400" s="322"/>
      <c r="N400" s="322"/>
      <c r="O400" s="322"/>
      <c r="P400" s="322"/>
      <c r="Q400" s="322"/>
    </row>
    <row r="401" spans="1:17" x14ac:dyDescent="0.45">
      <c r="A401" s="313">
        <v>20</v>
      </c>
      <c r="B401" s="424" t="s">
        <v>915</v>
      </c>
      <c r="C401" s="428" t="s">
        <v>916</v>
      </c>
      <c r="D401" s="322">
        <v>1</v>
      </c>
      <c r="E401" s="45"/>
      <c r="F401" s="322">
        <v>0.9284</v>
      </c>
      <c r="G401" s="322"/>
      <c r="H401" s="322">
        <v>6.0069999999999998E-2</v>
      </c>
      <c r="I401" s="322"/>
      <c r="J401" s="45">
        <v>1.153E-2</v>
      </c>
      <c r="K401" s="322">
        <v>5.9800000000000001E-3</v>
      </c>
      <c r="L401" s="322">
        <v>5.5599999999999998E-3</v>
      </c>
      <c r="M401" s="322"/>
      <c r="N401" s="322"/>
      <c r="O401" s="322"/>
      <c r="P401" s="322"/>
      <c r="Q401" s="322"/>
    </row>
    <row r="402" spans="1:17" x14ac:dyDescent="0.45">
      <c r="A402" s="314">
        <v>21</v>
      </c>
      <c r="B402" s="424" t="s">
        <v>917</v>
      </c>
      <c r="C402" s="428" t="s">
        <v>1917</v>
      </c>
      <c r="D402" s="322">
        <v>1</v>
      </c>
      <c r="E402" s="45"/>
      <c r="F402" s="322">
        <v>0.93689</v>
      </c>
      <c r="G402" s="322"/>
      <c r="H402" s="322">
        <v>5.0529999999999999E-2</v>
      </c>
      <c r="I402" s="322"/>
      <c r="J402" s="45">
        <v>1.2579999999999999E-2</v>
      </c>
      <c r="K402" s="322">
        <v>6.5700000000000003E-3</v>
      </c>
      <c r="L402" s="322">
        <v>6.0000000000000001E-3</v>
      </c>
      <c r="M402" s="322"/>
      <c r="N402" s="322"/>
      <c r="O402" s="322"/>
      <c r="P402" s="322"/>
      <c r="Q402" s="322"/>
    </row>
    <row r="403" spans="1:17" x14ac:dyDescent="0.45">
      <c r="A403" s="314">
        <v>22</v>
      </c>
      <c r="B403" s="424" t="s">
        <v>918</v>
      </c>
      <c r="C403" s="428" t="s">
        <v>1918</v>
      </c>
      <c r="D403" s="322">
        <v>1</v>
      </c>
      <c r="E403" s="45"/>
      <c r="F403" s="322">
        <v>1</v>
      </c>
      <c r="G403" s="322"/>
      <c r="H403" s="322">
        <v>0</v>
      </c>
      <c r="I403" s="322"/>
      <c r="J403" s="45">
        <v>0</v>
      </c>
      <c r="K403" s="322">
        <v>0</v>
      </c>
      <c r="L403" s="322">
        <v>0</v>
      </c>
      <c r="M403" s="322"/>
      <c r="N403" s="322"/>
      <c r="O403" s="322"/>
      <c r="P403" s="322"/>
      <c r="Q403" s="322"/>
    </row>
    <row r="404" spans="1:17" x14ac:dyDescent="0.45">
      <c r="A404" s="313">
        <v>23</v>
      </c>
      <c r="B404" s="424" t="s">
        <v>919</v>
      </c>
      <c r="C404" s="425" t="s">
        <v>2476</v>
      </c>
      <c r="D404" s="322">
        <v>1</v>
      </c>
      <c r="E404" s="45"/>
      <c r="F404" s="322">
        <v>0</v>
      </c>
      <c r="G404" s="322"/>
      <c r="H404" s="322">
        <v>0</v>
      </c>
      <c r="I404" s="322"/>
      <c r="J404" s="45">
        <v>1</v>
      </c>
      <c r="K404" s="322">
        <v>0.50726000000000004</v>
      </c>
      <c r="L404" s="322">
        <v>0.49274000000000001</v>
      </c>
      <c r="M404" s="322"/>
      <c r="N404" s="322"/>
      <c r="O404" s="322"/>
      <c r="P404" s="322"/>
      <c r="Q404" s="322"/>
    </row>
    <row r="405" spans="1:17" x14ac:dyDescent="0.45">
      <c r="A405" s="313">
        <v>24</v>
      </c>
      <c r="B405" s="424" t="s">
        <v>920</v>
      </c>
      <c r="C405" s="425" t="s">
        <v>921</v>
      </c>
      <c r="D405" s="322">
        <v>0</v>
      </c>
      <c r="E405" s="45"/>
      <c r="F405" s="322">
        <v>0</v>
      </c>
      <c r="G405" s="322"/>
      <c r="H405" s="322">
        <v>0</v>
      </c>
      <c r="I405" s="322"/>
      <c r="J405" s="45">
        <v>0</v>
      </c>
      <c r="K405" s="322">
        <v>0</v>
      </c>
      <c r="L405" s="322">
        <v>0</v>
      </c>
      <c r="M405" s="322"/>
      <c r="N405" s="322"/>
      <c r="O405" s="322"/>
      <c r="P405" s="322"/>
      <c r="Q405" s="322"/>
    </row>
    <row r="406" spans="1:17" x14ac:dyDescent="0.45">
      <c r="A406" s="313">
        <v>25</v>
      </c>
      <c r="B406" s="424" t="s">
        <v>922</v>
      </c>
      <c r="C406" s="425" t="s">
        <v>1761</v>
      </c>
      <c r="D406" s="322">
        <v>1</v>
      </c>
      <c r="E406" s="45"/>
      <c r="F406" s="322">
        <v>0</v>
      </c>
      <c r="G406" s="322"/>
      <c r="H406" s="322">
        <v>0</v>
      </c>
      <c r="I406" s="322"/>
      <c r="J406" s="45">
        <v>1</v>
      </c>
      <c r="K406" s="322">
        <v>0.50726000000000004</v>
      </c>
      <c r="L406" s="322">
        <v>0.49274000000000001</v>
      </c>
      <c r="M406" s="322"/>
      <c r="N406" s="322"/>
      <c r="O406" s="322"/>
      <c r="P406" s="322"/>
      <c r="Q406" s="322"/>
    </row>
    <row r="407" spans="1:17" x14ac:dyDescent="0.45">
      <c r="A407" s="313">
        <v>26</v>
      </c>
      <c r="B407" s="424" t="s">
        <v>923</v>
      </c>
      <c r="C407" s="425" t="s">
        <v>1762</v>
      </c>
      <c r="D407" s="322">
        <v>1</v>
      </c>
      <c r="E407" s="45"/>
      <c r="F407" s="322">
        <v>0</v>
      </c>
      <c r="G407" s="322"/>
      <c r="H407" s="322">
        <v>0</v>
      </c>
      <c r="I407" s="322"/>
      <c r="J407" s="45">
        <v>1</v>
      </c>
      <c r="K407" s="322">
        <v>0.50726000000000004</v>
      </c>
      <c r="L407" s="322">
        <v>0.49274000000000001</v>
      </c>
      <c r="M407" s="322"/>
      <c r="N407" s="322"/>
      <c r="O407" s="322"/>
      <c r="P407" s="322"/>
      <c r="Q407" s="322"/>
    </row>
    <row r="408" spans="1:17" x14ac:dyDescent="0.45">
      <c r="A408" s="313">
        <v>27</v>
      </c>
      <c r="B408" s="424" t="s">
        <v>924</v>
      </c>
      <c r="C408" s="425" t="s">
        <v>925</v>
      </c>
      <c r="D408" s="322">
        <v>1</v>
      </c>
      <c r="E408" s="45"/>
      <c r="F408" s="322">
        <v>0.95542000000000005</v>
      </c>
      <c r="G408" s="322"/>
      <c r="H408" s="322">
        <v>4.3569999999999998E-2</v>
      </c>
      <c r="I408" s="322"/>
      <c r="J408" s="45">
        <v>1.01E-3</v>
      </c>
      <c r="K408" s="322">
        <v>9.1E-4</v>
      </c>
      <c r="L408" s="322">
        <v>1E-4</v>
      </c>
      <c r="M408" s="322"/>
      <c r="N408" s="322"/>
      <c r="O408" s="322"/>
      <c r="P408" s="322"/>
      <c r="Q408" s="322"/>
    </row>
    <row r="409" spans="1:17" x14ac:dyDescent="0.45">
      <c r="A409" s="313">
        <v>28</v>
      </c>
      <c r="B409" s="424" t="s">
        <v>1450</v>
      </c>
      <c r="C409" s="425" t="s">
        <v>1344</v>
      </c>
      <c r="D409" s="322">
        <v>1</v>
      </c>
      <c r="E409" s="45"/>
      <c r="F409" s="322">
        <v>8.0130000000000007E-2</v>
      </c>
      <c r="G409" s="322"/>
      <c r="H409" s="322">
        <v>0.91986999999999997</v>
      </c>
      <c r="I409" s="322"/>
      <c r="J409" s="45">
        <v>0</v>
      </c>
      <c r="K409" s="322">
        <v>0</v>
      </c>
      <c r="L409" s="322">
        <v>0</v>
      </c>
      <c r="M409" s="322"/>
      <c r="N409" s="322"/>
      <c r="O409" s="322"/>
      <c r="P409" s="322"/>
      <c r="Q409" s="322"/>
    </row>
    <row r="410" spans="1:17" x14ac:dyDescent="0.45">
      <c r="A410" s="313">
        <v>29</v>
      </c>
      <c r="B410" s="424" t="s">
        <v>1345</v>
      </c>
      <c r="C410" s="428" t="s">
        <v>1919</v>
      </c>
      <c r="D410" s="322">
        <v>1</v>
      </c>
      <c r="E410" s="45"/>
      <c r="F410" s="322">
        <v>0.93381000000000003</v>
      </c>
      <c r="G410" s="322"/>
      <c r="H410" s="322">
        <v>6.6189999999999999E-2</v>
      </c>
      <c r="I410" s="322"/>
      <c r="J410" s="45">
        <v>0</v>
      </c>
      <c r="K410" s="322">
        <v>0</v>
      </c>
      <c r="L410" s="322">
        <v>0</v>
      </c>
      <c r="M410" s="322"/>
      <c r="N410" s="322"/>
      <c r="O410" s="322"/>
      <c r="P410" s="322"/>
      <c r="Q410" s="322"/>
    </row>
    <row r="411" spans="1:17" x14ac:dyDescent="0.45">
      <c r="A411" s="313">
        <v>30</v>
      </c>
      <c r="B411" s="424" t="s">
        <v>1346</v>
      </c>
      <c r="C411" s="425" t="s">
        <v>1347</v>
      </c>
      <c r="D411" s="322">
        <v>1</v>
      </c>
      <c r="E411" s="45"/>
      <c r="F411" s="322">
        <v>0.93467999999999996</v>
      </c>
      <c r="G411" s="322"/>
      <c r="H411" s="322">
        <v>5.2130000000000003E-2</v>
      </c>
      <c r="I411" s="322"/>
      <c r="J411" s="45">
        <v>1.319E-2</v>
      </c>
      <c r="K411" s="322">
        <v>6.8999999999999999E-3</v>
      </c>
      <c r="L411" s="322">
        <v>6.2899999999999996E-3</v>
      </c>
      <c r="M411" s="322"/>
      <c r="N411" s="322"/>
      <c r="O411" s="322"/>
      <c r="P411" s="322"/>
      <c r="Q411" s="322"/>
    </row>
    <row r="412" spans="1:17" x14ac:dyDescent="0.45">
      <c r="A412" s="313">
        <v>31</v>
      </c>
      <c r="B412" s="424" t="s">
        <v>1348</v>
      </c>
      <c r="C412" s="425" t="s">
        <v>1349</v>
      </c>
      <c r="D412" s="322">
        <v>1</v>
      </c>
      <c r="E412" s="45"/>
      <c r="F412" s="322">
        <v>1</v>
      </c>
      <c r="G412" s="322"/>
      <c r="H412" s="322">
        <v>0</v>
      </c>
      <c r="I412" s="322"/>
      <c r="J412" s="45">
        <v>0</v>
      </c>
      <c r="K412" s="322">
        <v>0</v>
      </c>
      <c r="L412" s="322">
        <v>0</v>
      </c>
      <c r="M412" s="322"/>
      <c r="N412" s="322"/>
      <c r="O412" s="322"/>
      <c r="P412" s="322"/>
      <c r="Q412" s="322"/>
    </row>
    <row r="413" spans="1:17" x14ac:dyDescent="0.45">
      <c r="A413" s="313">
        <v>32</v>
      </c>
      <c r="B413" s="424" t="s">
        <v>1350</v>
      </c>
      <c r="C413" s="425" t="s">
        <v>1351</v>
      </c>
      <c r="D413" s="322">
        <v>1</v>
      </c>
      <c r="E413" s="45"/>
      <c r="F413" s="322">
        <v>0.98607999999999996</v>
      </c>
      <c r="G413" s="322"/>
      <c r="H413" s="322">
        <v>0</v>
      </c>
      <c r="I413" s="322"/>
      <c r="J413" s="45">
        <v>1.392E-2</v>
      </c>
      <c r="K413" s="322">
        <v>7.28E-3</v>
      </c>
      <c r="L413" s="322">
        <v>6.6400000000000001E-3</v>
      </c>
      <c r="M413" s="322"/>
      <c r="N413" s="322"/>
      <c r="O413" s="322"/>
      <c r="P413" s="322"/>
      <c r="Q413" s="322"/>
    </row>
    <row r="414" spans="1:17" x14ac:dyDescent="0.45">
      <c r="A414" s="313">
        <v>33</v>
      </c>
      <c r="B414" s="424" t="s">
        <v>1352</v>
      </c>
      <c r="C414" s="425" t="s">
        <v>1353</v>
      </c>
      <c r="D414" s="322">
        <v>1</v>
      </c>
      <c r="E414" s="45"/>
      <c r="F414" s="322">
        <v>0</v>
      </c>
      <c r="G414" s="322"/>
      <c r="H414" s="322">
        <v>1</v>
      </c>
      <c r="I414" s="322"/>
      <c r="J414" s="45">
        <v>0</v>
      </c>
      <c r="K414" s="322">
        <v>0</v>
      </c>
      <c r="L414" s="322">
        <v>0</v>
      </c>
      <c r="M414" s="322"/>
      <c r="N414" s="322"/>
      <c r="O414" s="322"/>
      <c r="P414" s="322"/>
      <c r="Q414" s="322"/>
    </row>
    <row r="415" spans="1:17" x14ac:dyDescent="0.45">
      <c r="A415" s="313">
        <v>34</v>
      </c>
      <c r="B415" s="424" t="s">
        <v>1354</v>
      </c>
      <c r="C415" s="425" t="s">
        <v>1355</v>
      </c>
      <c r="D415" s="322">
        <v>1</v>
      </c>
      <c r="E415" s="45"/>
      <c r="F415" s="322">
        <v>0.93735999999999997</v>
      </c>
      <c r="G415" s="322"/>
      <c r="H415" s="322">
        <v>4.2840000000000003E-2</v>
      </c>
      <c r="I415" s="322"/>
      <c r="J415" s="45">
        <v>1.9800000000000002E-2</v>
      </c>
      <c r="K415" s="322">
        <v>1.004E-2</v>
      </c>
      <c r="L415" s="322">
        <v>9.7599999999999996E-3</v>
      </c>
      <c r="M415" s="322"/>
      <c r="N415" s="322"/>
      <c r="O415" s="322"/>
      <c r="P415" s="322"/>
      <c r="Q415" s="322"/>
    </row>
    <row r="416" spans="1:17" x14ac:dyDescent="0.45">
      <c r="A416" s="313">
        <v>35</v>
      </c>
      <c r="B416" s="424" t="s">
        <v>1356</v>
      </c>
      <c r="C416" s="425" t="s">
        <v>1357</v>
      </c>
      <c r="D416" s="322">
        <v>1</v>
      </c>
      <c r="E416" s="45"/>
      <c r="F416" s="322">
        <v>0.93803000000000003</v>
      </c>
      <c r="G416" s="322"/>
      <c r="H416" s="322">
        <v>4.2470000000000001E-2</v>
      </c>
      <c r="I416" s="322"/>
      <c r="J416" s="45">
        <v>1.951E-2</v>
      </c>
      <c r="K416" s="322">
        <v>9.8899999999999995E-3</v>
      </c>
      <c r="L416" s="322">
        <v>9.6100000000000005E-3</v>
      </c>
      <c r="M416" s="322"/>
      <c r="N416" s="322"/>
      <c r="O416" s="322"/>
      <c r="P416" s="322"/>
      <c r="Q416" s="322"/>
    </row>
    <row r="417" spans="1:17" x14ac:dyDescent="0.45">
      <c r="A417" s="313">
        <v>36</v>
      </c>
      <c r="B417" s="424" t="s">
        <v>1358</v>
      </c>
      <c r="C417" s="425" t="s">
        <v>1359</v>
      </c>
      <c r="D417" s="322">
        <v>1</v>
      </c>
      <c r="E417" s="45"/>
      <c r="F417" s="322">
        <v>0.93813000000000002</v>
      </c>
      <c r="G417" s="322"/>
      <c r="H417" s="322">
        <v>4.2320000000000003E-2</v>
      </c>
      <c r="I417" s="322"/>
      <c r="J417" s="45">
        <v>1.9550000000000001E-2</v>
      </c>
      <c r="K417" s="322">
        <v>9.92E-3</v>
      </c>
      <c r="L417" s="322">
        <v>9.6299999999999997E-3</v>
      </c>
      <c r="M417" s="322"/>
      <c r="N417" s="322"/>
      <c r="O417" s="322"/>
      <c r="P417" s="322"/>
      <c r="Q417" s="322"/>
    </row>
    <row r="418" spans="1:17" x14ac:dyDescent="0.45">
      <c r="A418" s="313">
        <v>37</v>
      </c>
      <c r="B418" s="424" t="s">
        <v>857</v>
      </c>
      <c r="C418" s="428" t="s">
        <v>1920</v>
      </c>
      <c r="D418" s="322">
        <v>1</v>
      </c>
      <c r="E418" s="45"/>
      <c r="F418" s="322">
        <v>0.96157000000000004</v>
      </c>
      <c r="G418" s="322"/>
      <c r="H418" s="322">
        <v>2.8629999999999999E-2</v>
      </c>
      <c r="I418" s="322"/>
      <c r="J418" s="45">
        <v>9.7999999999999997E-3</v>
      </c>
      <c r="K418" s="322">
        <v>9.7999999999999997E-3</v>
      </c>
      <c r="L418" s="322">
        <v>0</v>
      </c>
      <c r="M418" s="322"/>
      <c r="N418" s="322"/>
      <c r="O418" s="322"/>
      <c r="P418" s="322"/>
      <c r="Q418" s="322"/>
    </row>
    <row r="419" spans="1:17" x14ac:dyDescent="0.45">
      <c r="A419" s="313">
        <v>38</v>
      </c>
      <c r="B419" s="424" t="s">
        <v>858</v>
      </c>
      <c r="C419" s="428" t="s">
        <v>1921</v>
      </c>
      <c r="D419" s="322">
        <v>1</v>
      </c>
      <c r="E419" s="45"/>
      <c r="F419" s="322">
        <v>0.97870999999999997</v>
      </c>
      <c r="G419" s="322"/>
      <c r="H419" s="322">
        <v>2.129E-2</v>
      </c>
      <c r="I419" s="322"/>
      <c r="J419" s="45">
        <v>0</v>
      </c>
      <c r="K419" s="322">
        <v>0</v>
      </c>
      <c r="L419" s="322">
        <v>0</v>
      </c>
      <c r="M419" s="322"/>
      <c r="N419" s="322"/>
      <c r="O419" s="322"/>
      <c r="P419" s="322"/>
      <c r="Q419" s="322"/>
    </row>
    <row r="420" spans="1:17" x14ac:dyDescent="0.45">
      <c r="A420" s="313">
        <v>39</v>
      </c>
      <c r="B420" s="424" t="s">
        <v>859</v>
      </c>
      <c r="C420" s="428" t="s">
        <v>1922</v>
      </c>
      <c r="D420" s="322">
        <v>1</v>
      </c>
      <c r="E420" s="45"/>
      <c r="F420" s="322">
        <v>0.97119</v>
      </c>
      <c r="G420" s="322"/>
      <c r="H420" s="322">
        <v>2.8809999999999999E-2</v>
      </c>
      <c r="I420" s="322"/>
      <c r="J420" s="45">
        <v>0</v>
      </c>
      <c r="K420" s="322">
        <v>0</v>
      </c>
      <c r="L420" s="322">
        <v>0</v>
      </c>
      <c r="M420" s="322"/>
      <c r="N420" s="322"/>
      <c r="O420" s="322"/>
      <c r="P420" s="322"/>
      <c r="Q420" s="322"/>
    </row>
    <row r="421" spans="1:17" x14ac:dyDescent="0.45">
      <c r="A421" s="313">
        <v>40</v>
      </c>
      <c r="B421" s="424" t="s">
        <v>860</v>
      </c>
      <c r="C421" s="428" t="s">
        <v>1923</v>
      </c>
      <c r="D421" s="322">
        <v>1</v>
      </c>
      <c r="E421" s="45"/>
      <c r="F421" s="322">
        <v>0.94796999999999998</v>
      </c>
      <c r="G421" s="322"/>
      <c r="H421" s="322">
        <v>5.1450000000000003E-2</v>
      </c>
      <c r="I421" s="322"/>
      <c r="J421" s="45">
        <v>5.8E-4</v>
      </c>
      <c r="K421" s="322">
        <v>2.5000000000000001E-4</v>
      </c>
      <c r="L421" s="322">
        <v>3.3E-4</v>
      </c>
      <c r="M421" s="322"/>
      <c r="N421" s="322"/>
      <c r="O421" s="322"/>
      <c r="P421" s="322"/>
      <c r="Q421" s="322"/>
    </row>
    <row r="422" spans="1:17" x14ac:dyDescent="0.45">
      <c r="A422" s="313">
        <v>41</v>
      </c>
      <c r="B422" s="424" t="s">
        <v>861</v>
      </c>
      <c r="C422" s="428" t="s">
        <v>1924</v>
      </c>
      <c r="D422" s="322">
        <v>1</v>
      </c>
      <c r="E422" s="45"/>
      <c r="F422" s="322">
        <v>1</v>
      </c>
      <c r="G422" s="322"/>
      <c r="H422" s="322">
        <v>0</v>
      </c>
      <c r="I422" s="322"/>
      <c r="J422" s="45">
        <v>0</v>
      </c>
      <c r="K422" s="322">
        <v>0</v>
      </c>
      <c r="L422" s="322">
        <v>0</v>
      </c>
      <c r="M422" s="322"/>
      <c r="N422" s="322"/>
      <c r="O422" s="322"/>
      <c r="P422" s="322"/>
      <c r="Q422" s="322"/>
    </row>
    <row r="423" spans="1:17" x14ac:dyDescent="0.45">
      <c r="A423" s="313">
        <v>42</v>
      </c>
      <c r="B423" s="424" t="s">
        <v>862</v>
      </c>
      <c r="C423" s="428" t="s">
        <v>1925</v>
      </c>
      <c r="D423" s="322">
        <v>1</v>
      </c>
      <c r="E423" s="45"/>
      <c r="F423" s="322">
        <v>0.96723999999999999</v>
      </c>
      <c r="G423" s="322"/>
      <c r="H423" s="322">
        <v>3.2759999999999997E-2</v>
      </c>
      <c r="I423" s="322"/>
      <c r="J423" s="45">
        <v>0</v>
      </c>
      <c r="K423" s="322">
        <v>0</v>
      </c>
      <c r="L423" s="322">
        <v>0</v>
      </c>
      <c r="M423" s="322"/>
      <c r="N423" s="322"/>
      <c r="O423" s="322"/>
      <c r="P423" s="322"/>
      <c r="Q423" s="322"/>
    </row>
    <row r="424" spans="1:17" x14ac:dyDescent="0.45">
      <c r="A424" s="313">
        <v>43</v>
      </c>
      <c r="B424" s="424" t="s">
        <v>863</v>
      </c>
      <c r="C424" s="428" t="s">
        <v>1926</v>
      </c>
      <c r="D424" s="322">
        <v>1</v>
      </c>
      <c r="E424" s="45"/>
      <c r="F424" s="322">
        <v>0.95099</v>
      </c>
      <c r="G424" s="322"/>
      <c r="H424" s="322">
        <v>4.861E-2</v>
      </c>
      <c r="I424" s="322"/>
      <c r="J424" s="45">
        <v>4.0000000000000002E-4</v>
      </c>
      <c r="K424" s="322">
        <v>1.6000000000000001E-4</v>
      </c>
      <c r="L424" s="322">
        <v>2.4000000000000001E-4</v>
      </c>
      <c r="M424" s="322"/>
      <c r="N424" s="322"/>
      <c r="O424" s="322"/>
      <c r="P424" s="322"/>
      <c r="Q424" s="322"/>
    </row>
    <row r="425" spans="1:17" x14ac:dyDescent="0.45">
      <c r="A425" s="313">
        <v>44</v>
      </c>
      <c r="B425" s="424" t="s">
        <v>864</v>
      </c>
      <c r="C425" s="428" t="s">
        <v>1927</v>
      </c>
      <c r="D425" s="322">
        <v>1</v>
      </c>
      <c r="E425" s="45"/>
      <c r="F425" s="322">
        <v>0.99185000000000001</v>
      </c>
      <c r="G425" s="322"/>
      <c r="H425" s="322">
        <v>8.1499999999999993E-3</v>
      </c>
      <c r="I425" s="322"/>
      <c r="J425" s="45">
        <v>0</v>
      </c>
      <c r="K425" s="322">
        <v>0</v>
      </c>
      <c r="L425" s="322">
        <v>0</v>
      </c>
      <c r="M425" s="322"/>
      <c r="N425" s="322"/>
      <c r="O425" s="322"/>
      <c r="P425" s="322"/>
      <c r="Q425" s="322"/>
    </row>
    <row r="426" spans="1:17" x14ac:dyDescent="0.45">
      <c r="A426" s="313">
        <v>45</v>
      </c>
      <c r="B426" s="424" t="s">
        <v>865</v>
      </c>
      <c r="C426" s="425" t="s">
        <v>866</v>
      </c>
      <c r="D426" s="322">
        <v>1</v>
      </c>
      <c r="E426" s="45"/>
      <c r="F426" s="322">
        <v>0.92906999999999995</v>
      </c>
      <c r="G426" s="322"/>
      <c r="H426" s="322">
        <v>6.9620000000000001E-2</v>
      </c>
      <c r="I426" s="322"/>
      <c r="J426" s="45">
        <v>1.31E-3</v>
      </c>
      <c r="K426" s="322">
        <v>1.2700000000000001E-3</v>
      </c>
      <c r="L426" s="322">
        <v>4.0000000000000003E-5</v>
      </c>
      <c r="M426" s="322"/>
      <c r="N426" s="322"/>
      <c r="O426" s="322"/>
      <c r="P426" s="322"/>
      <c r="Q426" s="322"/>
    </row>
    <row r="427" spans="1:17" x14ac:dyDescent="0.45">
      <c r="A427" s="45"/>
      <c r="B427" s="45"/>
      <c r="C427" s="312"/>
      <c r="D427" s="45"/>
      <c r="E427" s="45"/>
      <c r="F427" s="45"/>
      <c r="G427" s="45"/>
      <c r="H427" s="45"/>
      <c r="I427" s="45"/>
      <c r="J427" s="45"/>
      <c r="K427" s="45"/>
      <c r="L427" s="45"/>
      <c r="M427" s="45"/>
      <c r="N427" s="45"/>
      <c r="O427" s="45"/>
      <c r="P427" s="45"/>
      <c r="Q427" s="45"/>
    </row>
    <row r="428" spans="1:17" x14ac:dyDescent="0.45">
      <c r="A428" s="45"/>
      <c r="B428" s="432" t="s">
        <v>867</v>
      </c>
      <c r="C428" s="312"/>
      <c r="D428" s="45"/>
      <c r="E428" s="45"/>
      <c r="F428" s="45"/>
      <c r="G428" s="45"/>
      <c r="H428" s="45"/>
      <c r="I428" s="45"/>
      <c r="J428" s="45"/>
      <c r="K428" s="45"/>
      <c r="L428" s="45"/>
      <c r="M428" s="45"/>
      <c r="N428" s="45"/>
      <c r="O428" s="45"/>
      <c r="P428" s="45"/>
      <c r="Q428" s="45"/>
    </row>
    <row r="429" spans="1:17" x14ac:dyDescent="0.45">
      <c r="A429" s="45"/>
      <c r="B429" s="431" t="s">
        <v>1266</v>
      </c>
      <c r="C429" s="312"/>
      <c r="D429" s="45"/>
      <c r="E429" s="45"/>
      <c r="F429" s="45"/>
      <c r="G429" s="45"/>
      <c r="H429" s="45"/>
      <c r="I429" s="45"/>
      <c r="J429" s="45"/>
      <c r="K429" s="45"/>
      <c r="L429" s="45"/>
      <c r="M429" s="45"/>
      <c r="N429" s="45"/>
      <c r="O429" s="45"/>
      <c r="P429" s="45"/>
      <c r="Q429" s="45"/>
    </row>
    <row r="430" spans="1:17" x14ac:dyDescent="0.45">
      <c r="A430" s="313">
        <v>1</v>
      </c>
      <c r="B430" s="424" t="s">
        <v>868</v>
      </c>
      <c r="C430" s="428" t="s">
        <v>1928</v>
      </c>
      <c r="D430" s="322">
        <v>1</v>
      </c>
      <c r="E430" s="45"/>
      <c r="F430" s="322">
        <v>0.95003000000000004</v>
      </c>
      <c r="G430" s="322"/>
      <c r="H430" s="322">
        <v>4.9970000000000001E-2</v>
      </c>
      <c r="I430" s="322"/>
      <c r="J430" s="45">
        <v>0</v>
      </c>
      <c r="K430" s="322">
        <v>0</v>
      </c>
      <c r="L430" s="322">
        <v>0</v>
      </c>
      <c r="M430" s="322"/>
      <c r="N430" s="322"/>
      <c r="O430" s="322"/>
      <c r="P430" s="322"/>
      <c r="Q430" s="322"/>
    </row>
    <row r="431" spans="1:17" x14ac:dyDescent="0.45">
      <c r="A431" s="313">
        <v>2</v>
      </c>
      <c r="B431" s="424" t="s">
        <v>869</v>
      </c>
      <c r="C431" s="425" t="s">
        <v>870</v>
      </c>
      <c r="D431" s="322">
        <v>1</v>
      </c>
      <c r="E431" s="45"/>
      <c r="F431" s="322">
        <v>0</v>
      </c>
      <c r="G431" s="322"/>
      <c r="H431" s="322">
        <v>0</v>
      </c>
      <c r="I431" s="322"/>
      <c r="J431" s="45">
        <v>1</v>
      </c>
      <c r="K431" s="322">
        <v>0.51039999999999996</v>
      </c>
      <c r="L431" s="322">
        <v>0.48959999999999998</v>
      </c>
      <c r="M431" s="322"/>
      <c r="N431" s="322"/>
      <c r="O431" s="322"/>
      <c r="P431" s="322"/>
      <c r="Q431" s="322"/>
    </row>
    <row r="432" spans="1:17" x14ac:dyDescent="0.45">
      <c r="A432" s="313">
        <v>3</v>
      </c>
      <c r="B432" s="424" t="s">
        <v>871</v>
      </c>
      <c r="C432" s="425" t="s">
        <v>872</v>
      </c>
      <c r="D432" s="322">
        <v>1</v>
      </c>
      <c r="E432" s="45"/>
      <c r="F432" s="322">
        <v>0</v>
      </c>
      <c r="G432" s="322"/>
      <c r="H432" s="322">
        <v>1</v>
      </c>
      <c r="I432" s="322"/>
      <c r="J432" s="45">
        <v>0</v>
      </c>
      <c r="K432" s="322">
        <v>0</v>
      </c>
      <c r="L432" s="322">
        <v>0</v>
      </c>
      <c r="M432" s="322"/>
      <c r="N432" s="322"/>
      <c r="O432" s="322"/>
      <c r="P432" s="322"/>
      <c r="Q432" s="322"/>
    </row>
    <row r="433" spans="1:17" x14ac:dyDescent="0.45">
      <c r="A433" s="313">
        <v>4</v>
      </c>
      <c r="B433" s="424" t="s">
        <v>873</v>
      </c>
      <c r="C433" s="425" t="s">
        <v>874</v>
      </c>
      <c r="D433" s="322">
        <v>1</v>
      </c>
      <c r="E433" s="45"/>
      <c r="F433" s="322">
        <v>0.94116999999999995</v>
      </c>
      <c r="G433" s="322"/>
      <c r="H433" s="322">
        <v>4.4650000000000002E-2</v>
      </c>
      <c r="I433" s="322"/>
      <c r="J433" s="45">
        <v>1.417E-2</v>
      </c>
      <c r="K433" s="322">
        <v>7.2300000000000003E-3</v>
      </c>
      <c r="L433" s="322">
        <v>6.94E-3</v>
      </c>
      <c r="M433" s="322"/>
      <c r="N433" s="322"/>
      <c r="O433" s="322"/>
      <c r="P433" s="322"/>
      <c r="Q433" s="322"/>
    </row>
    <row r="434" spans="1:17" x14ac:dyDescent="0.45">
      <c r="A434" s="313">
        <v>5</v>
      </c>
      <c r="B434" s="424" t="s">
        <v>875</v>
      </c>
      <c r="C434" s="425" t="s">
        <v>876</v>
      </c>
      <c r="D434" s="322">
        <v>1</v>
      </c>
      <c r="E434" s="45"/>
      <c r="F434" s="322">
        <v>0</v>
      </c>
      <c r="G434" s="322"/>
      <c r="H434" s="322">
        <v>1</v>
      </c>
      <c r="I434" s="322"/>
      <c r="J434" s="45">
        <v>0</v>
      </c>
      <c r="K434" s="322">
        <v>0</v>
      </c>
      <c r="L434" s="322">
        <v>0</v>
      </c>
      <c r="M434" s="322"/>
      <c r="N434" s="322"/>
      <c r="O434" s="322"/>
      <c r="P434" s="322"/>
      <c r="Q434" s="322"/>
    </row>
    <row r="435" spans="1:17" x14ac:dyDescent="0.45">
      <c r="A435" s="313">
        <v>6</v>
      </c>
      <c r="B435" s="424" t="s">
        <v>877</v>
      </c>
      <c r="C435" s="425" t="s">
        <v>878</v>
      </c>
      <c r="D435" s="322">
        <v>1</v>
      </c>
      <c r="E435" s="45"/>
      <c r="F435" s="322">
        <v>0.95469999999999999</v>
      </c>
      <c r="G435" s="322"/>
      <c r="H435" s="322">
        <v>4.53E-2</v>
      </c>
      <c r="I435" s="322"/>
      <c r="J435" s="45">
        <v>0</v>
      </c>
      <c r="K435" s="322">
        <v>0</v>
      </c>
      <c r="L435" s="322">
        <v>0</v>
      </c>
      <c r="M435" s="322"/>
      <c r="N435" s="322"/>
      <c r="O435" s="322"/>
      <c r="P435" s="322"/>
      <c r="Q435" s="322"/>
    </row>
    <row r="436" spans="1:17" x14ac:dyDescent="0.45">
      <c r="A436" s="313">
        <v>7</v>
      </c>
      <c r="B436" s="424" t="s">
        <v>926</v>
      </c>
      <c r="C436" s="425" t="s">
        <v>927</v>
      </c>
      <c r="D436" s="322">
        <v>1</v>
      </c>
      <c r="E436" s="45"/>
      <c r="F436" s="322">
        <v>0.99839</v>
      </c>
      <c r="G436" s="322"/>
      <c r="H436" s="322">
        <v>0</v>
      </c>
      <c r="I436" s="322"/>
      <c r="J436" s="45">
        <v>1.6100000000000001E-3</v>
      </c>
      <c r="K436" s="322">
        <v>1.6000000000000001E-3</v>
      </c>
      <c r="L436" s="322">
        <v>1.0000000000000001E-5</v>
      </c>
      <c r="M436" s="322"/>
      <c r="N436" s="322"/>
      <c r="O436" s="322"/>
      <c r="P436" s="322"/>
      <c r="Q436" s="322"/>
    </row>
    <row r="437" spans="1:17" x14ac:dyDescent="0.45">
      <c r="A437" s="313">
        <v>8</v>
      </c>
      <c r="B437" s="424" t="s">
        <v>27</v>
      </c>
      <c r="C437" s="425" t="s">
        <v>28</v>
      </c>
      <c r="D437" s="322">
        <v>1</v>
      </c>
      <c r="E437" s="45"/>
      <c r="F437" s="322">
        <v>0</v>
      </c>
      <c r="G437" s="322"/>
      <c r="H437" s="322">
        <v>1</v>
      </c>
      <c r="I437" s="322"/>
      <c r="J437" s="45">
        <v>0</v>
      </c>
      <c r="K437" s="322">
        <v>0</v>
      </c>
      <c r="L437" s="322">
        <v>0</v>
      </c>
      <c r="M437" s="322"/>
      <c r="N437" s="322"/>
      <c r="O437" s="322"/>
      <c r="P437" s="322"/>
      <c r="Q437" s="322"/>
    </row>
    <row r="438" spans="1:17" x14ac:dyDescent="0.45">
      <c r="A438" s="313">
        <v>9</v>
      </c>
      <c r="B438" s="424" t="s">
        <v>29</v>
      </c>
      <c r="C438" s="425" t="s">
        <v>30</v>
      </c>
      <c r="D438" s="322">
        <v>1</v>
      </c>
      <c r="E438" s="45"/>
      <c r="F438" s="322">
        <v>1</v>
      </c>
      <c r="G438" s="322"/>
      <c r="H438" s="322">
        <v>0</v>
      </c>
      <c r="I438" s="322"/>
      <c r="J438" s="45">
        <v>0</v>
      </c>
      <c r="K438" s="322">
        <v>0</v>
      </c>
      <c r="L438" s="322">
        <v>0</v>
      </c>
      <c r="M438" s="322"/>
      <c r="N438" s="322"/>
      <c r="O438" s="322"/>
      <c r="P438" s="322"/>
      <c r="Q438" s="322"/>
    </row>
    <row r="439" spans="1:17" x14ac:dyDescent="0.45">
      <c r="A439" s="313">
        <v>10</v>
      </c>
      <c r="B439" s="424" t="s">
        <v>31</v>
      </c>
      <c r="C439" s="425" t="s">
        <v>32</v>
      </c>
      <c r="D439" s="322">
        <v>1</v>
      </c>
      <c r="E439" s="45"/>
      <c r="F439" s="322">
        <v>0.93625999999999998</v>
      </c>
      <c r="G439" s="322"/>
      <c r="H439" s="322">
        <v>5.1180000000000003E-2</v>
      </c>
      <c r="I439" s="322"/>
      <c r="J439" s="45">
        <v>1.256E-2</v>
      </c>
      <c r="K439" s="322">
        <v>6.62E-3</v>
      </c>
      <c r="L439" s="322">
        <v>5.94E-3</v>
      </c>
      <c r="M439" s="322"/>
      <c r="N439" s="322"/>
      <c r="O439" s="322"/>
      <c r="P439" s="322"/>
      <c r="Q439" s="322"/>
    </row>
    <row r="440" spans="1:17" x14ac:dyDescent="0.45">
      <c r="A440" s="313">
        <v>11</v>
      </c>
      <c r="B440" s="424" t="s">
        <v>33</v>
      </c>
      <c r="C440" s="425" t="s">
        <v>34</v>
      </c>
      <c r="D440" s="322">
        <v>1</v>
      </c>
      <c r="E440" s="45"/>
      <c r="F440" s="322">
        <v>0.93632000000000004</v>
      </c>
      <c r="G440" s="322"/>
      <c r="H440" s="322">
        <v>5.117E-2</v>
      </c>
      <c r="I440" s="322"/>
      <c r="J440" s="45">
        <v>1.251E-2</v>
      </c>
      <c r="K440" s="322">
        <v>6.6E-3</v>
      </c>
      <c r="L440" s="322">
        <v>5.9100000000000003E-3</v>
      </c>
      <c r="M440" s="322"/>
      <c r="N440" s="322"/>
      <c r="O440" s="322"/>
      <c r="P440" s="322"/>
      <c r="Q440" s="322"/>
    </row>
    <row r="441" spans="1:17" x14ac:dyDescent="0.45">
      <c r="A441" s="313">
        <v>12</v>
      </c>
      <c r="B441" s="424" t="s">
        <v>35</v>
      </c>
      <c r="C441" s="425" t="s">
        <v>518</v>
      </c>
      <c r="D441" s="322">
        <v>1</v>
      </c>
      <c r="E441" s="45"/>
      <c r="F441" s="322">
        <v>0.77161000000000002</v>
      </c>
      <c r="G441" s="322"/>
      <c r="H441" s="322">
        <v>0</v>
      </c>
      <c r="I441" s="322"/>
      <c r="J441" s="45">
        <v>0.22839000000000001</v>
      </c>
      <c r="K441" s="322">
        <v>0.11584999999999999</v>
      </c>
      <c r="L441" s="322">
        <v>0.11254</v>
      </c>
      <c r="M441" s="322"/>
      <c r="N441" s="322"/>
      <c r="O441" s="322"/>
      <c r="P441" s="322"/>
      <c r="Q441" s="322"/>
    </row>
    <row r="442" spans="1:17" x14ac:dyDescent="0.45">
      <c r="A442" s="313">
        <v>13</v>
      </c>
      <c r="B442" s="424" t="s">
        <v>1451</v>
      </c>
      <c r="C442" s="425" t="s">
        <v>2135</v>
      </c>
      <c r="D442" s="322">
        <v>1</v>
      </c>
      <c r="E442" s="45"/>
      <c r="F442" s="322">
        <v>0.93837000000000004</v>
      </c>
      <c r="G442" s="322"/>
      <c r="H442" s="322">
        <v>4.8390000000000002E-2</v>
      </c>
      <c r="I442" s="322"/>
      <c r="J442" s="45">
        <v>1.325E-2</v>
      </c>
      <c r="K442" s="322">
        <v>6.9300000000000004E-3</v>
      </c>
      <c r="L442" s="322">
        <v>6.3099999999999996E-3</v>
      </c>
      <c r="M442" s="322"/>
      <c r="N442" s="322"/>
      <c r="O442" s="322"/>
      <c r="P442" s="322"/>
      <c r="Q442" s="322"/>
    </row>
    <row r="443" spans="1:17" x14ac:dyDescent="0.45">
      <c r="A443" s="313">
        <v>14</v>
      </c>
      <c r="B443" s="424" t="s">
        <v>37</v>
      </c>
      <c r="C443" s="428" t="s">
        <v>1929</v>
      </c>
      <c r="D443" s="322">
        <v>1</v>
      </c>
      <c r="E443" s="45"/>
      <c r="F443" s="322">
        <v>0.94113000000000002</v>
      </c>
      <c r="G443" s="322"/>
      <c r="H443" s="322">
        <v>3.8640000000000001E-2</v>
      </c>
      <c r="I443" s="322"/>
      <c r="J443" s="45">
        <v>2.0230000000000001E-2</v>
      </c>
      <c r="K443" s="322">
        <v>1.0370000000000001E-2</v>
      </c>
      <c r="L443" s="322">
        <v>9.8700000000000003E-3</v>
      </c>
      <c r="M443" s="322"/>
      <c r="N443" s="322"/>
      <c r="O443" s="322"/>
      <c r="P443" s="322"/>
      <c r="Q443" s="322"/>
    </row>
    <row r="444" spans="1:17" x14ac:dyDescent="0.45">
      <c r="A444" s="313">
        <v>15</v>
      </c>
      <c r="B444" s="424" t="s">
        <v>38</v>
      </c>
      <c r="C444" s="428" t="s">
        <v>1930</v>
      </c>
      <c r="D444" s="322">
        <v>1</v>
      </c>
      <c r="E444" s="45"/>
      <c r="F444" s="322">
        <v>0.94528999999999996</v>
      </c>
      <c r="G444" s="322"/>
      <c r="H444" s="322">
        <v>3.5950000000000003E-2</v>
      </c>
      <c r="I444" s="322"/>
      <c r="J444" s="45">
        <v>1.8759999999999999E-2</v>
      </c>
      <c r="K444" s="322">
        <v>9.6100000000000005E-3</v>
      </c>
      <c r="L444" s="322">
        <v>9.1500000000000001E-3</v>
      </c>
      <c r="M444" s="322"/>
      <c r="N444" s="322"/>
      <c r="O444" s="322"/>
      <c r="P444" s="322"/>
      <c r="Q444" s="322"/>
    </row>
    <row r="445" spans="1:17" x14ac:dyDescent="0.45">
      <c r="A445" s="313">
        <v>16</v>
      </c>
      <c r="B445" s="424" t="s">
        <v>39</v>
      </c>
      <c r="C445" s="428" t="s">
        <v>1931</v>
      </c>
      <c r="D445" s="322">
        <v>1</v>
      </c>
      <c r="E445" s="45"/>
      <c r="F445" s="322">
        <v>0.93803000000000003</v>
      </c>
      <c r="G445" s="322"/>
      <c r="H445" s="322">
        <v>4.2470000000000001E-2</v>
      </c>
      <c r="I445" s="322"/>
      <c r="J445" s="45">
        <v>1.951E-2</v>
      </c>
      <c r="K445" s="322">
        <v>9.8899999999999995E-3</v>
      </c>
      <c r="L445" s="322">
        <v>9.6100000000000005E-3</v>
      </c>
      <c r="M445" s="322"/>
      <c r="N445" s="322"/>
      <c r="O445" s="322"/>
      <c r="P445" s="322"/>
      <c r="Q445" s="322"/>
    </row>
    <row r="446" spans="1:17" x14ac:dyDescent="0.45">
      <c r="A446" s="313">
        <v>17</v>
      </c>
      <c r="B446" s="424" t="s">
        <v>40</v>
      </c>
      <c r="C446" s="428" t="s">
        <v>1932</v>
      </c>
      <c r="D446" s="322">
        <v>1</v>
      </c>
      <c r="E446" s="45"/>
      <c r="F446" s="322">
        <v>0.93874999999999997</v>
      </c>
      <c r="G446" s="322"/>
      <c r="H446" s="322">
        <v>4.1579999999999999E-2</v>
      </c>
      <c r="I446" s="322"/>
      <c r="J446" s="45">
        <v>1.967E-2</v>
      </c>
      <c r="K446" s="322">
        <v>0.01</v>
      </c>
      <c r="L446" s="322">
        <v>9.6699999999999998E-3</v>
      </c>
      <c r="M446" s="322"/>
      <c r="N446" s="322"/>
      <c r="O446" s="322"/>
      <c r="P446" s="322"/>
      <c r="Q446" s="322"/>
    </row>
    <row r="447" spans="1:17" x14ac:dyDescent="0.45">
      <c r="A447" s="313">
        <v>18</v>
      </c>
      <c r="B447" s="424" t="s">
        <v>41</v>
      </c>
      <c r="C447" s="428" t="s">
        <v>1933</v>
      </c>
      <c r="D447" s="322">
        <v>1</v>
      </c>
      <c r="E447" s="45"/>
      <c r="F447" s="322">
        <v>0.94179999999999997</v>
      </c>
      <c r="G447" s="322"/>
      <c r="H447" s="322">
        <v>3.7850000000000002E-2</v>
      </c>
      <c r="I447" s="322"/>
      <c r="J447" s="45">
        <v>2.035E-2</v>
      </c>
      <c r="K447" s="322">
        <v>1.044E-2</v>
      </c>
      <c r="L447" s="322">
        <v>9.9000000000000008E-3</v>
      </c>
      <c r="M447" s="322"/>
      <c r="N447" s="322"/>
      <c r="O447" s="322"/>
      <c r="P447" s="322"/>
      <c r="Q447" s="322"/>
    </row>
    <row r="448" spans="1:17" x14ac:dyDescent="0.45">
      <c r="A448" s="313">
        <v>19</v>
      </c>
      <c r="B448" s="424" t="s">
        <v>42</v>
      </c>
      <c r="C448" s="428" t="s">
        <v>1934</v>
      </c>
      <c r="D448" s="322">
        <v>1</v>
      </c>
      <c r="E448" s="45"/>
      <c r="F448" s="322">
        <v>0.92974999999999997</v>
      </c>
      <c r="G448" s="322"/>
      <c r="H448" s="322">
        <v>4.777E-2</v>
      </c>
      <c r="I448" s="322"/>
      <c r="J448" s="45">
        <v>2.247E-2</v>
      </c>
      <c r="K448" s="322">
        <v>1.14E-2</v>
      </c>
      <c r="L448" s="322">
        <v>1.107E-2</v>
      </c>
      <c r="M448" s="322"/>
      <c r="N448" s="322"/>
      <c r="O448" s="322"/>
      <c r="P448" s="322"/>
      <c r="Q448" s="322"/>
    </row>
    <row r="449" spans="1:17" x14ac:dyDescent="0.45">
      <c r="A449" s="313">
        <v>20</v>
      </c>
      <c r="B449" s="424" t="s">
        <v>1452</v>
      </c>
      <c r="C449" s="425" t="s">
        <v>44</v>
      </c>
      <c r="D449" s="322">
        <v>0</v>
      </c>
      <c r="E449" s="45"/>
      <c r="F449" s="322">
        <v>0</v>
      </c>
      <c r="G449" s="322"/>
      <c r="H449" s="322">
        <v>0</v>
      </c>
      <c r="I449" s="322"/>
      <c r="J449" s="45">
        <v>0</v>
      </c>
      <c r="K449" s="322">
        <v>0</v>
      </c>
      <c r="L449" s="322">
        <v>0</v>
      </c>
      <c r="M449" s="322"/>
      <c r="N449" s="322"/>
      <c r="O449" s="322"/>
      <c r="P449" s="322"/>
      <c r="Q449" s="322"/>
    </row>
    <row r="450" spans="1:17" x14ac:dyDescent="0.45">
      <c r="A450" s="313">
        <v>21</v>
      </c>
      <c r="B450" s="424" t="s">
        <v>1453</v>
      </c>
      <c r="C450" s="425" t="s">
        <v>46</v>
      </c>
      <c r="D450" s="322">
        <v>0</v>
      </c>
      <c r="E450" s="45"/>
      <c r="F450" s="322">
        <v>0</v>
      </c>
      <c r="G450" s="322"/>
      <c r="H450" s="322">
        <v>0</v>
      </c>
      <c r="I450" s="322"/>
      <c r="J450" s="45">
        <v>0</v>
      </c>
      <c r="K450" s="322">
        <v>0</v>
      </c>
      <c r="L450" s="322">
        <v>0</v>
      </c>
      <c r="M450" s="322"/>
      <c r="N450" s="322"/>
      <c r="O450" s="322"/>
      <c r="P450" s="322"/>
      <c r="Q450" s="322"/>
    </row>
    <row r="451" spans="1:17" x14ac:dyDescent="0.45">
      <c r="A451" s="313">
        <v>22</v>
      </c>
      <c r="B451" s="424" t="s">
        <v>1454</v>
      </c>
      <c r="C451" s="425" t="s">
        <v>48</v>
      </c>
      <c r="D451" s="322">
        <v>0</v>
      </c>
      <c r="E451" s="45"/>
      <c r="F451" s="322">
        <v>0</v>
      </c>
      <c r="G451" s="322"/>
      <c r="H451" s="322">
        <v>0</v>
      </c>
      <c r="I451" s="322"/>
      <c r="J451" s="45">
        <v>0</v>
      </c>
      <c r="K451" s="322">
        <v>0</v>
      </c>
      <c r="L451" s="322">
        <v>0</v>
      </c>
      <c r="M451" s="322"/>
      <c r="N451" s="322"/>
      <c r="O451" s="322"/>
      <c r="P451" s="322"/>
      <c r="Q451" s="322"/>
    </row>
    <row r="452" spans="1:17" x14ac:dyDescent="0.45">
      <c r="A452" s="313">
        <v>23</v>
      </c>
      <c r="B452" s="424" t="s">
        <v>1455</v>
      </c>
      <c r="C452" s="425" t="s">
        <v>50</v>
      </c>
      <c r="D452" s="322">
        <v>0</v>
      </c>
      <c r="E452" s="45"/>
      <c r="F452" s="322">
        <v>0</v>
      </c>
      <c r="G452" s="322"/>
      <c r="H452" s="322">
        <v>0</v>
      </c>
      <c r="I452" s="322"/>
      <c r="J452" s="45">
        <v>0</v>
      </c>
      <c r="K452" s="322">
        <v>0</v>
      </c>
      <c r="L452" s="322">
        <v>0</v>
      </c>
      <c r="M452" s="322"/>
      <c r="N452" s="322"/>
      <c r="O452" s="322"/>
      <c r="P452" s="322"/>
      <c r="Q452" s="322"/>
    </row>
    <row r="453" spans="1:17" x14ac:dyDescent="0.45">
      <c r="A453" s="313">
        <v>24</v>
      </c>
      <c r="B453" s="424" t="s">
        <v>1456</v>
      </c>
      <c r="C453" s="425" t="s">
        <v>52</v>
      </c>
      <c r="D453" s="322">
        <v>0</v>
      </c>
      <c r="E453" s="45"/>
      <c r="F453" s="322">
        <v>0</v>
      </c>
      <c r="G453" s="322"/>
      <c r="H453" s="322">
        <v>0</v>
      </c>
      <c r="I453" s="322"/>
      <c r="J453" s="45">
        <v>0</v>
      </c>
      <c r="K453" s="322">
        <v>0</v>
      </c>
      <c r="L453" s="322">
        <v>0</v>
      </c>
      <c r="M453" s="322"/>
      <c r="N453" s="322"/>
      <c r="O453" s="322"/>
      <c r="P453" s="322"/>
      <c r="Q453" s="322"/>
    </row>
    <row r="454" spans="1:17" x14ac:dyDescent="0.45">
      <c r="A454" s="313">
        <v>25</v>
      </c>
      <c r="B454" s="424" t="s">
        <v>1457</v>
      </c>
      <c r="C454" s="425" t="s">
        <v>510</v>
      </c>
      <c r="D454" s="322">
        <v>0</v>
      </c>
      <c r="E454" s="45"/>
      <c r="F454" s="322">
        <v>0</v>
      </c>
      <c r="G454" s="322"/>
      <c r="H454" s="322">
        <v>0</v>
      </c>
      <c r="I454" s="322"/>
      <c r="J454" s="45">
        <v>0</v>
      </c>
      <c r="K454" s="322">
        <v>0</v>
      </c>
      <c r="L454" s="322">
        <v>0</v>
      </c>
      <c r="M454" s="322"/>
      <c r="N454" s="322"/>
      <c r="O454" s="322"/>
      <c r="P454" s="322"/>
      <c r="Q454" s="322"/>
    </row>
    <row r="455" spans="1:17" x14ac:dyDescent="0.45">
      <c r="A455" s="313">
        <v>26</v>
      </c>
      <c r="B455" s="424" t="s">
        <v>511</v>
      </c>
      <c r="C455" s="428" t="s">
        <v>1935</v>
      </c>
      <c r="D455" s="322">
        <v>1</v>
      </c>
      <c r="E455" s="45"/>
      <c r="F455" s="322">
        <v>0.89295999999999998</v>
      </c>
      <c r="G455" s="322"/>
      <c r="H455" s="322">
        <v>0.10704</v>
      </c>
      <c r="I455" s="322"/>
      <c r="J455" s="45">
        <v>0</v>
      </c>
      <c r="K455" s="322">
        <v>0</v>
      </c>
      <c r="L455" s="322">
        <v>0</v>
      </c>
      <c r="M455" s="322"/>
      <c r="N455" s="322"/>
      <c r="O455" s="322"/>
      <c r="P455" s="322"/>
      <c r="Q455" s="322"/>
    </row>
    <row r="456" spans="1:17" x14ac:dyDescent="0.45">
      <c r="A456" s="313">
        <v>27</v>
      </c>
      <c r="B456" s="424" t="s">
        <v>512</v>
      </c>
      <c r="C456" s="428" t="s">
        <v>1936</v>
      </c>
      <c r="D456" s="322">
        <v>1</v>
      </c>
      <c r="E456" s="45"/>
      <c r="F456" s="322">
        <v>0.89295999999999998</v>
      </c>
      <c r="G456" s="322"/>
      <c r="H456" s="322">
        <v>0.10704</v>
      </c>
      <c r="I456" s="322"/>
      <c r="J456" s="45">
        <v>0</v>
      </c>
      <c r="K456" s="322">
        <v>0</v>
      </c>
      <c r="L456" s="322">
        <v>0</v>
      </c>
      <c r="M456" s="322"/>
      <c r="N456" s="322"/>
      <c r="O456" s="322"/>
      <c r="P456" s="322"/>
      <c r="Q456" s="322"/>
    </row>
    <row r="457" spans="1:17" x14ac:dyDescent="0.45">
      <c r="A457" s="313">
        <v>28</v>
      </c>
      <c r="B457" s="424" t="s">
        <v>513</v>
      </c>
      <c r="C457" s="425" t="s">
        <v>514</v>
      </c>
      <c r="D457" s="322">
        <v>1</v>
      </c>
      <c r="E457" s="45"/>
      <c r="F457" s="322">
        <v>0.89295999999999998</v>
      </c>
      <c r="G457" s="322"/>
      <c r="H457" s="322">
        <v>0.10704</v>
      </c>
      <c r="I457" s="322"/>
      <c r="J457" s="45">
        <v>0</v>
      </c>
      <c r="K457" s="322">
        <v>0</v>
      </c>
      <c r="L457" s="322">
        <v>0</v>
      </c>
      <c r="M457" s="322"/>
      <c r="N457" s="322"/>
      <c r="O457" s="322"/>
      <c r="P457" s="322"/>
      <c r="Q457" s="322"/>
    </row>
    <row r="458" spans="1:17" x14ac:dyDescent="0.45">
      <c r="A458" s="313">
        <v>29</v>
      </c>
      <c r="B458" s="424" t="s">
        <v>515</v>
      </c>
      <c r="C458" s="425" t="s">
        <v>516</v>
      </c>
      <c r="D458" s="322">
        <v>0</v>
      </c>
      <c r="E458" s="45"/>
      <c r="F458" s="322">
        <v>0</v>
      </c>
      <c r="G458" s="322"/>
      <c r="H458" s="322">
        <v>0</v>
      </c>
      <c r="I458" s="322"/>
      <c r="J458" s="45">
        <v>0</v>
      </c>
      <c r="K458" s="322">
        <v>0</v>
      </c>
      <c r="L458" s="322">
        <v>0</v>
      </c>
      <c r="M458" s="322"/>
      <c r="N458" s="322"/>
      <c r="O458" s="322"/>
      <c r="P458" s="322"/>
      <c r="Q458" s="322"/>
    </row>
    <row r="459" spans="1:17" x14ac:dyDescent="0.45">
      <c r="A459" s="313">
        <v>30</v>
      </c>
      <c r="B459" s="424" t="s">
        <v>517</v>
      </c>
      <c r="C459" s="428" t="s">
        <v>1937</v>
      </c>
      <c r="D459" s="322">
        <v>1</v>
      </c>
      <c r="E459" s="45"/>
      <c r="F459" s="322">
        <v>0.94686000000000003</v>
      </c>
      <c r="G459" s="322"/>
      <c r="H459" s="322">
        <v>5.1659999999999998E-2</v>
      </c>
      <c r="I459" s="322"/>
      <c r="J459" s="45">
        <v>1.48E-3</v>
      </c>
      <c r="K459" s="322">
        <v>1.3600000000000001E-3</v>
      </c>
      <c r="L459" s="322">
        <v>1.2E-4</v>
      </c>
      <c r="M459" s="322"/>
      <c r="N459" s="322"/>
      <c r="O459" s="322"/>
      <c r="P459" s="322"/>
      <c r="Q459" s="322"/>
    </row>
    <row r="460" spans="1:17" x14ac:dyDescent="0.45">
      <c r="A460" s="313">
        <v>31</v>
      </c>
      <c r="B460" s="424" t="s">
        <v>528</v>
      </c>
      <c r="C460" s="428" t="s">
        <v>1938</v>
      </c>
      <c r="D460" s="322">
        <v>1</v>
      </c>
      <c r="E460" s="45"/>
      <c r="F460" s="322">
        <v>0.93715999999999999</v>
      </c>
      <c r="G460" s="322"/>
      <c r="H460" s="322">
        <v>6.2370000000000002E-2</v>
      </c>
      <c r="I460" s="322"/>
      <c r="J460" s="45">
        <v>4.6999999999999999E-4</v>
      </c>
      <c r="K460" s="322">
        <v>4.6999999999999999E-4</v>
      </c>
      <c r="L460" s="322">
        <v>0</v>
      </c>
      <c r="M460" s="322"/>
      <c r="N460" s="322"/>
      <c r="O460" s="322"/>
      <c r="P460" s="322"/>
      <c r="Q460" s="322"/>
    </row>
    <row r="461" spans="1:17" x14ac:dyDescent="0.45">
      <c r="A461" s="313">
        <v>32</v>
      </c>
      <c r="B461" s="424" t="s">
        <v>529</v>
      </c>
      <c r="C461" s="425" t="s">
        <v>530</v>
      </c>
      <c r="D461" s="322">
        <v>1</v>
      </c>
      <c r="E461" s="45"/>
      <c r="F461" s="322">
        <v>0.95194999999999996</v>
      </c>
      <c r="G461" s="322"/>
      <c r="H461" s="322">
        <v>4.6519999999999999E-2</v>
      </c>
      <c r="I461" s="322"/>
      <c r="J461" s="45">
        <v>1.5399999999999999E-3</v>
      </c>
      <c r="K461" s="322">
        <v>1.5299999999999999E-3</v>
      </c>
      <c r="L461" s="322">
        <v>1.0000000000000001E-5</v>
      </c>
      <c r="M461" s="322"/>
      <c r="N461" s="322"/>
      <c r="O461" s="322"/>
      <c r="P461" s="322"/>
      <c r="Q461" s="322"/>
    </row>
    <row r="462" spans="1:17" x14ac:dyDescent="0.45">
      <c r="A462" s="313">
        <v>33</v>
      </c>
      <c r="B462" s="424" t="s">
        <v>531</v>
      </c>
      <c r="C462" s="425" t="s">
        <v>532</v>
      </c>
      <c r="D462" s="322">
        <v>0</v>
      </c>
      <c r="E462" s="45"/>
      <c r="F462" s="322">
        <v>0</v>
      </c>
      <c r="G462" s="322"/>
      <c r="H462" s="322">
        <v>0</v>
      </c>
      <c r="I462" s="322"/>
      <c r="J462" s="45">
        <v>0</v>
      </c>
      <c r="K462" s="322">
        <v>0</v>
      </c>
      <c r="L462" s="322">
        <v>0</v>
      </c>
      <c r="M462" s="322"/>
      <c r="N462" s="322"/>
      <c r="O462" s="322"/>
      <c r="P462" s="322"/>
      <c r="Q462" s="322"/>
    </row>
    <row r="463" spans="1:17" x14ac:dyDescent="0.45">
      <c r="A463" s="313">
        <v>34</v>
      </c>
      <c r="B463" s="424" t="s">
        <v>533</v>
      </c>
      <c r="C463" s="428" t="s">
        <v>1939</v>
      </c>
      <c r="D463" s="322">
        <v>1</v>
      </c>
      <c r="E463" s="45"/>
      <c r="F463" s="322">
        <v>0.95099</v>
      </c>
      <c r="G463" s="322"/>
      <c r="H463" s="322">
        <v>4.861E-2</v>
      </c>
      <c r="I463" s="322"/>
      <c r="J463" s="45">
        <v>4.0000000000000002E-4</v>
      </c>
      <c r="K463" s="322">
        <v>1.6000000000000001E-4</v>
      </c>
      <c r="L463" s="322">
        <v>2.4000000000000001E-4</v>
      </c>
      <c r="M463" s="322"/>
      <c r="N463" s="322"/>
      <c r="O463" s="322"/>
      <c r="P463" s="322"/>
      <c r="Q463" s="322"/>
    </row>
    <row r="464" spans="1:17" x14ac:dyDescent="0.45">
      <c r="A464" s="313">
        <v>35</v>
      </c>
      <c r="B464" s="424" t="s">
        <v>534</v>
      </c>
      <c r="C464" s="425" t="s">
        <v>535</v>
      </c>
      <c r="D464" s="322">
        <v>1</v>
      </c>
      <c r="E464" s="45"/>
      <c r="F464" s="322">
        <v>0.95099</v>
      </c>
      <c r="G464" s="322"/>
      <c r="H464" s="322">
        <v>4.861E-2</v>
      </c>
      <c r="I464" s="322"/>
      <c r="J464" s="45">
        <v>4.0000000000000002E-4</v>
      </c>
      <c r="K464" s="322">
        <v>1.6000000000000001E-4</v>
      </c>
      <c r="L464" s="322">
        <v>2.4000000000000001E-4</v>
      </c>
      <c r="M464" s="322"/>
      <c r="N464" s="322"/>
      <c r="O464" s="322"/>
      <c r="P464" s="322"/>
      <c r="Q464" s="322"/>
    </row>
    <row r="465" spans="1:17" x14ac:dyDescent="0.45">
      <c r="A465" s="313">
        <v>36</v>
      </c>
      <c r="B465" s="424" t="s">
        <v>1458</v>
      </c>
      <c r="C465" s="428" t="s">
        <v>1940</v>
      </c>
      <c r="D465" s="322">
        <v>1</v>
      </c>
      <c r="E465" s="45"/>
      <c r="F465" s="322">
        <v>0.98819999999999997</v>
      </c>
      <c r="G465" s="322"/>
      <c r="H465" s="322">
        <v>1.18E-2</v>
      </c>
      <c r="I465" s="322"/>
      <c r="J465" s="45">
        <v>0</v>
      </c>
      <c r="K465" s="322">
        <v>0</v>
      </c>
      <c r="L465" s="322">
        <v>0</v>
      </c>
      <c r="M465" s="322"/>
      <c r="N465" s="322"/>
      <c r="O465" s="322"/>
      <c r="P465" s="322"/>
      <c r="Q465" s="322"/>
    </row>
    <row r="466" spans="1:17" x14ac:dyDescent="0.45">
      <c r="A466" s="313">
        <v>37</v>
      </c>
      <c r="B466" s="424" t="s">
        <v>537</v>
      </c>
      <c r="C466" s="425" t="s">
        <v>538</v>
      </c>
      <c r="D466" s="322">
        <v>1</v>
      </c>
      <c r="E466" s="45"/>
      <c r="F466" s="322">
        <v>0.95099</v>
      </c>
      <c r="G466" s="322"/>
      <c r="H466" s="322">
        <v>4.861E-2</v>
      </c>
      <c r="I466" s="322"/>
      <c r="J466" s="45">
        <v>4.0000000000000002E-4</v>
      </c>
      <c r="K466" s="322">
        <v>1.6000000000000001E-4</v>
      </c>
      <c r="L466" s="322">
        <v>2.4000000000000001E-4</v>
      </c>
      <c r="M466" s="322"/>
      <c r="N466" s="322"/>
      <c r="O466" s="322"/>
      <c r="P466" s="322"/>
      <c r="Q466" s="322"/>
    </row>
    <row r="467" spans="1:17" x14ac:dyDescent="0.45">
      <c r="A467" s="313">
        <v>38</v>
      </c>
      <c r="B467" s="424" t="s">
        <v>539</v>
      </c>
      <c r="C467" s="428" t="s">
        <v>1941</v>
      </c>
      <c r="D467" s="322">
        <v>1</v>
      </c>
      <c r="E467" s="45"/>
      <c r="F467" s="322">
        <v>0.95003000000000004</v>
      </c>
      <c r="G467" s="322"/>
      <c r="H467" s="322">
        <v>4.9970000000000001E-2</v>
      </c>
      <c r="I467" s="322"/>
      <c r="J467" s="45">
        <v>0</v>
      </c>
      <c r="K467" s="322">
        <v>0</v>
      </c>
      <c r="L467" s="322">
        <v>0</v>
      </c>
      <c r="M467" s="322"/>
      <c r="N467" s="322"/>
      <c r="O467" s="322"/>
      <c r="P467" s="322"/>
      <c r="Q467" s="322"/>
    </row>
    <row r="468" spans="1:17" x14ac:dyDescent="0.45">
      <c r="A468" s="313">
        <v>39</v>
      </c>
      <c r="B468" s="424" t="s">
        <v>540</v>
      </c>
      <c r="C468" s="425" t="s">
        <v>541</v>
      </c>
      <c r="D468" s="322">
        <v>1</v>
      </c>
      <c r="E468" s="45"/>
      <c r="F468" s="322">
        <v>0.98819999999999997</v>
      </c>
      <c r="G468" s="322"/>
      <c r="H468" s="322">
        <v>1.18E-2</v>
      </c>
      <c r="I468" s="322"/>
      <c r="J468" s="45">
        <v>0</v>
      </c>
      <c r="K468" s="322">
        <v>0</v>
      </c>
      <c r="L468" s="322">
        <v>0</v>
      </c>
      <c r="M468" s="322"/>
      <c r="N468" s="322"/>
      <c r="O468" s="322"/>
      <c r="P468" s="322"/>
      <c r="Q468" s="322"/>
    </row>
    <row r="469" spans="1:17" x14ac:dyDescent="0.45">
      <c r="A469" s="313">
        <v>40</v>
      </c>
      <c r="B469" s="424" t="s">
        <v>542</v>
      </c>
      <c r="C469" s="425" t="s">
        <v>543</v>
      </c>
      <c r="D469" s="322">
        <v>1</v>
      </c>
      <c r="E469" s="45"/>
      <c r="F469" s="322">
        <v>0.93879000000000001</v>
      </c>
      <c r="G469" s="322"/>
      <c r="H469" s="322">
        <v>4.9299999999999997E-2</v>
      </c>
      <c r="I469" s="322"/>
      <c r="J469" s="45">
        <v>1.191E-2</v>
      </c>
      <c r="K469" s="322">
        <v>6.2100000000000002E-3</v>
      </c>
      <c r="L469" s="322">
        <v>5.7000000000000002E-3</v>
      </c>
      <c r="M469" s="322"/>
      <c r="N469" s="322"/>
      <c r="O469" s="322"/>
      <c r="P469" s="322"/>
      <c r="Q469" s="322"/>
    </row>
    <row r="470" spans="1:17" x14ac:dyDescent="0.45">
      <c r="A470" s="45"/>
      <c r="B470" s="45"/>
      <c r="C470" s="312"/>
      <c r="D470" s="45"/>
      <c r="E470" s="45"/>
      <c r="F470" s="45"/>
      <c r="G470" s="45"/>
      <c r="H470" s="45"/>
      <c r="I470" s="45"/>
      <c r="J470" s="45"/>
      <c r="K470" s="45"/>
      <c r="L470" s="45"/>
      <c r="M470" s="45"/>
      <c r="N470" s="45"/>
      <c r="O470" s="45"/>
      <c r="P470" s="45"/>
      <c r="Q470" s="45"/>
    </row>
    <row r="471" spans="1:17" x14ac:dyDescent="0.45">
      <c r="A471" s="45"/>
      <c r="B471" s="432" t="s">
        <v>867</v>
      </c>
      <c r="C471" s="45"/>
      <c r="D471" s="45"/>
      <c r="E471" s="45"/>
      <c r="F471" s="45"/>
      <c r="G471" s="45"/>
      <c r="H471" s="45"/>
      <c r="I471" s="45"/>
      <c r="J471" s="45"/>
      <c r="K471" s="45"/>
      <c r="L471" s="45"/>
      <c r="M471" s="45"/>
      <c r="N471" s="45"/>
      <c r="O471" s="45"/>
      <c r="P471" s="45"/>
      <c r="Q471" s="45"/>
    </row>
    <row r="472" spans="1:17" x14ac:dyDescent="0.45">
      <c r="A472" s="45"/>
      <c r="B472" s="431" t="s">
        <v>1266</v>
      </c>
      <c r="C472" s="45"/>
      <c r="D472" s="45"/>
      <c r="E472" s="45"/>
      <c r="F472" s="45"/>
      <c r="G472" s="45"/>
      <c r="H472" s="45"/>
      <c r="I472" s="45"/>
      <c r="J472" s="45"/>
      <c r="K472" s="45"/>
      <c r="L472" s="45"/>
      <c r="M472" s="45"/>
      <c r="N472" s="45"/>
      <c r="O472" s="45"/>
      <c r="P472" s="45"/>
      <c r="Q472" s="45"/>
    </row>
    <row r="473" spans="1:17" x14ac:dyDescent="0.45">
      <c r="A473" s="313">
        <v>1</v>
      </c>
      <c r="B473" s="424" t="s">
        <v>544</v>
      </c>
      <c r="C473" s="425" t="s">
        <v>545</v>
      </c>
      <c r="D473" s="322">
        <v>1</v>
      </c>
      <c r="E473" s="45"/>
      <c r="F473" s="322">
        <v>0.94098000000000004</v>
      </c>
      <c r="G473" s="322"/>
      <c r="H473" s="322">
        <v>4.7579999999999997E-2</v>
      </c>
      <c r="I473" s="322"/>
      <c r="J473" s="45">
        <v>1.1440000000000001E-2</v>
      </c>
      <c r="K473" s="322">
        <v>5.9699999999999996E-3</v>
      </c>
      <c r="L473" s="322">
        <v>5.4799999999999996E-3</v>
      </c>
      <c r="M473" s="322"/>
      <c r="N473" s="322"/>
      <c r="O473" s="322"/>
      <c r="P473" s="322"/>
      <c r="Q473" s="322"/>
    </row>
    <row r="474" spans="1:17" x14ac:dyDescent="0.45">
      <c r="A474" s="313">
        <v>2</v>
      </c>
      <c r="B474" s="424" t="s">
        <v>546</v>
      </c>
      <c r="C474" s="425" t="s">
        <v>547</v>
      </c>
      <c r="D474" s="322">
        <v>1</v>
      </c>
      <c r="E474" s="45"/>
      <c r="F474" s="322">
        <v>0.99175000000000002</v>
      </c>
      <c r="G474" s="322"/>
      <c r="H474" s="322">
        <v>8.2500000000000004E-3</v>
      </c>
      <c r="I474" s="322"/>
      <c r="J474" s="45">
        <v>0</v>
      </c>
      <c r="K474" s="322">
        <v>0</v>
      </c>
      <c r="L474" s="322">
        <v>0</v>
      </c>
      <c r="M474" s="322"/>
      <c r="N474" s="322"/>
      <c r="O474" s="322"/>
      <c r="P474" s="322"/>
      <c r="Q474" s="322"/>
    </row>
    <row r="475" spans="1:17" x14ac:dyDescent="0.45">
      <c r="A475" s="313">
        <v>3</v>
      </c>
      <c r="B475" s="424" t="s">
        <v>937</v>
      </c>
      <c r="C475" s="425" t="s">
        <v>938</v>
      </c>
      <c r="D475" s="322">
        <v>1</v>
      </c>
      <c r="E475" s="45"/>
      <c r="F475" s="322">
        <v>0.99839</v>
      </c>
      <c r="G475" s="322"/>
      <c r="H475" s="322">
        <v>0</v>
      </c>
      <c r="I475" s="322"/>
      <c r="J475" s="45">
        <v>1.6100000000000001E-3</v>
      </c>
      <c r="K475" s="322">
        <v>1.6000000000000001E-3</v>
      </c>
      <c r="L475" s="322">
        <v>1.0000000000000001E-5</v>
      </c>
      <c r="M475" s="322"/>
      <c r="N475" s="322"/>
      <c r="O475" s="322"/>
      <c r="P475" s="322"/>
      <c r="Q475" s="322"/>
    </row>
    <row r="476" spans="1:17" x14ac:dyDescent="0.45">
      <c r="A476" s="313">
        <v>4</v>
      </c>
      <c r="B476" s="424" t="s">
        <v>939</v>
      </c>
      <c r="C476" s="425" t="s">
        <v>940</v>
      </c>
      <c r="D476" s="322">
        <v>1</v>
      </c>
      <c r="E476" s="45"/>
      <c r="F476" s="322">
        <v>1</v>
      </c>
      <c r="G476" s="322"/>
      <c r="H476" s="322">
        <v>0</v>
      </c>
      <c r="I476" s="322"/>
      <c r="J476" s="45">
        <v>0</v>
      </c>
      <c r="K476" s="322">
        <v>0</v>
      </c>
      <c r="L476" s="322">
        <v>0</v>
      </c>
      <c r="M476" s="322"/>
      <c r="N476" s="322"/>
      <c r="O476" s="322"/>
      <c r="P476" s="322"/>
      <c r="Q476" s="322"/>
    </row>
    <row r="477" spans="1:17" x14ac:dyDescent="0.45">
      <c r="A477" s="313">
        <v>5</v>
      </c>
      <c r="B477" s="424" t="s">
        <v>941</v>
      </c>
      <c r="C477" s="425" t="s">
        <v>942</v>
      </c>
      <c r="D477" s="322">
        <v>1</v>
      </c>
      <c r="E477" s="45"/>
      <c r="F477" s="322">
        <v>0</v>
      </c>
      <c r="G477" s="322"/>
      <c r="H477" s="322">
        <v>1</v>
      </c>
      <c r="I477" s="322"/>
      <c r="J477" s="45">
        <v>0</v>
      </c>
      <c r="K477" s="322">
        <v>0</v>
      </c>
      <c r="L477" s="322">
        <v>0</v>
      </c>
      <c r="M477" s="322"/>
      <c r="N477" s="322"/>
      <c r="O477" s="322"/>
      <c r="P477" s="322"/>
      <c r="Q477" s="322"/>
    </row>
    <row r="478" spans="1:17" x14ac:dyDescent="0.45">
      <c r="A478" s="313">
        <v>6</v>
      </c>
      <c r="B478" s="424" t="s">
        <v>943</v>
      </c>
      <c r="C478" s="425" t="s">
        <v>944</v>
      </c>
      <c r="D478" s="322">
        <v>0</v>
      </c>
      <c r="E478" s="45"/>
      <c r="F478" s="322">
        <v>0</v>
      </c>
      <c r="G478" s="322"/>
      <c r="H478" s="322">
        <v>0</v>
      </c>
      <c r="I478" s="322"/>
      <c r="J478" s="45">
        <v>0</v>
      </c>
      <c r="K478" s="322">
        <v>0</v>
      </c>
      <c r="L478" s="322">
        <v>0</v>
      </c>
      <c r="M478" s="322"/>
      <c r="N478" s="322"/>
      <c r="O478" s="322"/>
      <c r="P478" s="322"/>
      <c r="Q478" s="322"/>
    </row>
    <row r="479" spans="1:17" x14ac:dyDescent="0.45">
      <c r="A479" s="313">
        <v>7</v>
      </c>
      <c r="B479" s="424" t="s">
        <v>945</v>
      </c>
      <c r="C479" s="425" t="s">
        <v>53</v>
      </c>
      <c r="D479" s="322">
        <v>1</v>
      </c>
      <c r="E479" s="45"/>
      <c r="F479" s="322">
        <v>0</v>
      </c>
      <c r="G479" s="322"/>
      <c r="H479" s="322">
        <v>0</v>
      </c>
      <c r="I479" s="322"/>
      <c r="J479" s="45">
        <v>1</v>
      </c>
      <c r="K479" s="322">
        <v>0.52210999999999996</v>
      </c>
      <c r="L479" s="322">
        <v>0.47788999999999998</v>
      </c>
      <c r="M479" s="322"/>
      <c r="N479" s="322"/>
      <c r="O479" s="322"/>
      <c r="P479" s="322"/>
      <c r="Q479" s="322"/>
    </row>
    <row r="480" spans="1:17" x14ac:dyDescent="0.45">
      <c r="A480" s="313">
        <v>8</v>
      </c>
      <c r="B480" s="427" t="s">
        <v>2136</v>
      </c>
      <c r="C480" s="425" t="s">
        <v>2137</v>
      </c>
      <c r="D480" s="322">
        <v>1</v>
      </c>
      <c r="E480" s="45"/>
      <c r="F480" s="322">
        <v>0.98607999999999996</v>
      </c>
      <c r="G480" s="322"/>
      <c r="H480" s="322">
        <v>0</v>
      </c>
      <c r="I480" s="322"/>
      <c r="J480" s="45">
        <v>1.392E-2</v>
      </c>
      <c r="K480" s="322">
        <v>7.28E-3</v>
      </c>
      <c r="L480" s="322">
        <v>6.6400000000000001E-3</v>
      </c>
      <c r="M480" s="322"/>
      <c r="N480" s="322"/>
      <c r="O480" s="322"/>
      <c r="P480" s="322"/>
      <c r="Q480" s="322"/>
    </row>
    <row r="481" spans="1:17" x14ac:dyDescent="0.45">
      <c r="A481" s="313">
        <v>9</v>
      </c>
      <c r="B481" s="424" t="s">
        <v>2138</v>
      </c>
      <c r="C481" s="425" t="s">
        <v>2139</v>
      </c>
      <c r="D481" s="322">
        <v>1</v>
      </c>
      <c r="E481" s="45"/>
      <c r="F481" s="322">
        <v>0.95186999999999999</v>
      </c>
      <c r="G481" s="322"/>
      <c r="H481" s="322">
        <v>4.8129999999999999E-2</v>
      </c>
      <c r="I481" s="322"/>
      <c r="J481" s="45">
        <v>0</v>
      </c>
      <c r="K481" s="322">
        <v>0</v>
      </c>
      <c r="L481" s="322">
        <v>0</v>
      </c>
      <c r="M481" s="322"/>
      <c r="N481" s="322"/>
      <c r="O481" s="322"/>
      <c r="P481" s="322"/>
      <c r="Q481" s="322"/>
    </row>
    <row r="482" spans="1:17" x14ac:dyDescent="0.45">
      <c r="A482" s="313">
        <v>10</v>
      </c>
      <c r="B482" s="424" t="s">
        <v>2140</v>
      </c>
      <c r="C482" s="425" t="s">
        <v>2141</v>
      </c>
      <c r="D482" s="322">
        <v>1</v>
      </c>
      <c r="E482" s="45"/>
      <c r="F482" s="322">
        <v>0.95638999999999996</v>
      </c>
      <c r="G482" s="322"/>
      <c r="H482" s="322">
        <v>4.3610000000000003E-2</v>
      </c>
      <c r="I482" s="322"/>
      <c r="J482" s="45">
        <v>0</v>
      </c>
      <c r="K482" s="322">
        <v>0</v>
      </c>
      <c r="L482" s="322">
        <v>0</v>
      </c>
      <c r="M482" s="322"/>
      <c r="N482" s="322"/>
      <c r="O482" s="322"/>
      <c r="P482" s="322"/>
      <c r="Q482" s="322"/>
    </row>
    <row r="483" spans="1:17" x14ac:dyDescent="0.45">
      <c r="A483" s="313">
        <v>11</v>
      </c>
      <c r="B483" s="45"/>
      <c r="C483" s="45"/>
      <c r="D483" s="45"/>
      <c r="E483" s="45"/>
      <c r="F483" s="45"/>
      <c r="G483" s="45"/>
      <c r="H483" s="45"/>
      <c r="I483" s="45"/>
      <c r="J483" s="45"/>
      <c r="K483" s="45"/>
      <c r="L483" s="45"/>
      <c r="M483" s="45"/>
      <c r="N483" s="45"/>
      <c r="O483" s="45"/>
      <c r="P483" s="45"/>
      <c r="Q483" s="45"/>
    </row>
    <row r="484" spans="1:17" x14ac:dyDescent="0.45">
      <c r="A484" s="313">
        <v>12</v>
      </c>
      <c r="B484" s="45"/>
      <c r="C484" s="45"/>
      <c r="D484" s="45"/>
      <c r="E484" s="45"/>
      <c r="F484" s="45"/>
      <c r="G484" s="45"/>
      <c r="H484" s="45"/>
      <c r="I484" s="45"/>
      <c r="J484" s="45"/>
      <c r="K484" s="45"/>
      <c r="L484" s="45"/>
      <c r="M484" s="45"/>
      <c r="N484" s="45"/>
      <c r="O484" s="45"/>
      <c r="P484" s="45"/>
      <c r="Q484" s="45"/>
    </row>
    <row r="485" spans="1:17" x14ac:dyDescent="0.45">
      <c r="A485" s="313">
        <v>13</v>
      </c>
      <c r="B485" s="45"/>
      <c r="C485" s="45"/>
      <c r="D485" s="45"/>
      <c r="E485" s="45"/>
      <c r="F485" s="45"/>
      <c r="G485" s="45"/>
      <c r="H485" s="45"/>
      <c r="I485" s="45"/>
      <c r="J485" s="45"/>
      <c r="K485" s="45"/>
      <c r="L485" s="45"/>
      <c r="M485" s="45"/>
      <c r="N485" s="45"/>
      <c r="O485" s="45"/>
      <c r="P485" s="45"/>
      <c r="Q485" s="45"/>
    </row>
    <row r="486" spans="1:17" x14ac:dyDescent="0.45">
      <c r="A486" s="313">
        <v>14</v>
      </c>
      <c r="B486" s="45"/>
      <c r="C486" s="45"/>
      <c r="D486" s="45"/>
      <c r="E486" s="45"/>
      <c r="F486" s="45"/>
      <c r="G486" s="45"/>
      <c r="H486" s="45"/>
      <c r="I486" s="45"/>
      <c r="J486" s="45"/>
      <c r="K486" s="45"/>
      <c r="L486" s="45"/>
      <c r="M486" s="45"/>
      <c r="N486" s="45"/>
      <c r="O486" s="45"/>
      <c r="P486" s="45"/>
      <c r="Q486" s="45"/>
    </row>
    <row r="487" spans="1:17" x14ac:dyDescent="0.45">
      <c r="A487" s="313">
        <v>15</v>
      </c>
      <c r="B487" s="45"/>
      <c r="C487" s="45"/>
      <c r="D487" s="45"/>
      <c r="E487" s="45"/>
      <c r="F487" s="45"/>
      <c r="G487" s="45"/>
      <c r="H487" s="45"/>
      <c r="I487" s="45"/>
      <c r="J487" s="45"/>
      <c r="K487" s="45"/>
      <c r="L487" s="45"/>
      <c r="M487" s="45"/>
      <c r="N487" s="45"/>
      <c r="O487" s="45"/>
      <c r="P487" s="45"/>
      <c r="Q487" s="45"/>
    </row>
    <row r="488" spans="1:17" x14ac:dyDescent="0.45">
      <c r="A488" s="313">
        <v>16</v>
      </c>
      <c r="B488" s="45"/>
      <c r="C488" s="45"/>
      <c r="D488" s="45"/>
      <c r="E488" s="45"/>
      <c r="F488" s="45"/>
      <c r="G488" s="45"/>
      <c r="H488" s="45"/>
      <c r="I488" s="45"/>
      <c r="J488" s="45"/>
      <c r="K488" s="45"/>
      <c r="L488" s="45"/>
      <c r="M488" s="45"/>
      <c r="N488" s="45"/>
      <c r="O488" s="45"/>
      <c r="P488" s="45"/>
      <c r="Q488" s="45"/>
    </row>
    <row r="489" spans="1:17" x14ac:dyDescent="0.45">
      <c r="A489" s="313">
        <v>17</v>
      </c>
      <c r="B489" s="45"/>
      <c r="C489" s="45"/>
      <c r="D489" s="45"/>
      <c r="E489" s="45"/>
      <c r="F489" s="45"/>
      <c r="G489" s="45"/>
      <c r="H489" s="45"/>
      <c r="I489" s="45"/>
      <c r="J489" s="45"/>
      <c r="K489" s="45"/>
      <c r="L489" s="45"/>
      <c r="M489" s="45"/>
      <c r="N489" s="45"/>
      <c r="O489" s="45"/>
      <c r="P489" s="45"/>
      <c r="Q489" s="45"/>
    </row>
    <row r="490" spans="1:17" x14ac:dyDescent="0.45">
      <c r="A490" s="313">
        <v>18</v>
      </c>
      <c r="B490" s="45"/>
      <c r="C490" s="312"/>
      <c r="D490" s="45"/>
      <c r="E490" s="45"/>
      <c r="F490" s="45"/>
      <c r="G490" s="45"/>
      <c r="H490" s="45"/>
      <c r="I490" s="45"/>
      <c r="J490" s="45"/>
      <c r="K490" s="45"/>
      <c r="L490" s="45"/>
      <c r="M490" s="45"/>
      <c r="N490" s="45"/>
      <c r="O490" s="45"/>
      <c r="P490" s="45"/>
      <c r="Q490" s="45"/>
    </row>
    <row r="491" spans="1:17" x14ac:dyDescent="0.45">
      <c r="A491" s="313">
        <v>19</v>
      </c>
      <c r="B491" s="45"/>
      <c r="C491" s="312"/>
      <c r="D491" s="45"/>
      <c r="E491" s="45"/>
      <c r="F491" s="45"/>
      <c r="G491" s="45"/>
      <c r="H491" s="45"/>
      <c r="I491" s="45"/>
      <c r="J491" s="45"/>
      <c r="K491" s="45"/>
      <c r="L491" s="45"/>
      <c r="M491" s="45"/>
      <c r="N491" s="45"/>
      <c r="O491" s="45"/>
      <c r="P491" s="45"/>
      <c r="Q491" s="45"/>
    </row>
    <row r="492" spans="1:17" x14ac:dyDescent="0.45">
      <c r="A492" s="313">
        <v>20</v>
      </c>
      <c r="B492" s="45"/>
      <c r="C492" s="312"/>
      <c r="D492" s="45"/>
      <c r="E492" s="45"/>
      <c r="F492" s="45"/>
      <c r="G492" s="45"/>
      <c r="H492" s="45"/>
      <c r="I492" s="45"/>
      <c r="J492" s="45"/>
      <c r="K492" s="45"/>
      <c r="L492" s="45"/>
      <c r="M492" s="45"/>
      <c r="N492" s="45"/>
      <c r="O492" s="45"/>
      <c r="P492" s="45"/>
      <c r="Q492" s="45"/>
    </row>
    <row r="493" spans="1:17" x14ac:dyDescent="0.45">
      <c r="A493" s="313">
        <v>21</v>
      </c>
      <c r="B493" s="45"/>
      <c r="C493" s="312"/>
      <c r="D493" s="45"/>
      <c r="E493" s="45"/>
      <c r="F493" s="45"/>
      <c r="G493" s="45"/>
      <c r="H493" s="45"/>
      <c r="I493" s="45"/>
      <c r="J493" s="45"/>
      <c r="K493" s="45"/>
      <c r="L493" s="45"/>
      <c r="M493" s="45"/>
      <c r="N493" s="45"/>
      <c r="O493" s="45"/>
      <c r="P493" s="45"/>
      <c r="Q493" s="45"/>
    </row>
    <row r="494" spans="1:17" x14ac:dyDescent="0.45">
      <c r="A494" s="313">
        <v>22</v>
      </c>
      <c r="B494" s="45"/>
      <c r="C494" s="312"/>
      <c r="D494" s="45"/>
      <c r="E494" s="45"/>
      <c r="F494" s="45"/>
      <c r="G494" s="45"/>
      <c r="H494" s="45"/>
      <c r="I494" s="45"/>
      <c r="J494" s="45"/>
      <c r="K494" s="45"/>
      <c r="L494" s="45"/>
      <c r="M494" s="45"/>
      <c r="N494" s="45"/>
      <c r="O494" s="45"/>
      <c r="P494" s="45"/>
      <c r="Q494" s="45"/>
    </row>
    <row r="495" spans="1:17" x14ac:dyDescent="0.45">
      <c r="A495" s="313">
        <v>23</v>
      </c>
      <c r="B495" s="45"/>
      <c r="C495" s="312"/>
      <c r="D495" s="45"/>
      <c r="E495" s="45"/>
      <c r="F495" s="45"/>
      <c r="G495" s="45"/>
      <c r="H495" s="45"/>
      <c r="I495" s="45"/>
      <c r="J495" s="45"/>
      <c r="K495" s="45"/>
      <c r="L495" s="45"/>
      <c r="M495" s="45"/>
      <c r="N495" s="45"/>
      <c r="O495" s="45"/>
      <c r="P495" s="45"/>
      <c r="Q495" s="45"/>
    </row>
    <row r="496" spans="1:17" x14ac:dyDescent="0.45">
      <c r="A496" s="313">
        <v>24</v>
      </c>
      <c r="B496" s="45"/>
      <c r="C496" s="312"/>
      <c r="D496" s="45"/>
      <c r="E496" s="45"/>
      <c r="F496" s="45"/>
      <c r="G496" s="45"/>
      <c r="H496" s="45"/>
      <c r="I496" s="45"/>
      <c r="J496" s="45"/>
      <c r="K496" s="45"/>
      <c r="L496" s="45"/>
      <c r="M496" s="45"/>
      <c r="N496" s="45"/>
      <c r="O496" s="45"/>
      <c r="P496" s="45"/>
      <c r="Q496" s="45"/>
    </row>
    <row r="497" spans="1:17" x14ac:dyDescent="0.45">
      <c r="A497" s="313">
        <v>25</v>
      </c>
      <c r="B497" s="45"/>
      <c r="C497" s="312"/>
      <c r="D497" s="45"/>
      <c r="E497" s="45"/>
      <c r="F497" s="45"/>
      <c r="G497" s="45"/>
      <c r="H497" s="45"/>
      <c r="I497" s="45"/>
      <c r="J497" s="45"/>
      <c r="K497" s="45"/>
      <c r="L497" s="45"/>
      <c r="M497" s="45"/>
      <c r="N497" s="45"/>
      <c r="O497" s="45"/>
      <c r="P497" s="45"/>
      <c r="Q497" s="45"/>
    </row>
    <row r="498" spans="1:17" x14ac:dyDescent="0.45">
      <c r="A498" s="313">
        <v>26</v>
      </c>
      <c r="B498" s="45"/>
      <c r="C498" s="312"/>
      <c r="D498" s="45"/>
      <c r="E498" s="45"/>
      <c r="F498" s="45"/>
      <c r="G498" s="45"/>
      <c r="H498" s="45"/>
      <c r="I498" s="45"/>
      <c r="J498" s="45"/>
      <c r="K498" s="45"/>
      <c r="L498" s="45"/>
      <c r="M498" s="45"/>
      <c r="N498" s="45"/>
      <c r="O498" s="45"/>
      <c r="P498" s="45"/>
      <c r="Q498" s="45"/>
    </row>
    <row r="499" spans="1:17" x14ac:dyDescent="0.45">
      <c r="A499" s="313">
        <v>27</v>
      </c>
      <c r="B499" s="45"/>
      <c r="C499" s="312"/>
      <c r="D499" s="45"/>
      <c r="E499" s="45"/>
      <c r="F499" s="45"/>
      <c r="G499" s="45"/>
      <c r="H499" s="45"/>
      <c r="I499" s="45"/>
      <c r="J499" s="45"/>
      <c r="K499" s="45"/>
      <c r="L499" s="45"/>
      <c r="M499" s="45"/>
      <c r="N499" s="45"/>
      <c r="O499" s="45"/>
      <c r="P499" s="45"/>
      <c r="Q499" s="45"/>
    </row>
    <row r="500" spans="1:17" x14ac:dyDescent="0.45">
      <c r="A500" s="313">
        <v>28</v>
      </c>
      <c r="B500" s="45"/>
      <c r="C500" s="312"/>
      <c r="D500" s="45"/>
      <c r="E500" s="45"/>
      <c r="F500" s="45"/>
      <c r="G500" s="45"/>
      <c r="H500" s="45"/>
      <c r="I500" s="45"/>
      <c r="J500" s="45"/>
      <c r="K500" s="45"/>
      <c r="L500" s="45"/>
      <c r="M500" s="45"/>
      <c r="N500" s="45"/>
      <c r="O500" s="45"/>
      <c r="P500" s="45"/>
      <c r="Q500" s="45"/>
    </row>
    <row r="501" spans="1:17" x14ac:dyDescent="0.45">
      <c r="A501" s="313">
        <v>29</v>
      </c>
      <c r="B501" s="45"/>
      <c r="C501" s="312"/>
      <c r="D501" s="45"/>
      <c r="E501" s="45"/>
      <c r="F501" s="45"/>
      <c r="G501" s="45"/>
      <c r="H501" s="45"/>
      <c r="I501" s="45"/>
      <c r="J501" s="45"/>
      <c r="K501" s="45"/>
      <c r="L501" s="45"/>
      <c r="M501" s="45"/>
      <c r="N501" s="45"/>
      <c r="O501" s="45"/>
      <c r="P501" s="45"/>
      <c r="Q501" s="45"/>
    </row>
    <row r="502" spans="1:17" x14ac:dyDescent="0.45">
      <c r="A502" s="313">
        <v>30</v>
      </c>
      <c r="B502" s="45"/>
      <c r="C502" s="312"/>
      <c r="D502" s="45"/>
      <c r="E502" s="45"/>
      <c r="F502" s="45"/>
      <c r="G502" s="45"/>
      <c r="H502" s="45"/>
      <c r="I502" s="45"/>
      <c r="J502" s="45"/>
      <c r="K502" s="45"/>
      <c r="L502" s="45"/>
      <c r="M502" s="45"/>
      <c r="N502" s="45"/>
      <c r="O502" s="45"/>
      <c r="P502" s="45"/>
      <c r="Q502" s="45"/>
    </row>
    <row r="503" spans="1:17" x14ac:dyDescent="0.45">
      <c r="A503" s="313">
        <v>31</v>
      </c>
      <c r="B503" s="45"/>
      <c r="C503" s="312"/>
      <c r="D503" s="45"/>
      <c r="E503" s="45"/>
      <c r="F503" s="45"/>
      <c r="G503" s="45"/>
      <c r="H503" s="45"/>
      <c r="I503" s="45"/>
      <c r="J503" s="45"/>
      <c r="K503" s="45"/>
      <c r="L503" s="45"/>
      <c r="M503" s="45"/>
      <c r="N503" s="45"/>
      <c r="O503" s="45"/>
      <c r="P503" s="45"/>
      <c r="Q503" s="45"/>
    </row>
    <row r="504" spans="1:17" x14ac:dyDescent="0.45">
      <c r="A504" s="313">
        <v>32</v>
      </c>
      <c r="B504" s="45"/>
      <c r="C504" s="312"/>
      <c r="D504" s="45"/>
      <c r="E504" s="45"/>
      <c r="F504" s="45"/>
      <c r="G504" s="45"/>
      <c r="H504" s="45"/>
      <c r="I504" s="45"/>
      <c r="J504" s="45"/>
      <c r="K504" s="45"/>
      <c r="L504" s="45"/>
      <c r="M504" s="45"/>
      <c r="N504" s="45"/>
      <c r="O504" s="45"/>
      <c r="P504" s="45"/>
      <c r="Q504" s="45"/>
    </row>
    <row r="505" spans="1:17" x14ac:dyDescent="0.45">
      <c r="A505" s="313">
        <v>33</v>
      </c>
      <c r="B505" s="45"/>
      <c r="C505" s="312"/>
      <c r="D505" s="45"/>
      <c r="E505" s="45"/>
      <c r="F505" s="45"/>
      <c r="G505" s="45"/>
      <c r="H505" s="45"/>
      <c r="I505" s="45"/>
      <c r="J505" s="45"/>
      <c r="K505" s="45"/>
      <c r="L505" s="45"/>
      <c r="M505" s="45"/>
      <c r="N505" s="45"/>
      <c r="O505" s="45"/>
      <c r="P505" s="45"/>
      <c r="Q505" s="45"/>
    </row>
    <row r="506" spans="1:17" x14ac:dyDescent="0.45">
      <c r="A506" s="313">
        <v>34</v>
      </c>
      <c r="B506" s="45"/>
      <c r="C506" s="312"/>
      <c r="D506" s="45"/>
      <c r="E506" s="45"/>
      <c r="F506" s="45"/>
      <c r="G506" s="45"/>
      <c r="H506" s="45"/>
      <c r="I506" s="45"/>
      <c r="J506" s="45"/>
      <c r="K506" s="45"/>
      <c r="L506" s="45"/>
      <c r="M506" s="45"/>
      <c r="N506" s="45"/>
      <c r="O506" s="45"/>
      <c r="P506" s="45"/>
      <c r="Q506" s="45"/>
    </row>
    <row r="507" spans="1:17" x14ac:dyDescent="0.45">
      <c r="A507" s="313">
        <v>35</v>
      </c>
      <c r="B507" s="45"/>
      <c r="C507" s="312"/>
      <c r="D507" s="45"/>
      <c r="E507" s="45"/>
      <c r="F507" s="45"/>
      <c r="G507" s="45"/>
      <c r="H507" s="45"/>
      <c r="I507" s="45"/>
      <c r="J507" s="45"/>
      <c r="K507" s="45"/>
      <c r="L507" s="45"/>
      <c r="M507" s="45"/>
      <c r="N507" s="45"/>
      <c r="O507" s="45"/>
      <c r="P507" s="45"/>
      <c r="Q507" s="45"/>
    </row>
    <row r="508" spans="1:17" x14ac:dyDescent="0.45">
      <c r="A508" s="313">
        <v>36</v>
      </c>
      <c r="B508" s="45"/>
      <c r="C508" s="312"/>
      <c r="D508" s="45"/>
      <c r="E508" s="45"/>
      <c r="F508" s="45"/>
      <c r="G508" s="45"/>
      <c r="H508" s="45"/>
      <c r="I508" s="45"/>
      <c r="J508" s="45"/>
      <c r="K508" s="45"/>
      <c r="L508" s="45"/>
      <c r="M508" s="45"/>
      <c r="N508" s="45"/>
      <c r="O508" s="45"/>
      <c r="P508" s="45"/>
      <c r="Q508" s="45"/>
    </row>
    <row r="509" spans="1:17" x14ac:dyDescent="0.45">
      <c r="A509" s="313">
        <v>37</v>
      </c>
      <c r="B509" s="45"/>
      <c r="C509" s="312"/>
      <c r="D509" s="45"/>
      <c r="E509" s="45"/>
      <c r="F509" s="45"/>
      <c r="G509" s="45"/>
      <c r="H509" s="45"/>
      <c r="I509" s="45"/>
      <c r="J509" s="45"/>
      <c r="K509" s="45"/>
      <c r="L509" s="45"/>
      <c r="M509" s="45"/>
      <c r="N509" s="45"/>
      <c r="O509" s="45"/>
      <c r="P509" s="45"/>
      <c r="Q509" s="45"/>
    </row>
    <row r="510" spans="1:17" x14ac:dyDescent="0.45">
      <c r="A510" s="313">
        <v>38</v>
      </c>
      <c r="B510" s="45"/>
      <c r="C510" s="312"/>
      <c r="D510" s="45"/>
      <c r="E510" s="45"/>
      <c r="F510" s="45"/>
      <c r="G510" s="45"/>
      <c r="H510" s="45"/>
      <c r="I510" s="45"/>
      <c r="J510" s="45"/>
      <c r="K510" s="45"/>
      <c r="L510" s="45"/>
      <c r="M510" s="45"/>
      <c r="N510" s="45"/>
      <c r="O510" s="45"/>
      <c r="P510" s="45"/>
      <c r="Q510" s="45"/>
    </row>
    <row r="511" spans="1:17" x14ac:dyDescent="0.45">
      <c r="A511" s="313">
        <v>39</v>
      </c>
      <c r="B511" s="45"/>
      <c r="C511" s="312"/>
      <c r="D511" s="45"/>
      <c r="E511" s="45"/>
      <c r="F511" s="45"/>
      <c r="G511" s="45"/>
      <c r="H511" s="45"/>
      <c r="I511" s="45"/>
      <c r="J511" s="45"/>
      <c r="K511" s="45"/>
      <c r="L511" s="45"/>
      <c r="M511" s="45"/>
      <c r="N511" s="45"/>
      <c r="O511" s="45"/>
      <c r="P511" s="45"/>
      <c r="Q511" s="45"/>
    </row>
    <row r="512" spans="1:17" x14ac:dyDescent="0.45">
      <c r="A512" s="313">
        <v>40</v>
      </c>
      <c r="B512" s="45"/>
      <c r="C512" s="312"/>
      <c r="D512" s="45"/>
      <c r="E512" s="45"/>
      <c r="F512" s="45"/>
      <c r="G512" s="45"/>
      <c r="H512" s="45"/>
      <c r="I512" s="45"/>
      <c r="J512" s="45"/>
      <c r="K512" s="45"/>
      <c r="L512" s="45"/>
      <c r="M512" s="45"/>
      <c r="N512" s="45"/>
      <c r="O512" s="45"/>
      <c r="P512" s="45"/>
      <c r="Q512" s="45"/>
    </row>
    <row r="513" spans="1:17" x14ac:dyDescent="0.45">
      <c r="A513" s="45"/>
      <c r="B513" s="45"/>
      <c r="C513" s="45"/>
      <c r="D513" s="45"/>
      <c r="E513" s="45"/>
      <c r="F513" s="45"/>
      <c r="G513" s="45"/>
      <c r="H513" s="45"/>
      <c r="I513" s="45"/>
      <c r="J513" s="45"/>
      <c r="K513" s="45"/>
      <c r="L513" s="45"/>
      <c r="M513" s="45"/>
      <c r="N513" s="45"/>
      <c r="O513" s="45"/>
      <c r="P513" s="45"/>
      <c r="Q513" s="45"/>
    </row>
    <row r="514" spans="1:17" x14ac:dyDescent="0.45">
      <c r="A514" s="45"/>
      <c r="B514" s="426" t="s">
        <v>54</v>
      </c>
      <c r="C514" s="312"/>
      <c r="D514" s="45"/>
      <c r="E514" s="45"/>
      <c r="F514" s="45"/>
      <c r="G514" s="45"/>
      <c r="H514" s="45"/>
      <c r="I514" s="45"/>
      <c r="J514" s="45"/>
      <c r="K514" s="45"/>
      <c r="L514" s="45"/>
      <c r="M514" s="45"/>
      <c r="N514" s="45"/>
      <c r="O514" s="45"/>
      <c r="P514" s="45"/>
      <c r="Q514" s="45"/>
    </row>
    <row r="515" spans="1:17" x14ac:dyDescent="0.45">
      <c r="A515" s="45"/>
      <c r="B515" s="431" t="s">
        <v>1266</v>
      </c>
      <c r="C515" s="312"/>
      <c r="D515" s="45"/>
      <c r="E515" s="45"/>
      <c r="F515" s="45"/>
      <c r="G515" s="45"/>
      <c r="H515" s="45"/>
      <c r="I515" s="45"/>
      <c r="J515" s="45"/>
      <c r="K515" s="45"/>
      <c r="L515" s="45"/>
      <c r="M515" s="45"/>
      <c r="N515" s="45"/>
      <c r="O515" s="45"/>
      <c r="P515" s="45"/>
      <c r="Q515" s="45"/>
    </row>
    <row r="516" spans="1:17" x14ac:dyDescent="0.45">
      <c r="A516" s="311">
        <v>1</v>
      </c>
      <c r="B516" s="316" t="s">
        <v>1942</v>
      </c>
      <c r="C516" s="312"/>
      <c r="D516" s="322">
        <v>1</v>
      </c>
      <c r="E516" s="45"/>
      <c r="F516" s="322">
        <v>0.93933</v>
      </c>
      <c r="G516" s="322"/>
      <c r="H516" s="322">
        <v>6.0670000000000002E-2</v>
      </c>
      <c r="I516" s="322"/>
      <c r="J516" s="45">
        <v>0</v>
      </c>
      <c r="K516" s="322">
        <v>0</v>
      </c>
      <c r="L516" s="322">
        <v>0</v>
      </c>
      <c r="M516" s="322"/>
      <c r="N516" s="322"/>
      <c r="O516" s="322"/>
      <c r="P516" s="322"/>
      <c r="Q516" s="322"/>
    </row>
    <row r="517" spans="1:17" x14ac:dyDescent="0.45">
      <c r="A517" s="311">
        <v>2</v>
      </c>
      <c r="B517" s="316" t="s">
        <v>2142</v>
      </c>
      <c r="C517" s="312"/>
      <c r="D517" s="322">
        <v>1</v>
      </c>
      <c r="E517" s="45"/>
      <c r="F517" s="322">
        <v>0.95845000000000002</v>
      </c>
      <c r="G517" s="322"/>
      <c r="H517" s="322">
        <v>4.1549999999999997E-2</v>
      </c>
      <c r="I517" s="322"/>
      <c r="J517" s="45">
        <v>0</v>
      </c>
      <c r="K517" s="322">
        <v>0</v>
      </c>
      <c r="L517" s="322">
        <v>0</v>
      </c>
      <c r="M517" s="322"/>
      <c r="N517" s="322"/>
      <c r="O517" s="322"/>
      <c r="P517" s="322"/>
      <c r="Q517" s="322"/>
    </row>
    <row r="518" spans="1:17" x14ac:dyDescent="0.45">
      <c r="A518" s="311">
        <v>3</v>
      </c>
      <c r="B518" s="316" t="s">
        <v>1943</v>
      </c>
      <c r="C518" s="312"/>
      <c r="D518" s="322">
        <v>0</v>
      </c>
      <c r="E518" s="45"/>
      <c r="F518" s="322">
        <v>0</v>
      </c>
      <c r="G518" s="322"/>
      <c r="H518" s="322">
        <v>0</v>
      </c>
      <c r="I518" s="322"/>
      <c r="J518" s="45">
        <v>0</v>
      </c>
      <c r="K518" s="322">
        <v>0</v>
      </c>
      <c r="L518" s="322">
        <v>0</v>
      </c>
      <c r="M518" s="322"/>
      <c r="N518" s="322"/>
      <c r="O518" s="322"/>
      <c r="P518" s="322"/>
      <c r="Q518" s="322"/>
    </row>
    <row r="519" spans="1:17" x14ac:dyDescent="0.45">
      <c r="A519" s="311">
        <v>4</v>
      </c>
      <c r="B519" s="316" t="s">
        <v>1944</v>
      </c>
      <c r="C519" s="312"/>
      <c r="D519" s="322">
        <v>1</v>
      </c>
      <c r="E519" s="45"/>
      <c r="F519" s="322">
        <v>0.97875999999999996</v>
      </c>
      <c r="G519" s="322"/>
      <c r="H519" s="322">
        <v>2.1239999999999998E-2</v>
      </c>
      <c r="I519" s="322"/>
      <c r="J519" s="45">
        <v>0</v>
      </c>
      <c r="K519" s="322">
        <v>0</v>
      </c>
      <c r="L519" s="322">
        <v>0</v>
      </c>
      <c r="M519" s="322"/>
      <c r="N519" s="322"/>
      <c r="O519" s="322"/>
      <c r="P519" s="322"/>
      <c r="Q519" s="322"/>
    </row>
    <row r="520" spans="1:17" x14ac:dyDescent="0.45">
      <c r="A520" s="311">
        <v>5</v>
      </c>
      <c r="B520" s="316" t="s">
        <v>1945</v>
      </c>
      <c r="C520" s="312"/>
      <c r="D520" s="322">
        <v>0</v>
      </c>
      <c r="E520" s="45"/>
      <c r="F520" s="322">
        <v>0</v>
      </c>
      <c r="G520" s="322"/>
      <c r="H520" s="322">
        <v>0</v>
      </c>
      <c r="I520" s="322"/>
      <c r="J520" s="45">
        <v>0</v>
      </c>
      <c r="K520" s="322">
        <v>0</v>
      </c>
      <c r="L520" s="322">
        <v>0</v>
      </c>
      <c r="M520" s="322"/>
      <c r="N520" s="322"/>
      <c r="O520" s="322"/>
      <c r="P520" s="322"/>
      <c r="Q520" s="322"/>
    </row>
    <row r="521" spans="1:17" x14ac:dyDescent="0.45">
      <c r="A521" s="311">
        <v>6</v>
      </c>
      <c r="B521" s="316" t="s">
        <v>1946</v>
      </c>
      <c r="C521" s="312"/>
      <c r="D521" s="322">
        <v>1</v>
      </c>
      <c r="E521" s="45"/>
      <c r="F521" s="322">
        <v>0.96816000000000002</v>
      </c>
      <c r="G521" s="322"/>
      <c r="H521" s="322">
        <v>3.184E-2</v>
      </c>
      <c r="I521" s="322"/>
      <c r="J521" s="45">
        <v>0</v>
      </c>
      <c r="K521" s="322">
        <v>0</v>
      </c>
      <c r="L521" s="322">
        <v>0</v>
      </c>
      <c r="M521" s="322"/>
      <c r="N521" s="322"/>
      <c r="O521" s="322"/>
      <c r="P521" s="322"/>
      <c r="Q521" s="322"/>
    </row>
    <row r="522" spans="1:17" x14ac:dyDescent="0.45">
      <c r="A522" s="311">
        <v>7</v>
      </c>
      <c r="B522" s="316" t="s">
        <v>1947</v>
      </c>
      <c r="C522" s="312"/>
      <c r="D522" s="322">
        <v>1</v>
      </c>
      <c r="E522" s="45"/>
      <c r="F522" s="322">
        <v>0.94852999999999998</v>
      </c>
      <c r="G522" s="322"/>
      <c r="H522" s="322">
        <v>5.1470000000000002E-2</v>
      </c>
      <c r="I522" s="322"/>
      <c r="J522" s="45">
        <v>0</v>
      </c>
      <c r="K522" s="322">
        <v>0</v>
      </c>
      <c r="L522" s="322">
        <v>0</v>
      </c>
      <c r="M522" s="322"/>
      <c r="N522" s="322"/>
      <c r="O522" s="322"/>
      <c r="P522" s="322"/>
      <c r="Q522" s="322"/>
    </row>
    <row r="523" spans="1:17" x14ac:dyDescent="0.45">
      <c r="A523" s="311">
        <v>8</v>
      </c>
      <c r="B523" s="316" t="s">
        <v>1948</v>
      </c>
      <c r="C523" s="312"/>
      <c r="D523" s="322">
        <v>0</v>
      </c>
      <c r="E523" s="45"/>
      <c r="F523" s="322">
        <v>0</v>
      </c>
      <c r="G523" s="322"/>
      <c r="H523" s="322">
        <v>0</v>
      </c>
      <c r="I523" s="322"/>
      <c r="J523" s="45">
        <v>0</v>
      </c>
      <c r="K523" s="322">
        <v>0</v>
      </c>
      <c r="L523" s="322">
        <v>0</v>
      </c>
      <c r="M523" s="322"/>
      <c r="N523" s="322"/>
      <c r="O523" s="322"/>
      <c r="P523" s="322"/>
      <c r="Q523" s="322"/>
    </row>
    <row r="524" spans="1:17" x14ac:dyDescent="0.45">
      <c r="A524" s="311">
        <v>9</v>
      </c>
      <c r="B524" s="316" t="s">
        <v>1949</v>
      </c>
      <c r="C524" s="312"/>
      <c r="D524" s="322">
        <v>1</v>
      </c>
      <c r="E524" s="45"/>
      <c r="F524" s="322">
        <v>0</v>
      </c>
      <c r="G524" s="322"/>
      <c r="H524" s="322">
        <v>0</v>
      </c>
      <c r="I524" s="322"/>
      <c r="J524" s="45">
        <v>1</v>
      </c>
      <c r="K524" s="322">
        <v>0.51036999999999999</v>
      </c>
      <c r="L524" s="322">
        <v>0.48963000000000001</v>
      </c>
      <c r="M524" s="322"/>
      <c r="N524" s="322"/>
      <c r="O524" s="322"/>
      <c r="P524" s="322"/>
      <c r="Q524" s="322"/>
    </row>
    <row r="525" spans="1:17" x14ac:dyDescent="0.45">
      <c r="A525" s="313">
        <v>10</v>
      </c>
      <c r="B525" s="424" t="s">
        <v>55</v>
      </c>
      <c r="C525" s="312"/>
      <c r="D525" s="322">
        <v>0</v>
      </c>
      <c r="E525" s="45"/>
      <c r="F525" s="322">
        <v>0</v>
      </c>
      <c r="G525" s="322"/>
      <c r="H525" s="322">
        <v>0</v>
      </c>
      <c r="I525" s="322"/>
      <c r="J525" s="45">
        <v>0</v>
      </c>
      <c r="K525" s="322">
        <v>0</v>
      </c>
      <c r="L525" s="322">
        <v>0</v>
      </c>
      <c r="M525" s="322"/>
      <c r="N525" s="322"/>
      <c r="O525" s="322"/>
      <c r="P525" s="322"/>
      <c r="Q525" s="322"/>
    </row>
    <row r="526" spans="1:17" x14ac:dyDescent="0.45">
      <c r="A526" s="313">
        <v>11</v>
      </c>
      <c r="B526" s="433" t="s">
        <v>1950</v>
      </c>
      <c r="C526" s="312"/>
      <c r="D526" s="322">
        <v>0</v>
      </c>
      <c r="E526" s="45"/>
      <c r="F526" s="322">
        <v>0</v>
      </c>
      <c r="G526" s="322"/>
      <c r="H526" s="322">
        <v>0</v>
      </c>
      <c r="I526" s="322"/>
      <c r="J526" s="45">
        <v>0</v>
      </c>
      <c r="K526" s="322">
        <v>0</v>
      </c>
      <c r="L526" s="322">
        <v>0</v>
      </c>
      <c r="M526" s="322"/>
      <c r="N526" s="322"/>
      <c r="O526" s="322"/>
      <c r="P526" s="322"/>
      <c r="Q526" s="322"/>
    </row>
    <row r="527" spans="1:17" x14ac:dyDescent="0.45">
      <c r="A527" s="313">
        <v>12</v>
      </c>
      <c r="B527" s="45"/>
      <c r="C527" s="312"/>
      <c r="D527" s="322"/>
      <c r="E527" s="45"/>
      <c r="F527" s="322"/>
      <c r="G527" s="322"/>
      <c r="H527" s="322"/>
      <c r="I527" s="322"/>
      <c r="J527" s="45"/>
      <c r="K527" s="322"/>
      <c r="L527" s="322"/>
      <c r="M527" s="322"/>
      <c r="N527" s="322"/>
      <c r="O527" s="322"/>
      <c r="P527" s="322"/>
      <c r="Q527" s="322"/>
    </row>
    <row r="528" spans="1:17" x14ac:dyDescent="0.45">
      <c r="A528" s="313">
        <v>13</v>
      </c>
      <c r="B528" s="45"/>
      <c r="C528" s="312"/>
      <c r="D528" s="322"/>
      <c r="E528" s="45"/>
      <c r="F528" s="322"/>
      <c r="G528" s="322"/>
      <c r="H528" s="322"/>
      <c r="I528" s="322"/>
      <c r="J528" s="45"/>
      <c r="K528" s="322"/>
      <c r="L528" s="322"/>
      <c r="M528" s="322"/>
      <c r="N528" s="322"/>
      <c r="O528" s="322"/>
      <c r="P528" s="322"/>
      <c r="Q528" s="322"/>
    </row>
    <row r="529" spans="1:17" x14ac:dyDescent="0.45">
      <c r="A529" s="313">
        <v>14</v>
      </c>
      <c r="B529" s="45"/>
      <c r="C529" s="312"/>
      <c r="D529" s="45"/>
      <c r="E529" s="45"/>
      <c r="F529" s="45"/>
      <c r="G529" s="45"/>
      <c r="H529" s="45"/>
      <c r="I529" s="45"/>
      <c r="J529" s="45"/>
      <c r="K529" s="45"/>
      <c r="L529" s="45"/>
      <c r="M529" s="45"/>
      <c r="N529" s="45"/>
      <c r="O529" s="45"/>
      <c r="P529" s="45"/>
      <c r="Q529" s="45"/>
    </row>
    <row r="530" spans="1:17" x14ac:dyDescent="0.45">
      <c r="A530" s="313">
        <v>15</v>
      </c>
      <c r="B530" s="45"/>
      <c r="C530" s="312"/>
      <c r="D530" s="45"/>
      <c r="E530" s="45"/>
      <c r="F530" s="45"/>
      <c r="G530" s="45"/>
      <c r="H530" s="45"/>
      <c r="I530" s="45"/>
      <c r="J530" s="45"/>
      <c r="K530" s="45"/>
      <c r="L530" s="45"/>
      <c r="M530" s="45"/>
      <c r="N530" s="45"/>
      <c r="O530" s="45"/>
      <c r="P530" s="45"/>
      <c r="Q530" s="45"/>
    </row>
    <row r="531" spans="1:17" x14ac:dyDescent="0.45">
      <c r="A531" s="313">
        <v>16</v>
      </c>
      <c r="B531" s="45"/>
      <c r="C531" s="312"/>
      <c r="D531" s="45"/>
      <c r="E531" s="45"/>
      <c r="F531" s="45"/>
      <c r="G531" s="45"/>
      <c r="H531" s="45"/>
      <c r="I531" s="45"/>
      <c r="J531" s="45"/>
      <c r="K531" s="45"/>
      <c r="L531" s="45"/>
      <c r="M531" s="45"/>
      <c r="N531" s="45"/>
      <c r="O531" s="45"/>
      <c r="P531" s="45"/>
      <c r="Q531" s="45"/>
    </row>
    <row r="532" spans="1:17" x14ac:dyDescent="0.45">
      <c r="A532" s="313">
        <v>17</v>
      </c>
      <c r="B532" s="45"/>
      <c r="C532" s="312"/>
      <c r="D532" s="45"/>
      <c r="E532" s="45"/>
      <c r="F532" s="45"/>
      <c r="G532" s="45"/>
      <c r="H532" s="45"/>
      <c r="I532" s="45"/>
      <c r="J532" s="45"/>
      <c r="K532" s="45"/>
      <c r="L532" s="45"/>
      <c r="M532" s="45"/>
      <c r="N532" s="45"/>
      <c r="O532" s="45"/>
      <c r="P532" s="45"/>
      <c r="Q532" s="45"/>
    </row>
    <row r="533" spans="1:17" x14ac:dyDescent="0.45">
      <c r="A533" s="313">
        <v>18</v>
      </c>
      <c r="B533" s="45"/>
      <c r="C533" s="312"/>
      <c r="D533" s="45"/>
      <c r="E533" s="45"/>
      <c r="F533" s="45"/>
      <c r="G533" s="45"/>
      <c r="H533" s="45"/>
      <c r="I533" s="45"/>
      <c r="J533" s="45"/>
      <c r="K533" s="45"/>
      <c r="L533" s="45"/>
      <c r="M533" s="45"/>
      <c r="N533" s="45"/>
      <c r="O533" s="45"/>
      <c r="P533" s="45"/>
      <c r="Q533" s="45"/>
    </row>
    <row r="534" spans="1:17" x14ac:dyDescent="0.45">
      <c r="A534" s="45"/>
      <c r="B534" s="45"/>
      <c r="C534" s="312"/>
      <c r="D534" s="45"/>
      <c r="E534" s="45"/>
      <c r="F534" s="45"/>
      <c r="G534" s="45"/>
      <c r="H534" s="45"/>
      <c r="I534" s="45"/>
      <c r="J534" s="45"/>
      <c r="K534" s="45"/>
      <c r="L534" s="45"/>
      <c r="M534" s="45"/>
      <c r="N534" s="45"/>
      <c r="O534" s="45"/>
      <c r="P534" s="45"/>
      <c r="Q534" s="45"/>
    </row>
    <row r="535" spans="1:17" x14ac:dyDescent="0.45">
      <c r="A535" s="45"/>
      <c r="B535" s="45"/>
      <c r="C535" s="312"/>
      <c r="D535" s="45"/>
      <c r="E535" s="45"/>
      <c r="F535" s="45"/>
      <c r="G535" s="45"/>
      <c r="H535" s="45"/>
      <c r="I535" s="45"/>
      <c r="J535" s="45"/>
      <c r="K535" s="45"/>
      <c r="L535" s="45"/>
      <c r="M535" s="45"/>
      <c r="N535" s="45"/>
      <c r="O535" s="45"/>
      <c r="P535" s="45"/>
      <c r="Q535" s="45"/>
    </row>
    <row r="536" spans="1:17" x14ac:dyDescent="0.45">
      <c r="A536" s="45"/>
      <c r="B536" s="45"/>
      <c r="C536" s="312"/>
      <c r="D536" s="45"/>
      <c r="E536" s="45"/>
      <c r="F536" s="45"/>
      <c r="G536" s="45"/>
      <c r="H536" s="45"/>
      <c r="I536" s="45"/>
      <c r="J536" s="45"/>
      <c r="K536" s="45"/>
      <c r="L536" s="45"/>
      <c r="M536" s="45"/>
      <c r="N536" s="45"/>
      <c r="O536" s="45"/>
      <c r="P536" s="45"/>
      <c r="Q536" s="45"/>
    </row>
    <row r="537" spans="1:17" x14ac:dyDescent="0.45">
      <c r="A537" s="45"/>
      <c r="B537" s="45"/>
      <c r="C537" s="312"/>
      <c r="D537" s="45"/>
      <c r="E537" s="45"/>
      <c r="F537" s="45"/>
      <c r="G537" s="45"/>
      <c r="H537" s="45"/>
      <c r="I537" s="45"/>
      <c r="J537" s="45"/>
      <c r="K537" s="45"/>
      <c r="L537" s="45"/>
      <c r="M537" s="45"/>
      <c r="N537" s="45"/>
      <c r="O537" s="45"/>
      <c r="P537" s="45"/>
      <c r="Q537" s="45"/>
    </row>
    <row r="538" spans="1:17" x14ac:dyDescent="0.45">
      <c r="A538" s="45"/>
      <c r="B538" s="45"/>
      <c r="C538" s="312"/>
      <c r="D538" s="45"/>
      <c r="E538" s="45"/>
      <c r="F538" s="45"/>
      <c r="G538" s="45"/>
      <c r="H538" s="45"/>
      <c r="I538" s="45"/>
      <c r="J538" s="45"/>
      <c r="K538" s="45"/>
      <c r="L538" s="45"/>
      <c r="M538" s="45"/>
      <c r="N538" s="45"/>
      <c r="O538" s="45"/>
      <c r="P538" s="45"/>
      <c r="Q538" s="45"/>
    </row>
    <row r="539" spans="1:17" x14ac:dyDescent="0.45">
      <c r="A539" s="45"/>
      <c r="B539" s="45"/>
      <c r="C539" s="312"/>
      <c r="D539" s="45"/>
      <c r="E539" s="45"/>
      <c r="F539" s="45"/>
      <c r="G539" s="45"/>
      <c r="H539" s="45"/>
      <c r="I539" s="45"/>
      <c r="J539" s="45"/>
      <c r="K539" s="45"/>
      <c r="L539" s="45"/>
      <c r="M539" s="45"/>
      <c r="N539" s="45"/>
      <c r="O539" s="45"/>
      <c r="P539" s="45"/>
      <c r="Q539" s="45"/>
    </row>
    <row r="540" spans="1:17" x14ac:dyDescent="0.45">
      <c r="A540" s="45"/>
      <c r="B540" s="45"/>
      <c r="C540" s="312"/>
      <c r="D540" s="45"/>
      <c r="E540" s="45"/>
      <c r="F540" s="45"/>
      <c r="G540" s="45"/>
      <c r="H540" s="45"/>
      <c r="I540" s="45"/>
      <c r="J540" s="45"/>
      <c r="K540" s="45"/>
      <c r="L540" s="45"/>
      <c r="M540" s="45"/>
      <c r="N540" s="45"/>
      <c r="O540" s="45"/>
      <c r="P540" s="45"/>
      <c r="Q540" s="45"/>
    </row>
    <row r="541" spans="1:17" x14ac:dyDescent="0.45">
      <c r="A541" s="45"/>
      <c r="B541" s="45"/>
      <c r="C541" s="312"/>
      <c r="D541" s="45"/>
      <c r="E541" s="45"/>
      <c r="F541" s="45"/>
      <c r="G541" s="45"/>
      <c r="H541" s="45"/>
      <c r="I541" s="45"/>
      <c r="J541" s="45"/>
      <c r="K541" s="45"/>
      <c r="L541" s="45"/>
      <c r="M541" s="45"/>
      <c r="N541" s="45"/>
      <c r="O541" s="45"/>
      <c r="P541" s="45"/>
      <c r="Q541" s="45"/>
    </row>
    <row r="542" spans="1:17" x14ac:dyDescent="0.45">
      <c r="A542" s="45"/>
      <c r="B542" s="45"/>
      <c r="C542" s="312"/>
      <c r="D542" s="45"/>
      <c r="E542" s="45"/>
      <c r="F542" s="45"/>
      <c r="G542" s="45"/>
      <c r="H542" s="45"/>
      <c r="I542" s="45"/>
      <c r="J542" s="45"/>
      <c r="K542" s="45"/>
      <c r="L542" s="45"/>
      <c r="M542" s="45"/>
      <c r="N542" s="45"/>
      <c r="O542" s="45"/>
      <c r="P542" s="45"/>
      <c r="Q542" s="45"/>
    </row>
    <row r="543" spans="1:17" x14ac:dyDescent="0.45">
      <c r="A543" s="45"/>
      <c r="B543" s="434"/>
      <c r="C543" s="312"/>
      <c r="D543" s="45"/>
      <c r="E543" s="45"/>
      <c r="F543" s="45"/>
      <c r="G543" s="45"/>
      <c r="H543" s="45"/>
      <c r="I543" s="45"/>
      <c r="J543" s="45"/>
      <c r="K543" s="45"/>
      <c r="L543" s="45"/>
      <c r="M543" s="45"/>
      <c r="N543" s="45"/>
      <c r="O543" s="45"/>
      <c r="P543" s="45"/>
      <c r="Q543" s="45"/>
    </row>
    <row r="544" spans="1:17" x14ac:dyDescent="0.45">
      <c r="A544" s="45"/>
      <c r="B544" s="45"/>
      <c r="C544" s="312"/>
      <c r="D544" s="45"/>
      <c r="E544" s="45"/>
      <c r="F544" s="45"/>
      <c r="G544" s="45"/>
      <c r="H544" s="45"/>
      <c r="I544" s="45"/>
      <c r="J544" s="45"/>
      <c r="K544" s="45"/>
      <c r="L544" s="45"/>
      <c r="M544" s="45"/>
      <c r="N544" s="45"/>
      <c r="O544" s="45"/>
      <c r="P544" s="45"/>
      <c r="Q544" s="45"/>
    </row>
    <row r="545" spans="1:17" x14ac:dyDescent="0.45">
      <c r="A545" s="45"/>
      <c r="B545" s="45"/>
      <c r="C545" s="312"/>
      <c r="D545" s="45"/>
      <c r="E545" s="45"/>
      <c r="F545" s="45"/>
      <c r="G545" s="45"/>
      <c r="H545" s="45"/>
      <c r="I545" s="45"/>
      <c r="J545" s="45"/>
      <c r="K545" s="45"/>
      <c r="L545" s="45"/>
      <c r="M545" s="45"/>
      <c r="N545" s="45"/>
      <c r="O545" s="45"/>
      <c r="P545" s="45"/>
      <c r="Q545" s="45"/>
    </row>
    <row r="546" spans="1:17" x14ac:dyDescent="0.45">
      <c r="A546" s="45"/>
      <c r="B546" s="45"/>
      <c r="C546" s="312"/>
      <c r="D546" s="45"/>
      <c r="E546" s="45"/>
      <c r="F546" s="45"/>
      <c r="G546" s="45"/>
      <c r="H546" s="45"/>
      <c r="I546" s="45"/>
      <c r="J546" s="45"/>
      <c r="K546" s="45"/>
      <c r="L546" s="45"/>
      <c r="M546" s="45"/>
      <c r="N546" s="45"/>
      <c r="O546" s="45"/>
      <c r="P546" s="45"/>
      <c r="Q546" s="45"/>
    </row>
    <row r="547" spans="1:17" x14ac:dyDescent="0.45">
      <c r="A547" s="45"/>
      <c r="B547" s="45"/>
      <c r="C547" s="312"/>
      <c r="D547" s="45"/>
      <c r="E547" s="45"/>
      <c r="F547" s="45"/>
      <c r="G547" s="45"/>
      <c r="H547" s="45"/>
      <c r="I547" s="45"/>
      <c r="J547" s="45"/>
      <c r="K547" s="45"/>
      <c r="L547" s="45"/>
      <c r="M547" s="45"/>
      <c r="N547" s="45"/>
      <c r="O547" s="45"/>
      <c r="P547" s="45"/>
      <c r="Q547" s="45"/>
    </row>
    <row r="548" spans="1:17" x14ac:dyDescent="0.45">
      <c r="A548" s="45"/>
      <c r="B548" s="45"/>
      <c r="C548" s="312"/>
      <c r="D548" s="45"/>
      <c r="E548" s="45"/>
      <c r="F548" s="45"/>
      <c r="G548" s="45"/>
      <c r="H548" s="45"/>
      <c r="I548" s="45"/>
      <c r="J548" s="45"/>
      <c r="K548" s="45"/>
      <c r="L548" s="45"/>
      <c r="M548" s="45"/>
      <c r="N548" s="45"/>
      <c r="O548" s="45"/>
      <c r="P548" s="45"/>
      <c r="Q548" s="45"/>
    </row>
    <row r="549" spans="1:17" x14ac:dyDescent="0.45">
      <c r="A549" s="45"/>
      <c r="B549" s="45"/>
      <c r="C549" s="312"/>
      <c r="D549" s="45"/>
      <c r="E549" s="45"/>
      <c r="F549" s="45"/>
      <c r="G549" s="45"/>
      <c r="H549" s="45"/>
      <c r="I549" s="45"/>
      <c r="J549" s="45"/>
      <c r="K549" s="45"/>
      <c r="L549" s="45"/>
      <c r="M549" s="45"/>
      <c r="N549" s="45"/>
      <c r="O549" s="45"/>
      <c r="P549" s="45"/>
      <c r="Q549" s="45"/>
    </row>
    <row r="550" spans="1:17" x14ac:dyDescent="0.45">
      <c r="A550" s="45"/>
      <c r="B550" s="45"/>
      <c r="C550" s="312"/>
      <c r="D550" s="45"/>
      <c r="E550" s="45"/>
      <c r="F550" s="45"/>
      <c r="G550" s="45"/>
      <c r="H550" s="45"/>
      <c r="I550" s="45"/>
      <c r="J550" s="45"/>
      <c r="K550" s="45"/>
      <c r="L550" s="45"/>
      <c r="M550" s="45"/>
      <c r="N550" s="45"/>
      <c r="O550" s="45"/>
      <c r="P550" s="45"/>
      <c r="Q550" s="45"/>
    </row>
    <row r="551" spans="1:17" x14ac:dyDescent="0.45">
      <c r="A551" s="45"/>
      <c r="B551" s="45"/>
      <c r="C551" s="312"/>
      <c r="D551" s="45"/>
      <c r="E551" s="45"/>
      <c r="F551" s="45"/>
      <c r="G551" s="45"/>
      <c r="H551" s="45"/>
      <c r="I551" s="45"/>
      <c r="J551" s="45"/>
      <c r="K551" s="45"/>
      <c r="L551" s="45"/>
      <c r="M551" s="45"/>
      <c r="N551" s="45"/>
      <c r="O551" s="45"/>
      <c r="P551" s="45"/>
      <c r="Q551" s="45"/>
    </row>
    <row r="552" spans="1:17" x14ac:dyDescent="0.45">
      <c r="A552" s="45"/>
      <c r="B552" s="426" t="s">
        <v>1459</v>
      </c>
      <c r="C552" s="312"/>
      <c r="D552" s="312"/>
      <c r="E552" s="312"/>
      <c r="F552" s="312"/>
      <c r="G552" s="312"/>
      <c r="H552" s="45"/>
      <c r="I552" s="312"/>
      <c r="J552" s="312"/>
      <c r="K552" s="312"/>
      <c r="L552" s="45"/>
      <c r="M552" s="45"/>
      <c r="N552" s="45"/>
      <c r="O552" s="45"/>
      <c r="P552" s="45"/>
      <c r="Q552" s="45"/>
    </row>
    <row r="553" spans="1:17" x14ac:dyDescent="0.45">
      <c r="A553" s="45"/>
      <c r="B553" s="45"/>
      <c r="C553" s="312"/>
      <c r="D553" s="45"/>
      <c r="E553" s="45"/>
      <c r="F553" s="45"/>
      <c r="G553" s="45"/>
      <c r="H553" s="45"/>
      <c r="I553" s="45"/>
      <c r="J553" s="45"/>
      <c r="K553" s="45"/>
      <c r="L553" s="45"/>
      <c r="M553" s="45"/>
      <c r="N553" s="45"/>
      <c r="O553" s="45"/>
      <c r="P553" s="45"/>
      <c r="Q553" s="45"/>
    </row>
    <row r="554" spans="1:17" x14ac:dyDescent="0.45">
      <c r="A554" s="45"/>
      <c r="B554" s="424" t="s">
        <v>1460</v>
      </c>
      <c r="C554" s="312"/>
      <c r="D554" s="45"/>
      <c r="E554" s="45"/>
      <c r="F554" s="45"/>
      <c r="G554" s="45"/>
      <c r="H554" s="45"/>
      <c r="I554" s="45"/>
      <c r="J554" s="45"/>
      <c r="K554" s="45"/>
      <c r="L554" s="45"/>
      <c r="M554" s="45"/>
      <c r="N554" s="45"/>
      <c r="O554" s="45"/>
      <c r="P554" s="45"/>
      <c r="Q554" s="45"/>
    </row>
    <row r="555" spans="1:17" x14ac:dyDescent="0.45">
      <c r="A555" s="45"/>
      <c r="B555" s="45"/>
      <c r="C555" s="312"/>
      <c r="D555" s="45"/>
      <c r="E555" s="45"/>
      <c r="F555" s="45"/>
      <c r="G555" s="45"/>
      <c r="H555" s="45"/>
      <c r="I555" s="45"/>
      <c r="J555" s="45"/>
      <c r="K555" s="45"/>
      <c r="L555" s="45"/>
      <c r="M555" s="45"/>
      <c r="N555" s="45"/>
      <c r="O555" s="45"/>
      <c r="P555" s="45"/>
      <c r="Q555" s="45"/>
    </row>
    <row r="556" spans="1:17" x14ac:dyDescent="0.45">
      <c r="A556" s="313">
        <v>1</v>
      </c>
      <c r="B556" s="424" t="s">
        <v>1461</v>
      </c>
      <c r="C556" s="312"/>
      <c r="D556" s="314">
        <v>10907444068</v>
      </c>
      <c r="E556" s="45"/>
      <c r="F556" s="314">
        <v>10194926070</v>
      </c>
      <c r="G556" s="314"/>
      <c r="H556" s="314">
        <v>568609349</v>
      </c>
      <c r="I556" s="314"/>
      <c r="J556" s="314">
        <v>143908648</v>
      </c>
      <c r="K556" s="314">
        <v>75298903</v>
      </c>
      <c r="L556" s="314">
        <v>68609745</v>
      </c>
      <c r="M556" s="314"/>
      <c r="N556" s="314"/>
      <c r="O556" s="314"/>
      <c r="P556" s="314"/>
      <c r="Q556" s="314"/>
    </row>
    <row r="557" spans="1:17" x14ac:dyDescent="0.45">
      <c r="A557" s="45"/>
      <c r="B557" s="45"/>
      <c r="C557" s="312"/>
      <c r="D557" s="45"/>
      <c r="E557" s="45"/>
      <c r="F557" s="45"/>
      <c r="G557" s="45"/>
      <c r="H557" s="45"/>
      <c r="I557" s="45"/>
      <c r="J557" s="45"/>
      <c r="K557" s="45"/>
      <c r="L557" s="45"/>
      <c r="M557" s="45"/>
      <c r="N557" s="45"/>
      <c r="O557" s="45"/>
      <c r="P557" s="45"/>
      <c r="Q557" s="45"/>
    </row>
    <row r="558" spans="1:17" x14ac:dyDescent="0.45">
      <c r="A558" s="313">
        <v>2</v>
      </c>
      <c r="B558" s="424" t="s">
        <v>1462</v>
      </c>
      <c r="C558" s="312"/>
      <c r="D558" s="314">
        <v>3922604709</v>
      </c>
      <c r="E558" s="314"/>
      <c r="F558" s="314">
        <v>3655298713</v>
      </c>
      <c r="G558" s="314"/>
      <c r="H558" s="314">
        <v>211103567</v>
      </c>
      <c r="I558" s="314"/>
      <c r="J558" s="314">
        <v>56202429</v>
      </c>
      <c r="K558" s="314">
        <v>29077633</v>
      </c>
      <c r="L558" s="314">
        <v>27124796</v>
      </c>
      <c r="M558" s="314"/>
      <c r="N558" s="314"/>
      <c r="O558" s="314"/>
      <c r="P558" s="314"/>
      <c r="Q558" s="314"/>
    </row>
    <row r="559" spans="1:17" x14ac:dyDescent="0.45">
      <c r="A559" s="313">
        <v>3</v>
      </c>
      <c r="B559" s="424" t="s">
        <v>1463</v>
      </c>
      <c r="C559" s="312"/>
      <c r="D559" s="314">
        <v>6984839359</v>
      </c>
      <c r="E559" s="314"/>
      <c r="F559" s="314">
        <v>6539627357</v>
      </c>
      <c r="G559" s="314"/>
      <c r="H559" s="314">
        <v>357505782</v>
      </c>
      <c r="I559" s="314"/>
      <c r="J559" s="314">
        <v>87706220</v>
      </c>
      <c r="K559" s="314">
        <v>46221270</v>
      </c>
      <c r="L559" s="314">
        <v>41484949</v>
      </c>
      <c r="M559" s="314"/>
      <c r="N559" s="314"/>
      <c r="O559" s="314"/>
      <c r="P559" s="314"/>
      <c r="Q559" s="314"/>
    </row>
    <row r="560" spans="1:17" x14ac:dyDescent="0.45">
      <c r="A560" s="45"/>
      <c r="B560" s="45"/>
      <c r="C560" s="312"/>
      <c r="D560" s="314"/>
      <c r="E560" s="314"/>
      <c r="F560" s="314"/>
      <c r="G560" s="314"/>
      <c r="H560" s="314"/>
      <c r="I560" s="314"/>
      <c r="J560" s="314"/>
      <c r="K560" s="314"/>
      <c r="L560" s="314"/>
      <c r="M560" s="314"/>
      <c r="N560" s="314"/>
      <c r="O560" s="314"/>
      <c r="P560" s="314"/>
      <c r="Q560" s="314"/>
    </row>
    <row r="561" spans="1:17" x14ac:dyDescent="0.45">
      <c r="A561" s="313">
        <v>4</v>
      </c>
      <c r="B561" s="424" t="s">
        <v>1464</v>
      </c>
      <c r="C561" s="312"/>
      <c r="D561" s="314">
        <v>296834854</v>
      </c>
      <c r="E561" s="314"/>
      <c r="F561" s="314">
        <v>269886192</v>
      </c>
      <c r="G561" s="314"/>
      <c r="H561" s="314">
        <v>23811187</v>
      </c>
      <c r="I561" s="314"/>
      <c r="J561" s="314">
        <v>3137474</v>
      </c>
      <c r="K561" s="314">
        <v>1653794</v>
      </c>
      <c r="L561" s="314">
        <v>1483680</v>
      </c>
      <c r="M561" s="314"/>
      <c r="N561" s="314"/>
      <c r="O561" s="314"/>
      <c r="P561" s="314"/>
      <c r="Q561" s="314"/>
    </row>
    <row r="562" spans="1:17" x14ac:dyDescent="0.45">
      <c r="A562" s="313">
        <v>5</v>
      </c>
      <c r="B562" s="424" t="s">
        <v>1465</v>
      </c>
      <c r="C562" s="312"/>
      <c r="D562" s="314">
        <v>7281674212</v>
      </c>
      <c r="E562" s="314"/>
      <c r="F562" s="314">
        <v>6809513549</v>
      </c>
      <c r="G562" s="314"/>
      <c r="H562" s="314">
        <v>381316969</v>
      </c>
      <c r="I562" s="314"/>
      <c r="J562" s="314">
        <v>90843694</v>
      </c>
      <c r="K562" s="314">
        <v>47875065</v>
      </c>
      <c r="L562" s="314">
        <v>42968629</v>
      </c>
      <c r="M562" s="314"/>
      <c r="N562" s="314"/>
      <c r="O562" s="314"/>
      <c r="P562" s="314"/>
      <c r="Q562" s="314"/>
    </row>
    <row r="563" spans="1:17" x14ac:dyDescent="0.45">
      <c r="A563" s="45"/>
      <c r="B563" s="45"/>
      <c r="C563" s="312"/>
      <c r="D563" s="314"/>
      <c r="E563" s="314"/>
      <c r="F563" s="314"/>
      <c r="G563" s="314"/>
      <c r="H563" s="314"/>
      <c r="I563" s="314"/>
      <c r="J563" s="314"/>
      <c r="K563" s="314"/>
      <c r="L563" s="314"/>
      <c r="M563" s="314"/>
      <c r="N563" s="314"/>
      <c r="O563" s="314"/>
      <c r="P563" s="314"/>
      <c r="Q563" s="314"/>
    </row>
    <row r="564" spans="1:17" x14ac:dyDescent="0.45">
      <c r="A564" s="45"/>
      <c r="B564" s="424" t="s">
        <v>1466</v>
      </c>
      <c r="C564" s="312"/>
      <c r="D564" s="314"/>
      <c r="E564" s="314"/>
      <c r="F564" s="314"/>
      <c r="G564" s="314"/>
      <c r="H564" s="314"/>
      <c r="I564" s="314"/>
      <c r="J564" s="314"/>
      <c r="K564" s="314"/>
      <c r="L564" s="314"/>
      <c r="M564" s="314"/>
      <c r="N564" s="314"/>
      <c r="O564" s="314"/>
      <c r="P564" s="314"/>
      <c r="Q564" s="314"/>
    </row>
    <row r="565" spans="1:17" x14ac:dyDescent="0.45">
      <c r="A565" s="313">
        <v>6</v>
      </c>
      <c r="B565" s="424" t="s">
        <v>1469</v>
      </c>
      <c r="C565" s="312"/>
      <c r="D565" s="314">
        <v>64509936</v>
      </c>
      <c r="E565" s="314"/>
      <c r="F565" s="314">
        <v>59890781</v>
      </c>
      <c r="G565" s="314"/>
      <c r="H565" s="314">
        <v>3875238</v>
      </c>
      <c r="I565" s="314"/>
      <c r="J565" s="314">
        <v>743918</v>
      </c>
      <c r="K565" s="314">
        <v>385551</v>
      </c>
      <c r="L565" s="314">
        <v>358367</v>
      </c>
      <c r="M565" s="314"/>
      <c r="N565" s="314"/>
      <c r="O565" s="314"/>
      <c r="P565" s="314"/>
      <c r="Q565" s="314"/>
    </row>
    <row r="566" spans="1:17" x14ac:dyDescent="0.45">
      <c r="A566" s="313">
        <v>7</v>
      </c>
      <c r="B566" s="424" t="s">
        <v>1470</v>
      </c>
      <c r="C566" s="312"/>
      <c r="D566" s="314">
        <v>66398898</v>
      </c>
      <c r="E566" s="314"/>
      <c r="F566" s="314">
        <v>62536188</v>
      </c>
      <c r="G566" s="314"/>
      <c r="H566" s="314">
        <v>2511431</v>
      </c>
      <c r="I566" s="314"/>
      <c r="J566" s="314">
        <v>1351279</v>
      </c>
      <c r="K566" s="314">
        <v>693576</v>
      </c>
      <c r="L566" s="314">
        <v>657702</v>
      </c>
      <c r="M566" s="314"/>
      <c r="N566" s="314"/>
      <c r="O566" s="314"/>
      <c r="P566" s="314"/>
      <c r="Q566" s="314"/>
    </row>
    <row r="567" spans="1:17" x14ac:dyDescent="0.45">
      <c r="A567" s="313">
        <v>8</v>
      </c>
      <c r="B567" s="424" t="s">
        <v>946</v>
      </c>
      <c r="C567" s="312"/>
      <c r="D567" s="314">
        <v>19279557</v>
      </c>
      <c r="E567" s="314"/>
      <c r="F567" s="314">
        <v>19024116</v>
      </c>
      <c r="G567" s="314"/>
      <c r="H567" s="314">
        <v>0</v>
      </c>
      <c r="I567" s="314"/>
      <c r="J567" s="314">
        <v>255440</v>
      </c>
      <c r="K567" s="314">
        <v>133507</v>
      </c>
      <c r="L567" s="314">
        <v>121933</v>
      </c>
      <c r="M567" s="314"/>
      <c r="N567" s="314"/>
      <c r="O567" s="314"/>
      <c r="P567" s="314"/>
      <c r="Q567" s="314"/>
    </row>
    <row r="568" spans="1:17" x14ac:dyDescent="0.45">
      <c r="A568" s="313">
        <v>9</v>
      </c>
      <c r="B568" s="424" t="s">
        <v>947</v>
      </c>
      <c r="C568" s="312"/>
      <c r="D568" s="314">
        <v>141138202</v>
      </c>
      <c r="E568" s="314"/>
      <c r="F568" s="314">
        <v>129933875</v>
      </c>
      <c r="G568" s="314"/>
      <c r="H568" s="314">
        <v>9535669</v>
      </c>
      <c r="I568" s="314"/>
      <c r="J568" s="314">
        <v>1668658</v>
      </c>
      <c r="K568" s="314">
        <v>859437</v>
      </c>
      <c r="L568" s="314">
        <v>809220</v>
      </c>
      <c r="M568" s="314"/>
      <c r="N568" s="314"/>
      <c r="O568" s="314"/>
      <c r="P568" s="314"/>
      <c r="Q568" s="314"/>
    </row>
    <row r="569" spans="1:17" x14ac:dyDescent="0.45">
      <c r="A569" s="313">
        <v>10</v>
      </c>
      <c r="B569" s="424" t="s">
        <v>948</v>
      </c>
      <c r="C569" s="312"/>
      <c r="D569" s="314">
        <v>124310</v>
      </c>
      <c r="E569" s="314"/>
      <c r="F569" s="314">
        <v>116617</v>
      </c>
      <c r="G569" s="314"/>
      <c r="H569" s="314">
        <v>5281</v>
      </c>
      <c r="I569" s="314"/>
      <c r="J569" s="314">
        <v>2412</v>
      </c>
      <c r="K569" s="314">
        <v>1223</v>
      </c>
      <c r="L569" s="314">
        <v>1188</v>
      </c>
      <c r="M569" s="314"/>
      <c r="N569" s="314"/>
      <c r="O569" s="314"/>
      <c r="P569" s="314"/>
      <c r="Q569" s="314"/>
    </row>
    <row r="570" spans="1:17" x14ac:dyDescent="0.45">
      <c r="A570" s="313">
        <v>11</v>
      </c>
      <c r="B570" s="424" t="s">
        <v>2278</v>
      </c>
      <c r="C570" s="312"/>
      <c r="D570" s="314">
        <v>183002470</v>
      </c>
      <c r="E570" s="314"/>
      <c r="F570" s="314">
        <v>174570689</v>
      </c>
      <c r="G570" s="314"/>
      <c r="H570" s="314">
        <v>6196953</v>
      </c>
      <c r="I570" s="314"/>
      <c r="J570" s="314">
        <v>2234828</v>
      </c>
      <c r="K570" s="314">
        <v>1133630</v>
      </c>
      <c r="L570" s="314">
        <v>1101198</v>
      </c>
      <c r="M570" s="314"/>
      <c r="N570" s="314"/>
      <c r="O570" s="314"/>
      <c r="P570" s="314"/>
      <c r="Q570" s="314"/>
    </row>
    <row r="571" spans="1:17" x14ac:dyDescent="0.45">
      <c r="A571" s="313">
        <v>12</v>
      </c>
      <c r="B571" s="424" t="s">
        <v>949</v>
      </c>
      <c r="C571" s="312"/>
      <c r="D571" s="314">
        <v>474453373</v>
      </c>
      <c r="E571" s="314"/>
      <c r="F571" s="314">
        <v>446072266</v>
      </c>
      <c r="G571" s="314"/>
      <c r="H571" s="314">
        <v>22124573</v>
      </c>
      <c r="I571" s="314"/>
      <c r="J571" s="314">
        <v>6256534</v>
      </c>
      <c r="K571" s="314">
        <v>3206924</v>
      </c>
      <c r="L571" s="314">
        <v>3049610</v>
      </c>
      <c r="M571" s="314"/>
      <c r="N571" s="314"/>
      <c r="O571" s="314"/>
      <c r="P571" s="314"/>
      <c r="Q571" s="314"/>
    </row>
    <row r="572" spans="1:17" x14ac:dyDescent="0.45">
      <c r="A572" s="45"/>
      <c r="B572" s="45"/>
      <c r="C572" s="312"/>
      <c r="D572" s="314"/>
      <c r="E572" s="314"/>
      <c r="F572" s="314"/>
      <c r="G572" s="314"/>
      <c r="H572" s="314"/>
      <c r="I572" s="314"/>
      <c r="J572" s="314"/>
      <c r="K572" s="314"/>
      <c r="L572" s="314"/>
      <c r="M572" s="314"/>
      <c r="N572" s="314"/>
      <c r="O572" s="314"/>
      <c r="P572" s="314"/>
      <c r="Q572" s="314"/>
    </row>
    <row r="573" spans="1:17" x14ac:dyDescent="0.45">
      <c r="A573" s="45"/>
      <c r="B573" s="424" t="s">
        <v>950</v>
      </c>
      <c r="C573" s="312"/>
      <c r="D573" s="314"/>
      <c r="E573" s="314"/>
      <c r="F573" s="314"/>
      <c r="G573" s="314"/>
      <c r="H573" s="314"/>
      <c r="I573" s="314"/>
      <c r="J573" s="314"/>
      <c r="K573" s="314"/>
      <c r="L573" s="314"/>
      <c r="M573" s="314"/>
      <c r="N573" s="314"/>
      <c r="O573" s="314"/>
      <c r="P573" s="314"/>
      <c r="Q573" s="314"/>
    </row>
    <row r="574" spans="1:17" x14ac:dyDescent="0.45">
      <c r="A574" s="313">
        <v>13</v>
      </c>
      <c r="B574" s="424" t="s">
        <v>645</v>
      </c>
      <c r="C574" s="312"/>
      <c r="D574" s="314">
        <v>1438518390</v>
      </c>
      <c r="E574" s="314"/>
      <c r="F574" s="314">
        <v>1342260433</v>
      </c>
      <c r="G574" s="314"/>
      <c r="H574" s="314">
        <v>78899320</v>
      </c>
      <c r="I574" s="314"/>
      <c r="J574" s="314">
        <v>17358636</v>
      </c>
      <c r="K574" s="314">
        <v>9059596</v>
      </c>
      <c r="L574" s="314">
        <v>8299040</v>
      </c>
      <c r="M574" s="314"/>
      <c r="N574" s="314"/>
      <c r="O574" s="314"/>
      <c r="P574" s="314"/>
      <c r="Q574" s="314"/>
    </row>
    <row r="575" spans="1:17" x14ac:dyDescent="0.45">
      <c r="A575" s="313">
        <v>14</v>
      </c>
      <c r="B575" s="424" t="s">
        <v>646</v>
      </c>
      <c r="C575" s="312"/>
      <c r="D575" s="314">
        <v>86323268</v>
      </c>
      <c r="E575" s="314"/>
      <c r="F575" s="314">
        <v>80926985</v>
      </c>
      <c r="G575" s="314"/>
      <c r="H575" s="314">
        <v>3690612</v>
      </c>
      <c r="I575" s="314"/>
      <c r="J575" s="314">
        <v>1705672</v>
      </c>
      <c r="K575" s="314">
        <v>865212</v>
      </c>
      <c r="L575" s="314">
        <v>840459</v>
      </c>
      <c r="M575" s="314"/>
      <c r="N575" s="314"/>
      <c r="O575" s="314"/>
      <c r="P575" s="314"/>
      <c r="Q575" s="314"/>
    </row>
    <row r="576" spans="1:17" x14ac:dyDescent="0.45">
      <c r="A576" s="313">
        <v>15</v>
      </c>
      <c r="B576" s="424" t="s">
        <v>647</v>
      </c>
      <c r="C576" s="312"/>
      <c r="D576" s="314">
        <v>1719772</v>
      </c>
      <c r="E576" s="314"/>
      <c r="F576" s="314">
        <v>1712216</v>
      </c>
      <c r="G576" s="314"/>
      <c r="H576" s="314">
        <v>7556</v>
      </c>
      <c r="I576" s="314"/>
      <c r="J576" s="314">
        <v>0</v>
      </c>
      <c r="K576" s="314">
        <v>0</v>
      </c>
      <c r="L576" s="314">
        <v>0</v>
      </c>
      <c r="M576" s="314"/>
      <c r="N576" s="314"/>
      <c r="O576" s="314"/>
      <c r="P576" s="314"/>
      <c r="Q576" s="314"/>
    </row>
    <row r="577" spans="1:17" x14ac:dyDescent="0.45">
      <c r="A577" s="313">
        <v>16</v>
      </c>
      <c r="B577" s="427" t="s">
        <v>1954</v>
      </c>
      <c r="C577" s="312"/>
      <c r="D577" s="314">
        <v>31620707</v>
      </c>
      <c r="E577" s="314"/>
      <c r="F577" s="314">
        <v>0</v>
      </c>
      <c r="G577" s="314"/>
      <c r="H577" s="314">
        <v>1227530</v>
      </c>
      <c r="I577" s="314"/>
      <c r="J577" s="314">
        <v>0</v>
      </c>
      <c r="K577" s="314">
        <v>0</v>
      </c>
      <c r="L577" s="314">
        <v>0</v>
      </c>
      <c r="M577" s="314"/>
      <c r="N577" s="314"/>
      <c r="O577" s="314"/>
      <c r="P577" s="314"/>
      <c r="Q577" s="314"/>
    </row>
    <row r="578" spans="1:17" x14ac:dyDescent="0.45">
      <c r="A578" s="313">
        <v>17</v>
      </c>
      <c r="B578" s="424" t="s">
        <v>648</v>
      </c>
      <c r="C578" s="312"/>
      <c r="D578" s="314">
        <v>237184</v>
      </c>
      <c r="E578" s="314"/>
      <c r="F578" s="314">
        <v>0</v>
      </c>
      <c r="G578" s="314"/>
      <c r="H578" s="314">
        <v>237184</v>
      </c>
      <c r="I578" s="314"/>
      <c r="J578" s="314">
        <v>0</v>
      </c>
      <c r="K578" s="314">
        <v>0</v>
      </c>
      <c r="L578" s="314">
        <v>0</v>
      </c>
      <c r="M578" s="314"/>
      <c r="N578" s="314"/>
      <c r="O578" s="314"/>
      <c r="P578" s="314"/>
      <c r="Q578" s="314"/>
    </row>
    <row r="579" spans="1:17" x14ac:dyDescent="0.45">
      <c r="A579" s="313">
        <v>18</v>
      </c>
      <c r="B579" s="427" t="s">
        <v>1955</v>
      </c>
      <c r="C579" s="45"/>
      <c r="D579" s="314">
        <v>15691507</v>
      </c>
      <c r="E579" s="314"/>
      <c r="F579" s="314">
        <v>0</v>
      </c>
      <c r="G579" s="314"/>
      <c r="H579" s="314">
        <v>746553</v>
      </c>
      <c r="I579" s="314"/>
      <c r="J579" s="314">
        <v>0</v>
      </c>
      <c r="K579" s="314">
        <v>0</v>
      </c>
      <c r="L579" s="314">
        <v>0</v>
      </c>
      <c r="M579" s="314"/>
      <c r="N579" s="314"/>
      <c r="O579" s="314"/>
      <c r="P579" s="314"/>
      <c r="Q579" s="314"/>
    </row>
    <row r="580" spans="1:17" x14ac:dyDescent="0.45">
      <c r="A580" s="313">
        <v>19</v>
      </c>
      <c r="B580" s="427" t="s">
        <v>2128</v>
      </c>
      <c r="C580" s="45"/>
      <c r="D580" s="314">
        <v>4697653</v>
      </c>
      <c r="E580" s="314"/>
      <c r="F580" s="314">
        <v>0</v>
      </c>
      <c r="G580" s="314"/>
      <c r="H580" s="314">
        <v>0</v>
      </c>
      <c r="I580" s="314"/>
      <c r="J580" s="314">
        <v>53794</v>
      </c>
      <c r="K580" s="314">
        <v>28049</v>
      </c>
      <c r="L580" s="314">
        <v>25745</v>
      </c>
      <c r="M580" s="314"/>
      <c r="N580" s="314"/>
      <c r="O580" s="314"/>
      <c r="P580" s="314"/>
      <c r="Q580" s="314"/>
    </row>
    <row r="581" spans="1:17" x14ac:dyDescent="0.45">
      <c r="A581" s="313">
        <v>20</v>
      </c>
      <c r="B581" s="427" t="s">
        <v>2129</v>
      </c>
      <c r="C581" s="45"/>
      <c r="D581" s="314">
        <v>6765972</v>
      </c>
      <c r="E581" s="314"/>
      <c r="F581" s="314">
        <v>0</v>
      </c>
      <c r="G581" s="314"/>
      <c r="H581" s="314">
        <v>0</v>
      </c>
      <c r="I581" s="314"/>
      <c r="J581" s="314">
        <v>77479</v>
      </c>
      <c r="K581" s="314">
        <v>40398</v>
      </c>
      <c r="L581" s="314">
        <v>37080</v>
      </c>
      <c r="M581" s="314"/>
      <c r="N581" s="314"/>
      <c r="O581" s="314"/>
      <c r="P581" s="314"/>
      <c r="Q581" s="314"/>
    </row>
    <row r="582" spans="1:17" x14ac:dyDescent="0.45">
      <c r="A582" s="313">
        <v>21</v>
      </c>
      <c r="B582" s="427" t="s">
        <v>2130</v>
      </c>
      <c r="C582" s="45"/>
      <c r="D582" s="314">
        <v>1236415</v>
      </c>
      <c r="E582" s="314"/>
      <c r="F582" s="314">
        <v>0</v>
      </c>
      <c r="G582" s="314"/>
      <c r="H582" s="314">
        <v>0</v>
      </c>
      <c r="I582" s="314"/>
      <c r="J582" s="314">
        <v>14158</v>
      </c>
      <c r="K582" s="314">
        <v>7382</v>
      </c>
      <c r="L582" s="314">
        <v>6776</v>
      </c>
      <c r="M582" s="314"/>
      <c r="N582" s="314"/>
      <c r="O582" s="314"/>
      <c r="P582" s="314"/>
      <c r="Q582" s="314"/>
    </row>
    <row r="583" spans="1:17" x14ac:dyDescent="0.45">
      <c r="A583" s="313">
        <v>22</v>
      </c>
      <c r="B583" s="424" t="s">
        <v>1041</v>
      </c>
      <c r="C583" s="312"/>
      <c r="D583" s="314">
        <v>1586810867</v>
      </c>
      <c r="E583" s="314"/>
      <c r="F583" s="314">
        <v>1424899634</v>
      </c>
      <c r="G583" s="314"/>
      <c r="H583" s="314">
        <v>84808755</v>
      </c>
      <c r="I583" s="314"/>
      <c r="J583" s="314">
        <v>19209739</v>
      </c>
      <c r="K583" s="314">
        <v>10000638</v>
      </c>
      <c r="L583" s="314">
        <v>9209101</v>
      </c>
      <c r="M583" s="314"/>
      <c r="N583" s="314"/>
      <c r="O583" s="314"/>
      <c r="P583" s="314"/>
      <c r="Q583" s="314"/>
    </row>
    <row r="584" spans="1:17" x14ac:dyDescent="0.45">
      <c r="A584" s="45"/>
      <c r="B584" s="45"/>
      <c r="C584" s="312"/>
      <c r="D584" s="314"/>
      <c r="E584" s="314"/>
      <c r="F584" s="314"/>
      <c r="G584" s="314"/>
      <c r="H584" s="314"/>
      <c r="I584" s="314"/>
      <c r="J584" s="314"/>
      <c r="K584" s="314"/>
      <c r="L584" s="314"/>
      <c r="M584" s="314"/>
      <c r="N584" s="314"/>
      <c r="O584" s="314"/>
      <c r="P584" s="314"/>
      <c r="Q584" s="314"/>
    </row>
    <row r="585" spans="1:17" x14ac:dyDescent="0.45">
      <c r="A585" s="313">
        <v>23</v>
      </c>
      <c r="B585" s="424" t="s">
        <v>1042</v>
      </c>
      <c r="C585" s="312"/>
      <c r="D585" s="314">
        <v>6169316718</v>
      </c>
      <c r="E585" s="314"/>
      <c r="F585" s="314">
        <v>5830686181</v>
      </c>
      <c r="G585" s="314"/>
      <c r="H585" s="314">
        <v>318632787</v>
      </c>
      <c r="I585" s="314"/>
      <c r="J585" s="314">
        <v>77890490</v>
      </c>
      <c r="K585" s="314">
        <v>41081352</v>
      </c>
      <c r="L585" s="314">
        <v>36809138</v>
      </c>
      <c r="M585" s="314"/>
      <c r="N585" s="314"/>
      <c r="O585" s="314"/>
      <c r="P585" s="314"/>
      <c r="Q585" s="314"/>
    </row>
    <row r="586" spans="1:17" x14ac:dyDescent="0.45">
      <c r="A586" s="45"/>
      <c r="B586" s="45"/>
      <c r="C586" s="312"/>
      <c r="D586" s="314"/>
      <c r="E586" s="314"/>
      <c r="F586" s="314"/>
      <c r="G586" s="314"/>
      <c r="H586" s="314"/>
      <c r="I586" s="314"/>
      <c r="J586" s="314"/>
      <c r="K586" s="314"/>
      <c r="L586" s="314"/>
      <c r="M586" s="314"/>
      <c r="N586" s="314"/>
      <c r="O586" s="314"/>
      <c r="P586" s="314"/>
      <c r="Q586" s="314"/>
    </row>
    <row r="587" spans="1:17" x14ac:dyDescent="0.45">
      <c r="A587" s="45"/>
      <c r="B587" s="424" t="s">
        <v>1043</v>
      </c>
      <c r="C587" s="312"/>
      <c r="D587" s="314"/>
      <c r="E587" s="314"/>
      <c r="F587" s="314"/>
      <c r="G587" s="314"/>
      <c r="H587" s="314"/>
      <c r="I587" s="314"/>
      <c r="J587" s="314"/>
      <c r="K587" s="314"/>
      <c r="L587" s="314"/>
      <c r="M587" s="314"/>
      <c r="N587" s="314"/>
      <c r="O587" s="314"/>
      <c r="P587" s="314"/>
      <c r="Q587" s="314"/>
    </row>
    <row r="588" spans="1:17" x14ac:dyDescent="0.45">
      <c r="A588" s="313">
        <v>24</v>
      </c>
      <c r="B588" s="424" t="s">
        <v>1044</v>
      </c>
      <c r="C588" s="312"/>
      <c r="D588" s="314">
        <v>1747033170</v>
      </c>
      <c r="E588" s="314"/>
      <c r="F588" s="314">
        <v>1643983057</v>
      </c>
      <c r="G588" s="314"/>
      <c r="H588" s="314">
        <v>78577229</v>
      </c>
      <c r="I588" s="314"/>
      <c r="J588" s="314">
        <v>24472885</v>
      </c>
      <c r="K588" s="314">
        <v>12599774</v>
      </c>
      <c r="L588" s="314">
        <v>11873111</v>
      </c>
      <c r="M588" s="314"/>
      <c r="N588" s="314"/>
      <c r="O588" s="314"/>
      <c r="P588" s="314"/>
      <c r="Q588" s="314"/>
    </row>
    <row r="589" spans="1:17" x14ac:dyDescent="0.45">
      <c r="A589" s="45"/>
      <c r="B589" s="45"/>
      <c r="C589" s="312"/>
      <c r="D589" s="314"/>
      <c r="E589" s="314"/>
      <c r="F589" s="314"/>
      <c r="G589" s="314"/>
      <c r="H589" s="314"/>
      <c r="I589" s="314"/>
      <c r="J589" s="314"/>
      <c r="K589" s="314"/>
      <c r="L589" s="314"/>
      <c r="M589" s="314"/>
      <c r="N589" s="314"/>
      <c r="O589" s="314"/>
      <c r="P589" s="314"/>
      <c r="Q589" s="314"/>
    </row>
    <row r="590" spans="1:17" x14ac:dyDescent="0.45">
      <c r="A590" s="45"/>
      <c r="B590" s="424" t="s">
        <v>1045</v>
      </c>
      <c r="C590" s="312"/>
      <c r="D590" s="314"/>
      <c r="E590" s="314"/>
      <c r="F590" s="314"/>
      <c r="G590" s="314"/>
      <c r="H590" s="314"/>
      <c r="I590" s="314"/>
      <c r="J590" s="314"/>
      <c r="K590" s="314"/>
      <c r="L590" s="314"/>
      <c r="M590" s="314"/>
      <c r="N590" s="314"/>
      <c r="O590" s="314"/>
      <c r="P590" s="314"/>
      <c r="Q590" s="314"/>
    </row>
    <row r="591" spans="1:17" x14ac:dyDescent="0.45">
      <c r="A591" s="313">
        <v>25</v>
      </c>
      <c r="B591" s="424" t="s">
        <v>1046</v>
      </c>
      <c r="C591" s="312"/>
      <c r="D591" s="314">
        <v>935841768</v>
      </c>
      <c r="E591" s="314"/>
      <c r="F591" s="314">
        <v>879083724</v>
      </c>
      <c r="G591" s="314"/>
      <c r="H591" s="314">
        <v>42365201</v>
      </c>
      <c r="I591" s="314"/>
      <c r="J591" s="314">
        <v>14392842</v>
      </c>
      <c r="K591" s="314">
        <v>7409946</v>
      </c>
      <c r="L591" s="314">
        <v>6982896</v>
      </c>
      <c r="M591" s="314"/>
      <c r="N591" s="314"/>
      <c r="O591" s="314"/>
      <c r="P591" s="314"/>
      <c r="Q591" s="314"/>
    </row>
    <row r="592" spans="1:17" x14ac:dyDescent="0.45">
      <c r="A592" s="313">
        <v>26</v>
      </c>
      <c r="B592" s="424" t="s">
        <v>1047</v>
      </c>
      <c r="C592" s="312"/>
      <c r="D592" s="314">
        <v>415869665</v>
      </c>
      <c r="E592" s="314"/>
      <c r="F592" s="314">
        <v>389129204</v>
      </c>
      <c r="G592" s="314"/>
      <c r="H592" s="314">
        <v>20250490</v>
      </c>
      <c r="I592" s="314"/>
      <c r="J592" s="314">
        <v>6489972</v>
      </c>
      <c r="K592" s="314">
        <v>3330483</v>
      </c>
      <c r="L592" s="314">
        <v>3159489</v>
      </c>
      <c r="M592" s="314"/>
      <c r="N592" s="314"/>
      <c r="O592" s="314"/>
      <c r="P592" s="314"/>
      <c r="Q592" s="314"/>
    </row>
    <row r="593" spans="1:24" x14ac:dyDescent="0.45">
      <c r="A593" s="313">
        <v>27</v>
      </c>
      <c r="B593" s="424" t="s">
        <v>2193</v>
      </c>
      <c r="C593" s="312"/>
      <c r="D593" s="314">
        <v>15097734</v>
      </c>
      <c r="E593" s="314"/>
      <c r="F593" s="314">
        <v>14409914</v>
      </c>
      <c r="G593" s="314"/>
      <c r="H593" s="314">
        <v>573177</v>
      </c>
      <c r="I593" s="314"/>
      <c r="J593" s="314">
        <v>114644</v>
      </c>
      <c r="K593" s="314">
        <v>58510</v>
      </c>
      <c r="L593" s="314">
        <v>56133</v>
      </c>
      <c r="M593" s="314"/>
      <c r="N593" s="314"/>
      <c r="O593" s="314"/>
      <c r="P593" s="314"/>
      <c r="Q593" s="314"/>
    </row>
    <row r="594" spans="1:24" x14ac:dyDescent="0.45">
      <c r="A594" s="313">
        <v>28</v>
      </c>
      <c r="B594" s="424" t="s">
        <v>1048</v>
      </c>
      <c r="C594" s="312"/>
      <c r="D594" s="314">
        <v>53284218</v>
      </c>
      <c r="E594" s="314"/>
      <c r="F594" s="314">
        <v>50152056</v>
      </c>
      <c r="G594" s="314"/>
      <c r="H594" s="314">
        <v>2517072</v>
      </c>
      <c r="I594" s="314"/>
      <c r="J594" s="314">
        <v>615089</v>
      </c>
      <c r="K594" s="314">
        <v>323451</v>
      </c>
      <c r="L594" s="314">
        <v>291638</v>
      </c>
      <c r="M594" s="314"/>
      <c r="N594" s="314"/>
      <c r="O594" s="314"/>
      <c r="P594" s="314"/>
      <c r="Q594" s="314"/>
    </row>
    <row r="595" spans="1:24" x14ac:dyDescent="0.45">
      <c r="A595" s="313">
        <v>29</v>
      </c>
      <c r="B595" s="424" t="s">
        <v>1049</v>
      </c>
      <c r="C595" s="312"/>
      <c r="D595" s="314">
        <v>22878471</v>
      </c>
      <c r="E595" s="314"/>
      <c r="F595" s="314">
        <v>22157158</v>
      </c>
      <c r="G595" s="314"/>
      <c r="H595" s="314">
        <v>678002</v>
      </c>
      <c r="I595" s="314"/>
      <c r="J595" s="314">
        <v>106904</v>
      </c>
      <c r="K595" s="314">
        <v>49275</v>
      </c>
      <c r="L595" s="314">
        <v>57629</v>
      </c>
      <c r="M595" s="314"/>
      <c r="N595" s="314"/>
      <c r="O595" s="314"/>
      <c r="P595" s="314"/>
      <c r="Q595" s="314"/>
    </row>
    <row r="596" spans="1:24" x14ac:dyDescent="0.45">
      <c r="A596" s="313">
        <v>30</v>
      </c>
      <c r="B596" s="427" t="s">
        <v>1765</v>
      </c>
      <c r="C596" s="312"/>
      <c r="D596" s="314">
        <v>0</v>
      </c>
      <c r="E596" s="314"/>
      <c r="F596" s="314">
        <v>0</v>
      </c>
      <c r="G596" s="314"/>
      <c r="H596" s="314">
        <v>0</v>
      </c>
      <c r="I596" s="314"/>
      <c r="J596" s="314">
        <v>0</v>
      </c>
      <c r="K596" s="314">
        <v>0</v>
      </c>
      <c r="L596" s="314">
        <v>0</v>
      </c>
      <c r="M596" s="314"/>
      <c r="N596" s="314"/>
      <c r="O596" s="314"/>
      <c r="P596" s="314"/>
      <c r="Q596" s="314"/>
    </row>
    <row r="597" spans="1:24" x14ac:dyDescent="0.45">
      <c r="A597" s="313">
        <v>31</v>
      </c>
      <c r="B597" s="427" t="s">
        <v>1766</v>
      </c>
      <c r="C597" s="312"/>
      <c r="D597" s="314">
        <v>0</v>
      </c>
      <c r="E597" s="314"/>
      <c r="F597" s="314">
        <v>0</v>
      </c>
      <c r="G597" s="314"/>
      <c r="H597" s="314">
        <v>0</v>
      </c>
      <c r="I597" s="314"/>
      <c r="J597" s="314">
        <v>0</v>
      </c>
      <c r="K597" s="314">
        <v>0</v>
      </c>
      <c r="L597" s="314">
        <v>0</v>
      </c>
      <c r="M597" s="314"/>
      <c r="N597" s="314"/>
      <c r="O597" s="314"/>
      <c r="P597" s="314"/>
      <c r="Q597" s="314"/>
    </row>
    <row r="598" spans="1:24" x14ac:dyDescent="0.45">
      <c r="A598" s="313">
        <v>32</v>
      </c>
      <c r="B598" s="427" t="s">
        <v>1767</v>
      </c>
      <c r="C598" s="312"/>
      <c r="D598" s="314">
        <v>194934</v>
      </c>
      <c r="E598" s="314"/>
      <c r="F598" s="314">
        <v>0</v>
      </c>
      <c r="G598" s="314"/>
      <c r="H598" s="314">
        <v>4637</v>
      </c>
      <c r="I598" s="314"/>
      <c r="J598" s="314">
        <v>0</v>
      </c>
      <c r="K598" s="314">
        <v>0</v>
      </c>
      <c r="L598" s="314">
        <v>0</v>
      </c>
      <c r="M598" s="314"/>
      <c r="N598" s="314"/>
      <c r="O598" s="314"/>
      <c r="P598" s="314"/>
      <c r="Q598" s="314"/>
    </row>
    <row r="599" spans="1:24" x14ac:dyDescent="0.45">
      <c r="A599" s="313">
        <v>33</v>
      </c>
      <c r="B599" s="427" t="s">
        <v>1768</v>
      </c>
      <c r="C599" s="312"/>
      <c r="D599" s="314">
        <v>532644</v>
      </c>
      <c r="E599" s="314"/>
      <c r="F599" s="314">
        <v>0</v>
      </c>
      <c r="G599" s="314"/>
      <c r="H599" s="314">
        <v>18854</v>
      </c>
      <c r="I599" s="314"/>
      <c r="J599" s="314">
        <v>0</v>
      </c>
      <c r="K599" s="314">
        <v>0</v>
      </c>
      <c r="L599" s="314">
        <v>0</v>
      </c>
      <c r="M599" s="314"/>
      <c r="N599" s="314"/>
      <c r="O599" s="314"/>
      <c r="P599" s="314"/>
      <c r="Q599" s="314"/>
    </row>
    <row r="600" spans="1:24" x14ac:dyDescent="0.45">
      <c r="A600" s="313">
        <v>34</v>
      </c>
      <c r="B600" s="424" t="s">
        <v>1050</v>
      </c>
      <c r="C600" s="312"/>
      <c r="D600" s="314">
        <v>0</v>
      </c>
      <c r="E600" s="314"/>
      <c r="F600" s="314">
        <v>0</v>
      </c>
      <c r="G600" s="314"/>
      <c r="H600" s="314">
        <v>0</v>
      </c>
      <c r="I600" s="314"/>
      <c r="J600" s="314">
        <v>0</v>
      </c>
      <c r="K600" s="314">
        <v>0</v>
      </c>
      <c r="L600" s="314">
        <v>0</v>
      </c>
      <c r="M600" s="314"/>
      <c r="N600" s="314"/>
      <c r="O600" s="314"/>
      <c r="P600" s="314"/>
      <c r="Q600" s="314"/>
    </row>
    <row r="601" spans="1:24" x14ac:dyDescent="0.45">
      <c r="A601" s="313">
        <v>35</v>
      </c>
      <c r="B601" s="424" t="s">
        <v>1051</v>
      </c>
      <c r="C601" s="312"/>
      <c r="D601" s="314">
        <v>1443699434</v>
      </c>
      <c r="E601" s="314"/>
      <c r="F601" s="314">
        <v>1354932056</v>
      </c>
      <c r="G601" s="314"/>
      <c r="H601" s="314">
        <v>66407433</v>
      </c>
      <c r="I601" s="314"/>
      <c r="J601" s="314">
        <v>21719451</v>
      </c>
      <c r="K601" s="314">
        <v>11171666</v>
      </c>
      <c r="L601" s="314">
        <v>10547786</v>
      </c>
      <c r="M601" s="314"/>
      <c r="N601" s="314"/>
      <c r="O601" s="314"/>
      <c r="P601" s="314"/>
      <c r="Q601" s="314"/>
    </row>
    <row r="602" spans="1:24" ht="12.9" thickBot="1" x14ac:dyDescent="0.5">
      <c r="A602" s="45"/>
      <c r="B602" s="45"/>
      <c r="C602" s="312"/>
      <c r="D602" s="314"/>
      <c r="E602" s="314"/>
      <c r="F602" s="314"/>
      <c r="G602" s="314"/>
      <c r="H602" s="314"/>
      <c r="I602" s="314"/>
      <c r="J602" s="314"/>
      <c r="K602" s="314"/>
      <c r="L602" s="314"/>
      <c r="M602" s="314"/>
      <c r="N602" s="314"/>
      <c r="O602" s="314" t="s">
        <v>1769</v>
      </c>
      <c r="P602" s="314"/>
      <c r="Q602" s="314"/>
      <c r="T602" s="116"/>
    </row>
    <row r="603" spans="1:24" ht="12.9" thickBot="1" x14ac:dyDescent="0.5">
      <c r="A603" s="313">
        <v>36</v>
      </c>
      <c r="B603" s="424" t="s">
        <v>1052</v>
      </c>
      <c r="C603" s="312"/>
      <c r="D603" s="314">
        <v>303333736</v>
      </c>
      <c r="E603" s="314"/>
      <c r="F603" s="314">
        <v>289051001</v>
      </c>
      <c r="G603" s="314"/>
      <c r="H603" s="314">
        <v>12169795</v>
      </c>
      <c r="I603" s="314"/>
      <c r="J603" s="314">
        <v>2753434</v>
      </c>
      <c r="K603" s="314">
        <v>1428109</v>
      </c>
      <c r="L603" s="314">
        <v>1325325</v>
      </c>
      <c r="M603" s="314"/>
      <c r="N603" s="314"/>
      <c r="O603" s="314">
        <v>203907068</v>
      </c>
      <c r="P603" s="314"/>
      <c r="Q603" s="314"/>
      <c r="R603" s="493">
        <v>100154246.48</v>
      </c>
      <c r="S603" s="53" t="s">
        <v>2529</v>
      </c>
      <c r="T603" s="385"/>
      <c r="W603" s="356"/>
      <c r="X603" s="45"/>
    </row>
    <row r="604" spans="1:24" x14ac:dyDescent="0.45">
      <c r="A604" s="313">
        <v>37</v>
      </c>
      <c r="B604" s="424" t="s">
        <v>1053</v>
      </c>
      <c r="C604" s="312"/>
      <c r="D604" s="323">
        <v>4.9200000000000001E-2</v>
      </c>
      <c r="E604" s="45"/>
      <c r="F604" s="323">
        <v>4.9599999999999998E-2</v>
      </c>
      <c r="G604" s="323"/>
      <c r="H604" s="323">
        <v>3.8199999999999998E-2</v>
      </c>
      <c r="I604" s="323"/>
      <c r="J604" s="494">
        <v>3.5400000000000001E-2</v>
      </c>
      <c r="K604" s="323">
        <v>3.4799999999999998E-2</v>
      </c>
      <c r="L604" s="323">
        <v>3.5999999999999997E-2</v>
      </c>
      <c r="M604" s="323"/>
      <c r="N604" s="323"/>
      <c r="O604" s="323"/>
      <c r="P604" s="323"/>
      <c r="Q604" s="323"/>
      <c r="T604" s="357"/>
      <c r="W604" s="320"/>
    </row>
    <row r="605" spans="1:24" x14ac:dyDescent="0.45">
      <c r="A605" s="45"/>
      <c r="B605" s="45"/>
      <c r="C605" s="312"/>
      <c r="D605" s="45"/>
      <c r="E605" s="45"/>
      <c r="F605" s="45"/>
      <c r="G605" s="45"/>
      <c r="H605" s="45"/>
      <c r="I605" s="45"/>
      <c r="J605" s="45"/>
      <c r="K605" s="45"/>
      <c r="L605" s="45"/>
      <c r="M605" s="45"/>
      <c r="N605" s="45"/>
      <c r="O605" s="45"/>
      <c r="P605" s="45"/>
      <c r="Q605" s="45"/>
    </row>
    <row r="606" spans="1:24" x14ac:dyDescent="0.45">
      <c r="A606" s="45"/>
      <c r="B606" s="45"/>
      <c r="C606" s="312"/>
      <c r="D606" s="324"/>
      <c r="E606" s="45"/>
      <c r="F606" s="324"/>
      <c r="G606" s="324"/>
      <c r="H606" s="324"/>
      <c r="I606" s="324"/>
      <c r="J606" s="45"/>
      <c r="K606" s="324"/>
      <c r="L606" s="324"/>
      <c r="M606" s="324"/>
      <c r="N606" s="324"/>
      <c r="O606" s="324"/>
      <c r="P606" s="324"/>
      <c r="Q606" s="324"/>
    </row>
    <row r="607" spans="1:24" x14ac:dyDescent="0.45">
      <c r="A607" s="45"/>
      <c r="B607" s="45"/>
      <c r="C607" s="312"/>
      <c r="D607" s="45"/>
      <c r="E607" s="45"/>
      <c r="F607" s="45"/>
      <c r="G607" s="45"/>
      <c r="H607" s="45"/>
      <c r="I607" s="45"/>
      <c r="J607" s="45"/>
      <c r="K607" s="45"/>
      <c r="L607" s="45"/>
      <c r="M607" s="45"/>
      <c r="N607" s="45"/>
      <c r="O607" s="45"/>
      <c r="P607" s="45"/>
      <c r="Q607" s="45"/>
    </row>
    <row r="608" spans="1:24" x14ac:dyDescent="0.45">
      <c r="A608" s="45"/>
      <c r="B608" s="45"/>
      <c r="C608" s="312"/>
      <c r="D608" s="45"/>
      <c r="E608" s="45"/>
      <c r="F608" s="45"/>
      <c r="G608" s="45"/>
      <c r="H608" s="45"/>
      <c r="I608" s="45"/>
      <c r="J608" s="45"/>
      <c r="K608" s="45"/>
      <c r="L608" s="45"/>
      <c r="M608" s="45"/>
      <c r="N608" s="45"/>
      <c r="O608" s="45"/>
      <c r="P608" s="45"/>
      <c r="Q608" s="45"/>
    </row>
    <row r="609" spans="1:25" x14ac:dyDescent="0.45">
      <c r="A609" s="45"/>
      <c r="B609" s="426" t="s">
        <v>1054</v>
      </c>
      <c r="C609" s="312"/>
      <c r="D609" s="45"/>
      <c r="E609" s="45"/>
      <c r="F609" s="45"/>
      <c r="G609" s="45"/>
      <c r="H609" s="45"/>
      <c r="I609" s="45"/>
      <c r="J609" s="45"/>
      <c r="K609" s="45"/>
      <c r="L609" s="45"/>
      <c r="M609" s="45"/>
      <c r="N609" s="45"/>
      <c r="O609" s="45"/>
      <c r="P609" s="45"/>
      <c r="Q609" s="45"/>
    </row>
    <row r="610" spans="1:25" x14ac:dyDescent="0.45">
      <c r="A610" s="45"/>
      <c r="B610" s="45"/>
      <c r="C610" s="312"/>
      <c r="D610" s="45"/>
      <c r="E610" s="45"/>
      <c r="F610" s="45"/>
      <c r="G610" s="45"/>
      <c r="H610" s="45"/>
      <c r="I610" s="45"/>
      <c r="J610" s="45"/>
      <c r="K610" s="45"/>
      <c r="L610" s="45"/>
      <c r="M610" s="45"/>
      <c r="N610" s="45"/>
      <c r="O610" s="45"/>
      <c r="P610" s="45"/>
      <c r="Q610" s="45"/>
    </row>
    <row r="611" spans="1:25" x14ac:dyDescent="0.45">
      <c r="A611" s="45"/>
      <c r="B611" s="424" t="s">
        <v>1055</v>
      </c>
      <c r="C611" s="312"/>
      <c r="D611" s="45"/>
      <c r="E611" s="45"/>
      <c r="F611" s="45"/>
      <c r="G611" s="45"/>
      <c r="H611" s="45"/>
      <c r="I611" s="45"/>
      <c r="J611" s="45"/>
      <c r="K611" s="45"/>
      <c r="L611" s="45"/>
      <c r="M611" s="45"/>
      <c r="N611" s="45"/>
      <c r="O611" s="45"/>
      <c r="P611" s="45"/>
      <c r="Q611" s="45"/>
    </row>
    <row r="612" spans="1:25" x14ac:dyDescent="0.45">
      <c r="A612" s="313">
        <v>1</v>
      </c>
      <c r="B612" s="427" t="s">
        <v>1956</v>
      </c>
      <c r="C612" s="425" t="s">
        <v>1422</v>
      </c>
      <c r="D612" s="314">
        <v>44456</v>
      </c>
      <c r="E612" s="45"/>
      <c r="F612" s="314">
        <v>41552</v>
      </c>
      <c r="G612" s="314"/>
      <c r="H612" s="314">
        <v>2318</v>
      </c>
      <c r="I612" s="314"/>
      <c r="J612" s="314">
        <v>587</v>
      </c>
      <c r="K612" s="314">
        <v>307</v>
      </c>
      <c r="L612" s="314">
        <v>280</v>
      </c>
      <c r="M612" s="314"/>
      <c r="N612" s="314"/>
      <c r="O612" s="314">
        <v>44456</v>
      </c>
      <c r="P612" s="314"/>
      <c r="Q612" s="314"/>
      <c r="R612" s="314"/>
      <c r="S612" s="314"/>
      <c r="T612" s="314"/>
      <c r="U612" s="320"/>
      <c r="V612" s="320"/>
      <c r="W612" s="320"/>
      <c r="X612" s="320"/>
      <c r="Y612" s="320"/>
    </row>
    <row r="613" spans="1:25" x14ac:dyDescent="0.45">
      <c r="A613" s="313">
        <v>2</v>
      </c>
      <c r="B613" s="427" t="s">
        <v>1957</v>
      </c>
      <c r="C613" s="425" t="s">
        <v>1424</v>
      </c>
      <c r="D613" s="314">
        <v>144369</v>
      </c>
      <c r="E613" s="45"/>
      <c r="F613" s="314">
        <v>144369</v>
      </c>
      <c r="G613" s="314"/>
      <c r="H613" s="314">
        <v>0</v>
      </c>
      <c r="I613" s="314"/>
      <c r="J613" s="314">
        <v>0</v>
      </c>
      <c r="K613" s="314">
        <v>0</v>
      </c>
      <c r="L613" s="314">
        <v>0</v>
      </c>
      <c r="M613" s="314"/>
      <c r="N613" s="314"/>
      <c r="O613" s="314">
        <v>144369</v>
      </c>
      <c r="P613" s="314"/>
      <c r="Q613" s="314"/>
      <c r="R613" s="314"/>
      <c r="S613" s="314"/>
      <c r="T613" s="314"/>
      <c r="U613" s="325"/>
      <c r="V613" s="320"/>
      <c r="W613" s="320"/>
      <c r="X613" s="320"/>
      <c r="Y613" s="320"/>
    </row>
    <row r="614" spans="1:25" x14ac:dyDescent="0.45">
      <c r="A614" s="313">
        <v>3</v>
      </c>
      <c r="B614" s="427" t="s">
        <v>1958</v>
      </c>
      <c r="C614" s="425" t="s">
        <v>1422</v>
      </c>
      <c r="D614" s="314">
        <v>112943498</v>
      </c>
      <c r="E614" s="45"/>
      <c r="F614" s="314">
        <v>105565478</v>
      </c>
      <c r="G614" s="314"/>
      <c r="H614" s="314">
        <v>5887867</v>
      </c>
      <c r="I614" s="314"/>
      <c r="J614" s="314">
        <v>1490153</v>
      </c>
      <c r="K614" s="314">
        <v>779709</v>
      </c>
      <c r="L614" s="314">
        <v>710444</v>
      </c>
      <c r="M614" s="314"/>
      <c r="N614" s="314"/>
      <c r="O614" s="314">
        <v>112943498</v>
      </c>
      <c r="P614" s="314"/>
      <c r="Q614" s="314"/>
      <c r="R614" s="314"/>
      <c r="S614" s="314"/>
      <c r="T614" s="314"/>
      <c r="U614" s="325"/>
    </row>
    <row r="615" spans="1:25" x14ac:dyDescent="0.45">
      <c r="A615" s="313">
        <v>4</v>
      </c>
      <c r="B615" s="424" t="s">
        <v>1056</v>
      </c>
      <c r="C615" s="312"/>
      <c r="D615" s="314">
        <v>113132322</v>
      </c>
      <c r="E615" s="45"/>
      <c r="F615" s="314">
        <v>105751398</v>
      </c>
      <c r="G615" s="314"/>
      <c r="H615" s="314">
        <v>5890184</v>
      </c>
      <c r="I615" s="314"/>
      <c r="J615" s="314">
        <v>1490740</v>
      </c>
      <c r="K615" s="314">
        <v>780016</v>
      </c>
      <c r="L615" s="314">
        <v>710724</v>
      </c>
      <c r="M615" s="314"/>
      <c r="N615" s="314"/>
      <c r="O615" s="314"/>
      <c r="P615" s="314" t="s">
        <v>556</v>
      </c>
      <c r="Q615" s="314"/>
      <c r="R615" s="314"/>
      <c r="S615" s="314"/>
      <c r="T615" s="314"/>
      <c r="U615" s="325"/>
    </row>
    <row r="616" spans="1:25" x14ac:dyDescent="0.45">
      <c r="A616" s="45"/>
      <c r="B616" s="45"/>
      <c r="C616" s="312"/>
      <c r="D616" s="45"/>
      <c r="E616" s="45"/>
      <c r="F616" s="314"/>
      <c r="G616" s="314"/>
      <c r="H616" s="314"/>
      <c r="I616" s="314"/>
      <c r="J616" s="314"/>
      <c r="K616" s="314"/>
      <c r="L616" s="314"/>
      <c r="M616" s="314"/>
      <c r="N616" s="314"/>
      <c r="O616" s="314"/>
      <c r="P616" s="314"/>
      <c r="Q616" s="314"/>
      <c r="R616" s="314"/>
      <c r="S616" s="314"/>
      <c r="T616" s="314"/>
    </row>
    <row r="617" spans="1:25" x14ac:dyDescent="0.45">
      <c r="A617" s="45"/>
      <c r="B617" s="424" t="s">
        <v>1057</v>
      </c>
      <c r="C617" s="312"/>
      <c r="D617" s="45"/>
      <c r="E617" s="45"/>
      <c r="F617" s="314"/>
      <c r="G617" s="314"/>
      <c r="H617" s="314"/>
      <c r="I617" s="314"/>
      <c r="J617" s="314"/>
      <c r="K617" s="314"/>
      <c r="L617" s="314"/>
      <c r="M617" s="314"/>
      <c r="N617" s="314"/>
      <c r="O617" s="314"/>
      <c r="P617" s="314"/>
      <c r="Q617" s="314"/>
      <c r="R617" s="314"/>
      <c r="S617" s="314"/>
      <c r="T617" s="314"/>
      <c r="U617" s="320"/>
      <c r="V617" s="320"/>
      <c r="W617" s="320"/>
      <c r="X617" s="320"/>
      <c r="Y617" s="320"/>
    </row>
    <row r="618" spans="1:25" x14ac:dyDescent="0.45">
      <c r="A618" s="45"/>
      <c r="B618" s="427" t="s">
        <v>1959</v>
      </c>
      <c r="C618" s="312"/>
      <c r="D618" s="45"/>
      <c r="E618" s="45"/>
      <c r="F618" s="314"/>
      <c r="G618" s="314"/>
      <c r="H618" s="314"/>
      <c r="I618" s="314"/>
      <c r="J618" s="314"/>
      <c r="K618" s="314"/>
      <c r="L618" s="314"/>
      <c r="M618" s="314"/>
      <c r="N618" s="314"/>
      <c r="O618" s="314"/>
      <c r="P618" s="314"/>
      <c r="Q618" s="314"/>
      <c r="R618" s="314" t="s">
        <v>1987</v>
      </c>
      <c r="S618" s="314"/>
      <c r="T618" s="314"/>
      <c r="U618" s="320"/>
      <c r="V618" s="320"/>
      <c r="W618" s="325"/>
      <c r="X618" s="320"/>
      <c r="Y618" s="320"/>
    </row>
    <row r="619" spans="1:25" x14ac:dyDescent="0.45">
      <c r="A619" s="313">
        <v>5</v>
      </c>
      <c r="B619" s="427" t="s">
        <v>1960</v>
      </c>
      <c r="C619" s="425" t="s">
        <v>1269</v>
      </c>
      <c r="D619" s="314">
        <v>25383482</v>
      </c>
      <c r="E619" s="45"/>
      <c r="F619" s="314">
        <v>23812574</v>
      </c>
      <c r="G619" s="314"/>
      <c r="H619" s="314">
        <v>1078420</v>
      </c>
      <c r="I619" s="314"/>
      <c r="J619" s="314">
        <v>492487</v>
      </c>
      <c r="K619" s="314">
        <v>249817</v>
      </c>
      <c r="L619" s="314">
        <v>242670</v>
      </c>
      <c r="M619" s="314"/>
      <c r="N619" s="314"/>
      <c r="O619" s="314">
        <v>25383482</v>
      </c>
      <c r="P619" s="314"/>
      <c r="Q619" s="314"/>
      <c r="R619" s="314"/>
      <c r="S619" s="314"/>
      <c r="T619" s="314"/>
      <c r="U619" s="325"/>
      <c r="V619" s="320"/>
      <c r="W619" s="320"/>
      <c r="X619" s="320"/>
      <c r="Y619" s="320"/>
    </row>
    <row r="620" spans="1:25" x14ac:dyDescent="0.45">
      <c r="A620" s="313">
        <v>6</v>
      </c>
      <c r="B620" s="427" t="s">
        <v>1961</v>
      </c>
      <c r="C620" s="425" t="s">
        <v>1269</v>
      </c>
      <c r="D620" s="314">
        <v>356830966</v>
      </c>
      <c r="E620" s="45"/>
      <c r="F620" s="314">
        <v>334747763</v>
      </c>
      <c r="G620" s="314"/>
      <c r="H620" s="314">
        <v>15160008</v>
      </c>
      <c r="I620" s="314"/>
      <c r="J620" s="314">
        <v>6923194</v>
      </c>
      <c r="K620" s="314">
        <v>3511832</v>
      </c>
      <c r="L620" s="314">
        <v>3411363</v>
      </c>
      <c r="M620" s="314"/>
      <c r="N620" s="314"/>
      <c r="O620" s="314">
        <v>356830966</v>
      </c>
      <c r="P620" s="314"/>
      <c r="Q620" s="314"/>
      <c r="R620" s="314">
        <v>1253854</v>
      </c>
      <c r="S620" s="314"/>
      <c r="T620" s="314"/>
      <c r="U620" s="325"/>
      <c r="V620" s="320"/>
      <c r="W620" s="320"/>
      <c r="X620" s="320"/>
      <c r="Y620" s="320"/>
    </row>
    <row r="621" spans="1:25" x14ac:dyDescent="0.45">
      <c r="A621" s="313">
        <v>7</v>
      </c>
      <c r="B621" s="427" t="s">
        <v>1962</v>
      </c>
      <c r="C621" s="425" t="s">
        <v>1269</v>
      </c>
      <c r="D621" s="314">
        <v>4413195225</v>
      </c>
      <c r="E621" s="45"/>
      <c r="F621" s="314">
        <v>4140075759</v>
      </c>
      <c r="G621" s="314"/>
      <c r="H621" s="314">
        <v>187495147</v>
      </c>
      <c r="I621" s="314"/>
      <c r="J621" s="314">
        <v>85624318</v>
      </c>
      <c r="K621" s="314">
        <v>43433445</v>
      </c>
      <c r="L621" s="314">
        <v>42190873</v>
      </c>
      <c r="M621" s="314"/>
      <c r="N621" s="314"/>
      <c r="O621" s="314">
        <v>4413195225</v>
      </c>
      <c r="P621" s="314"/>
      <c r="Q621" s="314"/>
      <c r="R621" s="314">
        <v>9653592</v>
      </c>
      <c r="S621" s="314"/>
      <c r="T621" s="314"/>
      <c r="U621" s="325"/>
      <c r="V621" s="320"/>
      <c r="W621" s="320"/>
      <c r="X621" s="320"/>
      <c r="Y621" s="320"/>
    </row>
    <row r="622" spans="1:25" x14ac:dyDescent="0.45">
      <c r="A622" s="313">
        <v>8</v>
      </c>
      <c r="B622" s="427" t="s">
        <v>1963</v>
      </c>
      <c r="C622" s="425" t="s">
        <v>1269</v>
      </c>
      <c r="D622" s="314">
        <v>371776675</v>
      </c>
      <c r="E622" s="45"/>
      <c r="F622" s="314">
        <v>348768527</v>
      </c>
      <c r="G622" s="314"/>
      <c r="H622" s="314">
        <v>15794978</v>
      </c>
      <c r="I622" s="314"/>
      <c r="J622" s="314">
        <v>7213169</v>
      </c>
      <c r="K622" s="314">
        <v>3658923</v>
      </c>
      <c r="L622" s="314">
        <v>3554246</v>
      </c>
      <c r="M622" s="314"/>
      <c r="N622" s="314"/>
      <c r="O622" s="314">
        <v>371776675</v>
      </c>
      <c r="P622" s="314"/>
      <c r="Q622" s="314"/>
      <c r="R622" s="314">
        <v>1538557</v>
      </c>
      <c r="S622" s="314"/>
      <c r="T622" s="314"/>
      <c r="U622" s="325"/>
      <c r="V622" s="320"/>
      <c r="W622" s="320"/>
      <c r="X622" s="320"/>
      <c r="Y622" s="320"/>
    </row>
    <row r="623" spans="1:25" x14ac:dyDescent="0.45">
      <c r="A623" s="313">
        <v>9</v>
      </c>
      <c r="B623" s="427" t="s">
        <v>1964</v>
      </c>
      <c r="C623" s="425" t="s">
        <v>1269</v>
      </c>
      <c r="D623" s="314">
        <v>260025217</v>
      </c>
      <c r="E623" s="45"/>
      <c r="F623" s="314">
        <v>243933033</v>
      </c>
      <c r="G623" s="314"/>
      <c r="H623" s="314">
        <v>11047204</v>
      </c>
      <c r="I623" s="314"/>
      <c r="J623" s="314">
        <v>5044980</v>
      </c>
      <c r="K623" s="314">
        <v>2559096</v>
      </c>
      <c r="L623" s="314">
        <v>2485884</v>
      </c>
      <c r="M623" s="314"/>
      <c r="N623" s="314"/>
      <c r="O623" s="314">
        <v>260025217</v>
      </c>
      <c r="P623" s="314"/>
      <c r="Q623" s="314"/>
      <c r="R623" s="314">
        <v>1111502</v>
      </c>
      <c r="S623" s="314"/>
      <c r="T623" s="314"/>
      <c r="U623" s="325"/>
      <c r="V623" s="320"/>
      <c r="W623" s="320"/>
      <c r="X623" s="320"/>
      <c r="Y623" s="320"/>
    </row>
    <row r="624" spans="1:25" x14ac:dyDescent="0.45">
      <c r="A624" s="313">
        <v>10</v>
      </c>
      <c r="B624" s="427" t="s">
        <v>1965</v>
      </c>
      <c r="C624" s="425" t="s">
        <v>1269</v>
      </c>
      <c r="D624" s="314">
        <v>47960436</v>
      </c>
      <c r="E624" s="45"/>
      <c r="F624" s="314">
        <v>44992308</v>
      </c>
      <c r="G624" s="314"/>
      <c r="H624" s="314">
        <v>2037605</v>
      </c>
      <c r="I624" s="314"/>
      <c r="J624" s="314">
        <v>930523</v>
      </c>
      <c r="K624" s="314">
        <v>472013</v>
      </c>
      <c r="L624" s="314">
        <v>458510</v>
      </c>
      <c r="M624" s="314"/>
      <c r="N624" s="314"/>
      <c r="O624" s="314">
        <v>47960436</v>
      </c>
      <c r="P624" s="314"/>
      <c r="Q624" s="314"/>
      <c r="R624" s="314">
        <v>99995</v>
      </c>
      <c r="S624" s="314"/>
      <c r="T624" s="314"/>
      <c r="U624" s="325"/>
      <c r="V624" s="320"/>
      <c r="W624" s="320"/>
      <c r="X624" s="320"/>
      <c r="Y624" s="320"/>
    </row>
    <row r="625" spans="1:25" x14ac:dyDescent="0.45">
      <c r="A625" s="313">
        <v>11</v>
      </c>
      <c r="B625" s="427" t="s">
        <v>1966</v>
      </c>
      <c r="C625" s="425" t="s">
        <v>1269</v>
      </c>
      <c r="D625" s="314">
        <v>158472628</v>
      </c>
      <c r="E625" s="45"/>
      <c r="F625" s="314">
        <v>148665231</v>
      </c>
      <c r="G625" s="314"/>
      <c r="H625" s="314">
        <v>6732729</v>
      </c>
      <c r="I625" s="314"/>
      <c r="J625" s="314">
        <v>3074668</v>
      </c>
      <c r="K625" s="314">
        <v>1559644</v>
      </c>
      <c r="L625" s="314">
        <v>1515024</v>
      </c>
      <c r="M625" s="314"/>
      <c r="N625" s="314"/>
      <c r="O625" s="314">
        <v>158472628</v>
      </c>
      <c r="P625" s="314"/>
      <c r="Q625" s="314"/>
      <c r="R625" s="314">
        <v>13657500</v>
      </c>
      <c r="S625" s="314"/>
      <c r="T625" s="314"/>
      <c r="U625" s="325"/>
      <c r="V625" s="320"/>
      <c r="W625" s="320"/>
      <c r="X625" s="320"/>
      <c r="Y625" s="320"/>
    </row>
    <row r="626" spans="1:25" x14ac:dyDescent="0.45">
      <c r="A626" s="313">
        <v>12</v>
      </c>
      <c r="B626" s="427" t="s">
        <v>1967</v>
      </c>
      <c r="C626" s="425" t="s">
        <v>1271</v>
      </c>
      <c r="D626" s="314">
        <v>7769120</v>
      </c>
      <c r="E626" s="45"/>
      <c r="F626" s="314">
        <v>3996228</v>
      </c>
      <c r="G626" s="314"/>
      <c r="H626" s="314">
        <v>2590071</v>
      </c>
      <c r="I626" s="314"/>
      <c r="J626" s="314">
        <v>1182820</v>
      </c>
      <c r="K626" s="314">
        <v>599993</v>
      </c>
      <c r="L626" s="314">
        <v>582828</v>
      </c>
      <c r="M626" s="314"/>
      <c r="N626" s="314"/>
      <c r="O626" s="314">
        <v>7769120</v>
      </c>
      <c r="P626" s="314"/>
      <c r="Q626" s="314"/>
      <c r="R626" s="314"/>
      <c r="S626" s="314"/>
      <c r="T626" s="314"/>
      <c r="U626" s="325"/>
    </row>
    <row r="627" spans="1:25" x14ac:dyDescent="0.45">
      <c r="A627" s="313">
        <v>13</v>
      </c>
      <c r="B627" s="427" t="s">
        <v>1968</v>
      </c>
      <c r="C627" s="425" t="s">
        <v>1277</v>
      </c>
      <c r="D627" s="314">
        <v>5888380</v>
      </c>
      <c r="E627" s="45"/>
      <c r="F627" s="314">
        <v>4543558</v>
      </c>
      <c r="G627" s="314"/>
      <c r="H627" s="314">
        <v>0</v>
      </c>
      <c r="I627" s="314"/>
      <c r="J627" s="314">
        <v>1344822</v>
      </c>
      <c r="K627" s="314">
        <v>682169</v>
      </c>
      <c r="L627" s="314">
        <v>662653</v>
      </c>
      <c r="M627" s="314"/>
      <c r="N627" s="314"/>
      <c r="O627" s="314">
        <v>5888380</v>
      </c>
      <c r="P627" s="314"/>
      <c r="Q627" s="314"/>
      <c r="R627" s="314"/>
      <c r="S627" s="314"/>
      <c r="T627" s="314"/>
      <c r="U627" s="325"/>
    </row>
    <row r="628" spans="1:25" x14ac:dyDescent="0.45">
      <c r="A628" s="313">
        <v>14</v>
      </c>
      <c r="B628" s="427" t="s">
        <v>1354</v>
      </c>
      <c r="C628" s="45"/>
      <c r="D628" s="314">
        <v>5647302128</v>
      </c>
      <c r="E628" s="45"/>
      <c r="F628" s="314">
        <v>5293534982</v>
      </c>
      <c r="G628" s="314"/>
      <c r="H628" s="314">
        <v>241936163</v>
      </c>
      <c r="I628" s="314"/>
      <c r="J628" s="314">
        <v>111830983</v>
      </c>
      <c r="K628" s="314">
        <v>56726932</v>
      </c>
      <c r="L628" s="314">
        <v>55104051</v>
      </c>
      <c r="M628" s="314"/>
      <c r="N628" s="314"/>
      <c r="O628" s="314">
        <v>5647302128</v>
      </c>
      <c r="P628" s="314" t="s">
        <v>556</v>
      </c>
      <c r="Q628" s="314" t="s">
        <v>556</v>
      </c>
      <c r="R628" s="314" t="s">
        <v>1060</v>
      </c>
      <c r="S628" s="314"/>
      <c r="T628" s="314"/>
      <c r="U628" s="325"/>
      <c r="V628" s="325"/>
    </row>
    <row r="629" spans="1:25" x14ac:dyDescent="0.45">
      <c r="A629" s="45"/>
      <c r="B629" s="45"/>
      <c r="C629" s="45"/>
      <c r="D629" s="45"/>
      <c r="E629" s="45"/>
      <c r="F629" s="314"/>
      <c r="G629" s="314"/>
      <c r="H629" s="314"/>
      <c r="I629" s="314"/>
      <c r="J629" s="314"/>
      <c r="K629" s="314"/>
      <c r="L629" s="314"/>
      <c r="M629" s="314"/>
      <c r="N629" s="314"/>
      <c r="O629" s="314"/>
      <c r="P629" s="314"/>
      <c r="Q629" s="314"/>
      <c r="R629" s="314"/>
      <c r="S629" s="314"/>
      <c r="T629" s="314"/>
      <c r="U629" s="320"/>
      <c r="V629" s="320"/>
      <c r="W629" s="320"/>
      <c r="X629" s="320"/>
      <c r="Y629" s="320"/>
    </row>
    <row r="630" spans="1:25" x14ac:dyDescent="0.45">
      <c r="A630" s="45"/>
      <c r="B630" s="427" t="s">
        <v>1969</v>
      </c>
      <c r="C630" s="312"/>
      <c r="D630" s="45"/>
      <c r="E630" s="45"/>
      <c r="F630" s="314"/>
      <c r="G630" s="314"/>
      <c r="H630" s="314"/>
      <c r="I630" s="314"/>
      <c r="J630" s="314"/>
      <c r="K630" s="314"/>
      <c r="L630" s="314"/>
      <c r="M630" s="314"/>
      <c r="N630" s="314"/>
      <c r="O630" s="314"/>
      <c r="P630" s="314"/>
      <c r="Q630" s="314"/>
      <c r="R630" s="314"/>
      <c r="S630" s="314"/>
      <c r="T630" s="314"/>
      <c r="U630" s="320"/>
      <c r="V630" s="320"/>
      <c r="W630" s="320"/>
      <c r="X630" s="320"/>
      <c r="Y630" s="320"/>
    </row>
    <row r="631" spans="1:25" x14ac:dyDescent="0.45">
      <c r="A631" s="313">
        <v>15</v>
      </c>
      <c r="B631" s="427" t="s">
        <v>1970</v>
      </c>
      <c r="C631" s="425" t="s">
        <v>1269</v>
      </c>
      <c r="D631" s="314">
        <v>855636</v>
      </c>
      <c r="E631" s="45"/>
      <c r="F631" s="314">
        <v>802684</v>
      </c>
      <c r="G631" s="314"/>
      <c r="H631" s="314">
        <v>36352</v>
      </c>
      <c r="I631" s="314"/>
      <c r="J631" s="314">
        <v>16601</v>
      </c>
      <c r="K631" s="314">
        <v>8421</v>
      </c>
      <c r="L631" s="314">
        <v>8180</v>
      </c>
      <c r="M631" s="314"/>
      <c r="N631" s="314"/>
      <c r="O631" s="314">
        <v>855636</v>
      </c>
      <c r="P631" s="314"/>
      <c r="Q631" s="314"/>
      <c r="R631" s="314"/>
      <c r="S631" s="314"/>
      <c r="T631" s="314"/>
      <c r="U631" s="325"/>
      <c r="V631" s="320"/>
      <c r="W631" s="320"/>
      <c r="X631" s="320"/>
      <c r="Y631" s="320"/>
    </row>
    <row r="632" spans="1:25" x14ac:dyDescent="0.45">
      <c r="A632" s="313">
        <v>16</v>
      </c>
      <c r="B632" s="427" t="s">
        <v>1971</v>
      </c>
      <c r="C632" s="425" t="s">
        <v>1269</v>
      </c>
      <c r="D632" s="314">
        <v>5185319</v>
      </c>
      <c r="E632" s="45"/>
      <c r="F632" s="314">
        <v>4864416</v>
      </c>
      <c r="G632" s="314"/>
      <c r="H632" s="314">
        <v>220299</v>
      </c>
      <c r="I632" s="314"/>
      <c r="J632" s="314">
        <v>100605</v>
      </c>
      <c r="K632" s="314">
        <v>51032</v>
      </c>
      <c r="L632" s="314">
        <v>49573</v>
      </c>
      <c r="M632" s="314"/>
      <c r="N632" s="314"/>
      <c r="O632" s="314">
        <v>5185319</v>
      </c>
      <c r="P632" s="314"/>
      <c r="Q632" s="314"/>
      <c r="R632" s="314">
        <v>851</v>
      </c>
      <c r="S632" s="314"/>
      <c r="T632" s="314"/>
      <c r="U632" s="325"/>
      <c r="V632" s="320"/>
      <c r="W632" s="320"/>
      <c r="X632" s="320"/>
      <c r="Y632" s="320"/>
    </row>
    <row r="633" spans="1:25" x14ac:dyDescent="0.45">
      <c r="A633" s="313">
        <v>17</v>
      </c>
      <c r="B633" s="427" t="s">
        <v>1972</v>
      </c>
      <c r="C633" s="425" t="s">
        <v>1269</v>
      </c>
      <c r="D633" s="314">
        <v>25900914</v>
      </c>
      <c r="E633" s="45"/>
      <c r="F633" s="314">
        <v>24297984</v>
      </c>
      <c r="G633" s="314"/>
      <c r="H633" s="314">
        <v>1100404</v>
      </c>
      <c r="I633" s="314"/>
      <c r="J633" s="314">
        <v>502527</v>
      </c>
      <c r="K633" s="314">
        <v>254910</v>
      </c>
      <c r="L633" s="314">
        <v>247617</v>
      </c>
      <c r="M633" s="314"/>
      <c r="N633" s="314"/>
      <c r="O633" s="314">
        <v>25900914</v>
      </c>
      <c r="P633" s="314"/>
      <c r="Q633" s="314"/>
      <c r="R633" s="314">
        <v>9500</v>
      </c>
      <c r="S633" s="314"/>
      <c r="T633" s="314"/>
      <c r="U633" s="325"/>
      <c r="V633" s="320"/>
      <c r="W633" s="320"/>
      <c r="X633" s="320"/>
      <c r="Y633" s="320"/>
    </row>
    <row r="634" spans="1:25" x14ac:dyDescent="0.45">
      <c r="A634" s="313">
        <v>18</v>
      </c>
      <c r="B634" s="427" t="s">
        <v>1973</v>
      </c>
      <c r="C634" s="425" t="s">
        <v>1269</v>
      </c>
      <c r="D634" s="314">
        <v>14864455</v>
      </c>
      <c r="E634" s="45"/>
      <c r="F634" s="314">
        <v>13944538</v>
      </c>
      <c r="G634" s="314"/>
      <c r="H634" s="314">
        <v>631518</v>
      </c>
      <c r="I634" s="314"/>
      <c r="J634" s="314">
        <v>288398</v>
      </c>
      <c r="K634" s="314">
        <v>146292</v>
      </c>
      <c r="L634" s="314">
        <v>142107</v>
      </c>
      <c r="M634" s="314"/>
      <c r="N634" s="314"/>
      <c r="O634" s="314">
        <v>14864455</v>
      </c>
      <c r="P634" s="314"/>
      <c r="Q634" s="314"/>
      <c r="R634" s="314">
        <v>12939</v>
      </c>
      <c r="S634" s="314"/>
      <c r="T634" s="314"/>
      <c r="U634" s="325"/>
      <c r="V634" s="320"/>
      <c r="W634" s="320"/>
      <c r="X634" s="320"/>
      <c r="Y634" s="320"/>
    </row>
    <row r="635" spans="1:25" x14ac:dyDescent="0.45">
      <c r="A635" s="313">
        <v>19</v>
      </c>
      <c r="B635" s="427" t="s">
        <v>1974</v>
      </c>
      <c r="C635" s="425" t="s">
        <v>1269</v>
      </c>
      <c r="D635" s="314">
        <v>1388844</v>
      </c>
      <c r="E635" s="45"/>
      <c r="F635" s="314">
        <v>1302892</v>
      </c>
      <c r="G635" s="314"/>
      <c r="H635" s="314">
        <v>59005</v>
      </c>
      <c r="I635" s="314"/>
      <c r="J635" s="314">
        <v>26946</v>
      </c>
      <c r="K635" s="314">
        <v>13669</v>
      </c>
      <c r="L635" s="314">
        <v>13278</v>
      </c>
      <c r="M635" s="314"/>
      <c r="N635" s="314"/>
      <c r="O635" s="314">
        <v>1388844</v>
      </c>
      <c r="P635" s="314"/>
      <c r="Q635" s="314"/>
      <c r="R635" s="314">
        <v>859</v>
      </c>
      <c r="S635" s="314"/>
      <c r="T635" s="314"/>
      <c r="U635" s="325"/>
      <c r="V635" s="320"/>
      <c r="W635" s="320"/>
      <c r="X635" s="320"/>
      <c r="Y635" s="320"/>
    </row>
    <row r="636" spans="1:25" x14ac:dyDescent="0.45">
      <c r="A636" s="313">
        <v>20</v>
      </c>
      <c r="B636" s="427" t="s">
        <v>1975</v>
      </c>
      <c r="C636" s="425" t="s">
        <v>1269</v>
      </c>
      <c r="D636" s="314">
        <v>328985</v>
      </c>
      <c r="E636" s="45"/>
      <c r="F636" s="314">
        <v>308625</v>
      </c>
      <c r="G636" s="314"/>
      <c r="H636" s="314">
        <v>13977</v>
      </c>
      <c r="I636" s="314"/>
      <c r="J636" s="314">
        <v>6383</v>
      </c>
      <c r="K636" s="314">
        <v>3238</v>
      </c>
      <c r="L636" s="314">
        <v>3145</v>
      </c>
      <c r="M636" s="314"/>
      <c r="N636" s="314"/>
      <c r="O636" s="314">
        <v>328985</v>
      </c>
      <c r="P636" s="314"/>
      <c r="Q636" s="314"/>
      <c r="R636" s="314">
        <v>389</v>
      </c>
      <c r="S636" s="314"/>
      <c r="T636" s="314"/>
      <c r="U636" s="325"/>
      <c r="V636" s="320"/>
      <c r="W636" s="320"/>
      <c r="X636" s="320"/>
      <c r="Y636" s="320"/>
    </row>
    <row r="637" spans="1:25" x14ac:dyDescent="0.45">
      <c r="A637" s="313">
        <v>21</v>
      </c>
      <c r="B637" s="427" t="s">
        <v>1976</v>
      </c>
      <c r="C637" s="425" t="s">
        <v>1269</v>
      </c>
      <c r="D637" s="314">
        <v>198900</v>
      </c>
      <c r="E637" s="45"/>
      <c r="F637" s="314">
        <v>186591</v>
      </c>
      <c r="G637" s="314"/>
      <c r="H637" s="314">
        <v>8450</v>
      </c>
      <c r="I637" s="314"/>
      <c r="J637" s="314">
        <v>3859</v>
      </c>
      <c r="K637" s="314">
        <v>1958</v>
      </c>
      <c r="L637" s="314">
        <v>1902</v>
      </c>
      <c r="M637" s="314"/>
      <c r="N637" s="314"/>
      <c r="O637" s="314">
        <v>198900</v>
      </c>
      <c r="P637" s="314"/>
      <c r="Q637" s="314"/>
      <c r="R637" s="314">
        <v>24539</v>
      </c>
      <c r="S637" s="314"/>
      <c r="T637" s="314"/>
      <c r="U637" s="325"/>
      <c r="V637" s="320"/>
      <c r="W637" s="320"/>
      <c r="X637" s="320"/>
      <c r="Y637" s="320"/>
    </row>
    <row r="638" spans="1:25" x14ac:dyDescent="0.45">
      <c r="A638" s="313">
        <v>22</v>
      </c>
      <c r="B638" s="427" t="s">
        <v>1977</v>
      </c>
      <c r="C638" s="425" t="s">
        <v>1269</v>
      </c>
      <c r="D638" s="314">
        <v>645788</v>
      </c>
      <c r="E638" s="45"/>
      <c r="F638" s="314">
        <v>605822</v>
      </c>
      <c r="G638" s="314"/>
      <c r="H638" s="314">
        <v>27436</v>
      </c>
      <c r="I638" s="314"/>
      <c r="J638" s="314">
        <v>12530</v>
      </c>
      <c r="K638" s="314">
        <v>6356</v>
      </c>
      <c r="L638" s="314">
        <v>6174</v>
      </c>
      <c r="M638" s="314"/>
      <c r="N638" s="314"/>
      <c r="O638" s="314">
        <v>645788</v>
      </c>
      <c r="P638" s="314"/>
      <c r="Q638" s="314"/>
      <c r="R638" s="314"/>
      <c r="S638" s="314"/>
      <c r="T638" s="314"/>
      <c r="U638" s="325"/>
      <c r="V638" s="320"/>
      <c r="W638" s="320"/>
      <c r="X638" s="320"/>
      <c r="Y638" s="320"/>
    </row>
    <row r="639" spans="1:25" x14ac:dyDescent="0.45">
      <c r="A639" s="313">
        <v>23</v>
      </c>
      <c r="B639" s="427" t="s">
        <v>1967</v>
      </c>
      <c r="C639" s="425" t="s">
        <v>1271</v>
      </c>
      <c r="D639" s="314">
        <v>389</v>
      </c>
      <c r="E639" s="45"/>
      <c r="F639" s="314">
        <v>200</v>
      </c>
      <c r="G639" s="314"/>
      <c r="H639" s="314">
        <v>130</v>
      </c>
      <c r="I639" s="314"/>
      <c r="J639" s="314">
        <v>59</v>
      </c>
      <c r="K639" s="314">
        <v>30</v>
      </c>
      <c r="L639" s="314">
        <v>29</v>
      </c>
      <c r="M639" s="314"/>
      <c r="N639" s="314"/>
      <c r="O639" s="314">
        <v>389</v>
      </c>
      <c r="P639" s="314"/>
      <c r="Q639" s="314"/>
      <c r="R639" s="314"/>
      <c r="S639" s="314"/>
      <c r="T639" s="314"/>
      <c r="U639" s="325"/>
    </row>
    <row r="640" spans="1:25" x14ac:dyDescent="0.45">
      <c r="A640" s="313">
        <v>24</v>
      </c>
      <c r="B640" s="427" t="s">
        <v>1968</v>
      </c>
      <c r="C640" s="425" t="s">
        <v>1277</v>
      </c>
      <c r="D640" s="314">
        <v>24150</v>
      </c>
      <c r="E640" s="45"/>
      <c r="F640" s="314">
        <v>18634</v>
      </c>
      <c r="G640" s="314"/>
      <c r="H640" s="314">
        <v>0</v>
      </c>
      <c r="I640" s="314"/>
      <c r="J640" s="314">
        <v>5515</v>
      </c>
      <c r="K640" s="314">
        <v>2798</v>
      </c>
      <c r="L640" s="314">
        <v>2718</v>
      </c>
      <c r="M640" s="314"/>
      <c r="N640" s="314"/>
      <c r="O640" s="314">
        <v>24150</v>
      </c>
      <c r="P640" s="314"/>
      <c r="Q640" s="314"/>
      <c r="R640" s="314"/>
      <c r="S640" s="314"/>
      <c r="T640" s="314"/>
      <c r="U640" s="325"/>
    </row>
    <row r="641" spans="1:25" x14ac:dyDescent="0.45">
      <c r="A641" s="313">
        <v>25</v>
      </c>
      <c r="B641" s="424" t="s">
        <v>1061</v>
      </c>
      <c r="C641" s="45"/>
      <c r="D641" s="314">
        <v>49393380</v>
      </c>
      <c r="E641" s="45"/>
      <c r="F641" s="314">
        <v>46332385</v>
      </c>
      <c r="G641" s="314"/>
      <c r="H641" s="314">
        <v>2097571</v>
      </c>
      <c r="I641" s="314"/>
      <c r="J641" s="314">
        <v>963423</v>
      </c>
      <c r="K641" s="314">
        <v>488702</v>
      </c>
      <c r="L641" s="314">
        <v>474721</v>
      </c>
      <c r="M641" s="314"/>
      <c r="N641" s="314"/>
      <c r="O641" s="314">
        <v>49393380</v>
      </c>
      <c r="P641" s="314" t="s">
        <v>556</v>
      </c>
      <c r="Q641" s="314" t="s">
        <v>556</v>
      </c>
      <c r="R641" s="314" t="s">
        <v>1062</v>
      </c>
      <c r="S641" s="314"/>
      <c r="T641" s="314"/>
      <c r="U641" s="325"/>
      <c r="V641" s="325"/>
    </row>
    <row r="642" spans="1:25" x14ac:dyDescent="0.45">
      <c r="A642" s="45"/>
      <c r="B642" s="45"/>
      <c r="C642" s="45"/>
      <c r="D642" s="45"/>
      <c r="E642" s="45"/>
      <c r="F642" s="314"/>
      <c r="G642" s="314"/>
      <c r="H642" s="314"/>
      <c r="I642" s="314"/>
      <c r="J642" s="314"/>
      <c r="K642" s="314"/>
      <c r="L642" s="314"/>
      <c r="M642" s="314"/>
      <c r="N642" s="314"/>
      <c r="O642" s="314"/>
      <c r="P642" s="314"/>
      <c r="Q642" s="314"/>
      <c r="R642" s="314"/>
      <c r="S642" s="314"/>
      <c r="T642" s="314"/>
      <c r="U642" s="320"/>
      <c r="V642" s="320"/>
      <c r="W642" s="320"/>
      <c r="X642" s="320"/>
      <c r="Y642" s="320"/>
    </row>
    <row r="643" spans="1:25" x14ac:dyDescent="0.45">
      <c r="A643" s="45"/>
      <c r="B643" s="427" t="s">
        <v>1978</v>
      </c>
      <c r="C643" s="312"/>
      <c r="D643" s="45"/>
      <c r="E643" s="45"/>
      <c r="F643" s="314"/>
      <c r="G643" s="314"/>
      <c r="H643" s="314"/>
      <c r="I643" s="314"/>
      <c r="J643" s="314"/>
      <c r="K643" s="314"/>
      <c r="L643" s="314"/>
      <c r="M643" s="314"/>
      <c r="N643" s="314"/>
      <c r="O643" s="314"/>
      <c r="P643" s="314"/>
      <c r="Q643" s="314"/>
      <c r="R643" s="314"/>
      <c r="S643" s="314" t="s">
        <v>2530</v>
      </c>
      <c r="T643" s="314" t="s">
        <v>2531</v>
      </c>
      <c r="U643" s="320"/>
      <c r="V643" s="320"/>
      <c r="W643" s="320"/>
      <c r="X643" s="320"/>
      <c r="Y643" s="320"/>
    </row>
    <row r="644" spans="1:25" x14ac:dyDescent="0.45">
      <c r="A644" s="313">
        <v>26</v>
      </c>
      <c r="B644" s="427" t="s">
        <v>1979</v>
      </c>
      <c r="C644" s="425" t="s">
        <v>1269</v>
      </c>
      <c r="D644" s="314">
        <v>894513</v>
      </c>
      <c r="E644" s="45"/>
      <c r="F644" s="314">
        <v>861471</v>
      </c>
      <c r="G644" s="314"/>
      <c r="H644" s="314">
        <v>22683</v>
      </c>
      <c r="I644" s="314"/>
      <c r="J644" s="314">
        <v>10359</v>
      </c>
      <c r="K644" s="314">
        <v>5255</v>
      </c>
      <c r="L644" s="314">
        <v>5104</v>
      </c>
      <c r="M644" s="314"/>
      <c r="N644" s="314"/>
      <c r="O644" s="314">
        <v>533901</v>
      </c>
      <c r="P644" s="314"/>
      <c r="Q644" s="314"/>
      <c r="R644" s="314"/>
      <c r="S644" s="314">
        <v>360612</v>
      </c>
      <c r="T644" s="314"/>
      <c r="U644" s="325"/>
      <c r="V644" s="320"/>
      <c r="W644" s="320"/>
      <c r="X644" s="320"/>
      <c r="Y644" s="320"/>
    </row>
    <row r="645" spans="1:25" x14ac:dyDescent="0.45">
      <c r="A645" s="313">
        <v>27</v>
      </c>
      <c r="B645" s="427" t="s">
        <v>1980</v>
      </c>
      <c r="C645" s="425" t="s">
        <v>1269</v>
      </c>
      <c r="D645" s="314">
        <v>90414571</v>
      </c>
      <c r="E645" s="45"/>
      <c r="F645" s="314">
        <v>84869439</v>
      </c>
      <c r="G645" s="314"/>
      <c r="H645" s="314">
        <v>3806705</v>
      </c>
      <c r="I645" s="314"/>
      <c r="J645" s="314">
        <v>1738426</v>
      </c>
      <c r="K645" s="314">
        <v>881827</v>
      </c>
      <c r="L645" s="314">
        <v>856599</v>
      </c>
      <c r="M645" s="314"/>
      <c r="N645" s="314"/>
      <c r="O645" s="314">
        <v>89600893</v>
      </c>
      <c r="P645" s="314"/>
      <c r="Q645" s="314"/>
      <c r="R645" s="314">
        <v>124725</v>
      </c>
      <c r="S645" s="314">
        <v>813678</v>
      </c>
      <c r="T645" s="314"/>
      <c r="U645" s="325"/>
      <c r="V645" s="320"/>
      <c r="W645" s="320"/>
      <c r="X645" s="320"/>
      <c r="Y645" s="320"/>
    </row>
    <row r="646" spans="1:25" x14ac:dyDescent="0.45">
      <c r="A646" s="313">
        <v>28</v>
      </c>
      <c r="B646" s="427" t="s">
        <v>1981</v>
      </c>
      <c r="C646" s="425" t="s">
        <v>1269</v>
      </c>
      <c r="D646" s="314">
        <v>84141317</v>
      </c>
      <c r="E646" s="45"/>
      <c r="F646" s="314">
        <v>78934062</v>
      </c>
      <c r="G646" s="314"/>
      <c r="H646" s="314">
        <v>3574754</v>
      </c>
      <c r="I646" s="314"/>
      <c r="J646" s="314">
        <v>1632500</v>
      </c>
      <c r="K646" s="314">
        <v>828096</v>
      </c>
      <c r="L646" s="314">
        <v>804405</v>
      </c>
      <c r="M646" s="314"/>
      <c r="N646" s="314"/>
      <c r="O646" s="314">
        <v>84141317</v>
      </c>
      <c r="P646" s="314"/>
      <c r="Q646" s="314"/>
      <c r="R646" s="314">
        <v>27103</v>
      </c>
      <c r="S646" s="314"/>
      <c r="T646" s="314"/>
      <c r="U646" s="325"/>
      <c r="V646" s="320"/>
      <c r="W646" s="320"/>
      <c r="X646" s="320"/>
      <c r="Y646" s="320"/>
    </row>
    <row r="647" spans="1:25" x14ac:dyDescent="0.45">
      <c r="A647" s="313">
        <v>29</v>
      </c>
      <c r="B647" s="427" t="s">
        <v>1982</v>
      </c>
      <c r="C647" s="425" t="s">
        <v>1269</v>
      </c>
      <c r="D647" s="314">
        <v>701938620</v>
      </c>
      <c r="E647" s="45"/>
      <c r="F647" s="314">
        <v>658497736</v>
      </c>
      <c r="G647" s="314"/>
      <c r="H647" s="314">
        <v>29821949</v>
      </c>
      <c r="I647" s="314"/>
      <c r="J647" s="314">
        <v>13618934</v>
      </c>
      <c r="K647" s="314">
        <v>6908286</v>
      </c>
      <c r="L647" s="314">
        <v>6710649</v>
      </c>
      <c r="M647" s="314"/>
      <c r="N647" s="314"/>
      <c r="O647" s="314">
        <v>701938620</v>
      </c>
      <c r="P647" s="314"/>
      <c r="Q647" s="314"/>
      <c r="R647" s="314">
        <v>693179</v>
      </c>
      <c r="S647" s="314"/>
      <c r="T647" s="314"/>
      <c r="U647" s="325"/>
      <c r="V647" s="320"/>
      <c r="W647" s="320"/>
      <c r="X647" s="320"/>
      <c r="Y647" s="320"/>
    </row>
    <row r="648" spans="1:25" x14ac:dyDescent="0.45">
      <c r="A648" s="313">
        <v>30</v>
      </c>
      <c r="B648" s="427" t="s">
        <v>1983</v>
      </c>
      <c r="C648" s="425" t="s">
        <v>1269</v>
      </c>
      <c r="D648" s="314">
        <v>137728524</v>
      </c>
      <c r="E648" s="45"/>
      <c r="F648" s="314">
        <v>129298332</v>
      </c>
      <c r="G648" s="314"/>
      <c r="H648" s="314">
        <v>5787285</v>
      </c>
      <c r="I648" s="314"/>
      <c r="J648" s="314">
        <v>2642907</v>
      </c>
      <c r="K648" s="314">
        <v>1340630</v>
      </c>
      <c r="L648" s="314">
        <v>1302277</v>
      </c>
      <c r="M648" s="314"/>
      <c r="N648" s="314"/>
      <c r="O648" s="314">
        <v>136219081</v>
      </c>
      <c r="P648" s="314"/>
      <c r="Q648" s="314"/>
      <c r="R648" s="314">
        <v>158415</v>
      </c>
      <c r="S648" s="314">
        <v>1261558</v>
      </c>
      <c r="T648" s="314">
        <v>247886</v>
      </c>
      <c r="U648" s="325"/>
      <c r="V648" s="320"/>
      <c r="W648" s="320"/>
      <c r="X648" s="320"/>
      <c r="Y648" s="320"/>
    </row>
    <row r="649" spans="1:25" x14ac:dyDescent="0.45">
      <c r="A649" s="313">
        <v>31</v>
      </c>
      <c r="B649" s="427" t="s">
        <v>1984</v>
      </c>
      <c r="C649" s="425" t="s">
        <v>1269</v>
      </c>
      <c r="D649" s="314">
        <v>77666661</v>
      </c>
      <c r="E649" s="45"/>
      <c r="F649" s="314">
        <v>72890132</v>
      </c>
      <c r="G649" s="314"/>
      <c r="H649" s="314">
        <v>3279063</v>
      </c>
      <c r="I649" s="314"/>
      <c r="J649" s="314">
        <v>1497466</v>
      </c>
      <c r="K649" s="314">
        <v>759598</v>
      </c>
      <c r="L649" s="314">
        <v>737867</v>
      </c>
      <c r="M649" s="314"/>
      <c r="N649" s="314"/>
      <c r="O649" s="314">
        <v>77181435</v>
      </c>
      <c r="P649" s="314"/>
      <c r="Q649" s="314"/>
      <c r="R649" s="314">
        <v>77221</v>
      </c>
      <c r="S649" s="314">
        <v>329568</v>
      </c>
      <c r="T649" s="314">
        <v>155658</v>
      </c>
      <c r="U649" s="325"/>
      <c r="V649" s="320"/>
      <c r="W649" s="320"/>
      <c r="X649" s="320"/>
      <c r="Y649" s="320"/>
    </row>
    <row r="650" spans="1:25" x14ac:dyDescent="0.45">
      <c r="A650" s="313">
        <v>32</v>
      </c>
      <c r="B650" s="427" t="s">
        <v>1985</v>
      </c>
      <c r="C650" s="425" t="s">
        <v>1269</v>
      </c>
      <c r="D650" s="314">
        <v>19565396</v>
      </c>
      <c r="E650" s="45"/>
      <c r="F650" s="314">
        <v>18356430</v>
      </c>
      <c r="G650" s="314"/>
      <c r="H650" s="314">
        <v>829949</v>
      </c>
      <c r="I650" s="314"/>
      <c r="J650" s="314">
        <v>379017</v>
      </c>
      <c r="K650" s="314">
        <v>192259</v>
      </c>
      <c r="L650" s="314">
        <v>186758</v>
      </c>
      <c r="M650" s="314"/>
      <c r="N650" s="314"/>
      <c r="O650" s="314">
        <v>19535055</v>
      </c>
      <c r="P650" s="314"/>
      <c r="Q650" s="314"/>
      <c r="R650" s="314">
        <v>7550</v>
      </c>
      <c r="S650" s="314">
        <v>30341</v>
      </c>
      <c r="T650" s="314"/>
      <c r="U650" s="325"/>
      <c r="V650" s="320"/>
      <c r="W650" s="320"/>
      <c r="X650" s="320"/>
      <c r="Y650" s="320"/>
    </row>
    <row r="651" spans="1:25" x14ac:dyDescent="0.45">
      <c r="A651" s="313">
        <v>33</v>
      </c>
      <c r="B651" s="427" t="s">
        <v>1986</v>
      </c>
      <c r="C651" s="425" t="s">
        <v>1269</v>
      </c>
      <c r="D651" s="314">
        <v>406991</v>
      </c>
      <c r="E651" s="45"/>
      <c r="F651" s="314">
        <v>381804</v>
      </c>
      <c r="G651" s="314"/>
      <c r="H651" s="314">
        <v>17291</v>
      </c>
      <c r="I651" s="314"/>
      <c r="J651" s="314">
        <v>7896</v>
      </c>
      <c r="K651" s="314">
        <v>4005</v>
      </c>
      <c r="L651" s="314">
        <v>3891</v>
      </c>
      <c r="M651" s="314"/>
      <c r="N651" s="314"/>
      <c r="O651" s="314">
        <v>406991</v>
      </c>
      <c r="P651" s="314"/>
      <c r="Q651" s="314"/>
      <c r="R651" s="314">
        <v>1088193</v>
      </c>
      <c r="S651" s="314"/>
      <c r="T651" s="314"/>
      <c r="U651" s="325"/>
      <c r="V651" s="320"/>
      <c r="W651" s="320"/>
      <c r="X651" s="320"/>
      <c r="Y651" s="320"/>
    </row>
    <row r="652" spans="1:25" x14ac:dyDescent="0.45">
      <c r="A652" s="313">
        <v>34</v>
      </c>
      <c r="B652" s="427" t="s">
        <v>1967</v>
      </c>
      <c r="C652" s="425" t="s">
        <v>1271</v>
      </c>
      <c r="D652" s="314">
        <v>914</v>
      </c>
      <c r="E652" s="45"/>
      <c r="F652" s="314">
        <v>470</v>
      </c>
      <c r="G652" s="314"/>
      <c r="H652" s="314">
        <v>305</v>
      </c>
      <c r="I652" s="314"/>
      <c r="J652" s="314">
        <v>139</v>
      </c>
      <c r="K652" s="314">
        <v>71</v>
      </c>
      <c r="L652" s="314">
        <v>69</v>
      </c>
      <c r="M652" s="314"/>
      <c r="N652" s="314"/>
      <c r="O652" s="314">
        <v>914</v>
      </c>
      <c r="P652" s="314"/>
      <c r="Q652" s="314"/>
      <c r="R652" s="314"/>
      <c r="S652" s="314"/>
      <c r="T652" s="314"/>
      <c r="U652" s="325"/>
      <c r="W652" s="320"/>
    </row>
    <row r="653" spans="1:25" x14ac:dyDescent="0.45">
      <c r="A653" s="313">
        <v>35</v>
      </c>
      <c r="B653" s="427" t="s">
        <v>1968</v>
      </c>
      <c r="C653" s="425" t="s">
        <v>1277</v>
      </c>
      <c r="D653" s="314">
        <v>1087279</v>
      </c>
      <c r="E653" s="45"/>
      <c r="F653" s="314">
        <v>838960</v>
      </c>
      <c r="G653" s="314"/>
      <c r="H653" s="314">
        <v>0</v>
      </c>
      <c r="I653" s="314"/>
      <c r="J653" s="314">
        <v>248319</v>
      </c>
      <c r="K653" s="314">
        <v>125961</v>
      </c>
      <c r="L653" s="314">
        <v>122358</v>
      </c>
      <c r="M653" s="314"/>
      <c r="N653" s="314"/>
      <c r="O653" s="314">
        <v>1087279</v>
      </c>
      <c r="P653" s="314"/>
      <c r="Q653" s="314"/>
      <c r="R653" s="314"/>
      <c r="S653" s="314"/>
      <c r="T653" s="314"/>
      <c r="U653" s="325"/>
    </row>
    <row r="654" spans="1:25" x14ac:dyDescent="0.45">
      <c r="A654" s="313">
        <v>36</v>
      </c>
      <c r="B654" s="424" t="s">
        <v>1063</v>
      </c>
      <c r="C654" s="45"/>
      <c r="D654" s="314">
        <v>1113844785</v>
      </c>
      <c r="E654" s="45"/>
      <c r="F654" s="314">
        <v>1044928837</v>
      </c>
      <c r="G654" s="314"/>
      <c r="H654" s="314">
        <v>47139984</v>
      </c>
      <c r="I654" s="314"/>
      <c r="J654" s="314">
        <v>21775964</v>
      </c>
      <c r="K654" s="314">
        <v>11045987</v>
      </c>
      <c r="L654" s="314">
        <v>10729977</v>
      </c>
      <c r="M654" s="314"/>
      <c r="N654" s="314"/>
      <c r="O654" s="314">
        <v>1113844785</v>
      </c>
      <c r="P654" s="314" t="s">
        <v>556</v>
      </c>
      <c r="Q654" s="314" t="s">
        <v>556</v>
      </c>
      <c r="R654" s="314" t="s">
        <v>1064</v>
      </c>
      <c r="S654" s="314">
        <v>2795757</v>
      </c>
      <c r="T654" s="314">
        <v>403543</v>
      </c>
      <c r="U654" s="325"/>
      <c r="V654" s="325"/>
      <c r="W654" s="317"/>
    </row>
    <row r="655" spans="1:25" x14ac:dyDescent="0.45">
      <c r="A655" s="45"/>
      <c r="B655" s="45"/>
      <c r="C655" s="45"/>
      <c r="D655" s="45"/>
      <c r="E655" s="45"/>
      <c r="F655" s="314"/>
      <c r="G655" s="314"/>
      <c r="H655" s="314"/>
      <c r="I655" s="314"/>
      <c r="J655" s="314"/>
      <c r="K655" s="314"/>
      <c r="L655" s="314"/>
      <c r="M655" s="314"/>
      <c r="N655" s="314"/>
      <c r="O655" s="314"/>
      <c r="P655" s="314"/>
      <c r="Q655" s="314"/>
      <c r="R655" s="314"/>
      <c r="S655" s="314"/>
      <c r="T655" s="314"/>
    </row>
    <row r="656" spans="1:25" x14ac:dyDescent="0.45">
      <c r="A656" s="313">
        <v>37</v>
      </c>
      <c r="B656" s="424" t="s">
        <v>911</v>
      </c>
      <c r="C656" s="312"/>
      <c r="D656" s="314">
        <v>6810540292</v>
      </c>
      <c r="E656" s="45"/>
      <c r="F656" s="314">
        <v>6384796204</v>
      </c>
      <c r="G656" s="314"/>
      <c r="H656" s="314">
        <v>291173718</v>
      </c>
      <c r="I656" s="314"/>
      <c r="J656" s="314">
        <v>134570370</v>
      </c>
      <c r="K656" s="314">
        <v>68261622</v>
      </c>
      <c r="L656" s="314">
        <v>66308748</v>
      </c>
      <c r="M656" s="314"/>
      <c r="N656" s="314"/>
      <c r="O656" s="314"/>
      <c r="P656" s="314"/>
      <c r="Q656" s="314"/>
      <c r="R656" s="314"/>
      <c r="S656" s="314"/>
      <c r="T656" s="314"/>
      <c r="U656" s="325"/>
    </row>
    <row r="657" spans="1:25" x14ac:dyDescent="0.45">
      <c r="A657" s="45"/>
      <c r="B657" s="45"/>
      <c r="C657" s="312"/>
      <c r="D657" s="45"/>
      <c r="E657" s="45"/>
      <c r="F657" s="314"/>
      <c r="G657" s="314"/>
      <c r="H657" s="314"/>
      <c r="I657" s="314"/>
      <c r="J657" s="314"/>
      <c r="K657" s="314"/>
      <c r="L657" s="314"/>
      <c r="M657" s="314"/>
      <c r="N657" s="314"/>
      <c r="O657" s="314"/>
      <c r="P657" s="314"/>
      <c r="Q657" s="314"/>
      <c r="R657" s="314"/>
      <c r="S657" s="314"/>
      <c r="T657" s="314"/>
    </row>
    <row r="658" spans="1:25" x14ac:dyDescent="0.45">
      <c r="A658" s="45"/>
      <c r="B658" s="426" t="s">
        <v>1071</v>
      </c>
      <c r="C658" s="45"/>
      <c r="D658" s="45"/>
      <c r="E658" s="45"/>
      <c r="F658" s="314"/>
      <c r="G658" s="314"/>
      <c r="H658" s="314"/>
      <c r="I658" s="314"/>
      <c r="J658" s="314"/>
      <c r="K658" s="314"/>
      <c r="L658" s="314"/>
      <c r="M658" s="314"/>
      <c r="N658" s="314"/>
      <c r="O658" s="314"/>
      <c r="P658" s="314"/>
      <c r="Q658" s="314"/>
      <c r="R658" s="314"/>
      <c r="S658" s="314"/>
      <c r="T658" s="314"/>
    </row>
    <row r="659" spans="1:25" x14ac:dyDescent="0.45">
      <c r="A659" s="45"/>
      <c r="B659" s="45"/>
      <c r="C659" s="312"/>
      <c r="D659" s="45"/>
      <c r="E659" s="45"/>
      <c r="F659" s="314"/>
      <c r="G659" s="314"/>
      <c r="H659" s="314"/>
      <c r="I659" s="314"/>
      <c r="J659" s="314"/>
      <c r="K659" s="314"/>
      <c r="L659" s="314"/>
      <c r="M659" s="314"/>
      <c r="N659" s="314"/>
      <c r="O659" s="314"/>
      <c r="P659" s="314"/>
      <c r="Q659" s="314"/>
      <c r="R659" s="314"/>
      <c r="S659" s="314"/>
      <c r="T659" s="314"/>
    </row>
    <row r="660" spans="1:25" x14ac:dyDescent="0.45">
      <c r="A660" s="45"/>
      <c r="B660" s="424" t="s">
        <v>1065</v>
      </c>
      <c r="C660" s="312"/>
      <c r="D660" s="45"/>
      <c r="E660" s="45"/>
      <c r="F660" s="314"/>
      <c r="G660" s="314"/>
      <c r="H660" s="314"/>
      <c r="I660" s="314"/>
      <c r="J660" s="314"/>
      <c r="K660" s="314"/>
      <c r="L660" s="314"/>
      <c r="M660" s="314"/>
      <c r="N660" s="314"/>
      <c r="O660" s="314"/>
      <c r="P660" s="314"/>
      <c r="Q660" s="314"/>
      <c r="R660" s="314"/>
      <c r="S660" s="314"/>
      <c r="T660" s="314"/>
    </row>
    <row r="661" spans="1:25" x14ac:dyDescent="0.45">
      <c r="A661" s="45"/>
      <c r="B661" s="427" t="s">
        <v>1580</v>
      </c>
      <c r="C661" s="312"/>
      <c r="D661" s="45"/>
      <c r="E661" s="45"/>
      <c r="F661" s="314"/>
      <c r="G661" s="314"/>
      <c r="H661" s="314"/>
      <c r="I661" s="314"/>
      <c r="J661" s="314"/>
      <c r="K661" s="314"/>
      <c r="L661" s="314"/>
      <c r="M661" s="314" t="s">
        <v>1066</v>
      </c>
      <c r="N661" s="314"/>
      <c r="O661" s="314"/>
      <c r="P661" s="314"/>
      <c r="Q661" s="314"/>
      <c r="R661" s="314" t="s">
        <v>1987</v>
      </c>
      <c r="S661" s="314"/>
      <c r="T661" s="314" t="s">
        <v>2503</v>
      </c>
      <c r="W661" s="325"/>
    </row>
    <row r="662" spans="1:25" x14ac:dyDescent="0.45">
      <c r="A662" s="313">
        <v>1</v>
      </c>
      <c r="B662" s="427" t="s">
        <v>1988</v>
      </c>
      <c r="C662" s="425" t="s">
        <v>1849</v>
      </c>
      <c r="D662" s="314">
        <v>33118179</v>
      </c>
      <c r="E662" s="45"/>
      <c r="F662" s="314">
        <v>31642365</v>
      </c>
      <c r="G662" s="314"/>
      <c r="H662" s="314">
        <v>1433015</v>
      </c>
      <c r="I662" s="314"/>
      <c r="J662" s="314">
        <v>42798</v>
      </c>
      <c r="K662" s="314">
        <v>42798</v>
      </c>
      <c r="L662" s="314">
        <v>0</v>
      </c>
      <c r="M662" s="314"/>
      <c r="N662" s="314"/>
      <c r="O662" s="314">
        <v>33075380</v>
      </c>
      <c r="P662" s="314"/>
      <c r="Q662" s="314"/>
      <c r="R662" s="314">
        <v>37699</v>
      </c>
      <c r="S662" s="314" t="s">
        <v>2504</v>
      </c>
      <c r="T662" s="314">
        <v>42798</v>
      </c>
      <c r="U662" s="320"/>
      <c r="V662" s="320"/>
      <c r="W662" s="320"/>
      <c r="X662" s="320"/>
      <c r="Y662" s="320"/>
    </row>
    <row r="663" spans="1:25" x14ac:dyDescent="0.45">
      <c r="A663" s="313">
        <v>2</v>
      </c>
      <c r="B663" s="427" t="s">
        <v>1989</v>
      </c>
      <c r="C663" s="425" t="s">
        <v>1849</v>
      </c>
      <c r="D663" s="314">
        <v>31993802</v>
      </c>
      <c r="E663" s="45"/>
      <c r="F663" s="314">
        <v>30607647</v>
      </c>
      <c r="G663" s="314"/>
      <c r="H663" s="314">
        <v>1386155</v>
      </c>
      <c r="I663" s="314"/>
      <c r="J663" s="314">
        <v>0</v>
      </c>
      <c r="K663" s="314">
        <v>0</v>
      </c>
      <c r="L663" s="314">
        <v>0</v>
      </c>
      <c r="M663" s="314"/>
      <c r="N663" s="314"/>
      <c r="O663" s="314">
        <v>31993802</v>
      </c>
      <c r="P663" s="314"/>
      <c r="Q663" s="314"/>
      <c r="R663" s="314">
        <v>42915</v>
      </c>
      <c r="S663" s="314"/>
      <c r="T663" s="314"/>
      <c r="U663" s="320"/>
      <c r="V663" s="320"/>
      <c r="W663" s="320"/>
      <c r="X663" s="320"/>
      <c r="Y663" s="320"/>
    </row>
    <row r="664" spans="1:25" x14ac:dyDescent="0.45">
      <c r="A664" s="313">
        <v>3</v>
      </c>
      <c r="B664" s="427" t="s">
        <v>1990</v>
      </c>
      <c r="C664" s="425" t="s">
        <v>1849</v>
      </c>
      <c r="D664" s="314">
        <v>386506841</v>
      </c>
      <c r="E664" s="45"/>
      <c r="F664" s="314">
        <v>369761152</v>
      </c>
      <c r="G664" s="314"/>
      <c r="H664" s="314">
        <v>16745689</v>
      </c>
      <c r="I664" s="314"/>
      <c r="J664" s="314">
        <v>0</v>
      </c>
      <c r="K664" s="314">
        <v>0</v>
      </c>
      <c r="L664" s="314">
        <v>0</v>
      </c>
      <c r="M664" s="314"/>
      <c r="N664" s="314"/>
      <c r="O664" s="314">
        <v>386506841</v>
      </c>
      <c r="P664" s="314"/>
      <c r="Q664" s="314"/>
      <c r="R664" s="314">
        <v>347093</v>
      </c>
      <c r="S664" s="314"/>
      <c r="T664" s="314"/>
      <c r="U664" s="320"/>
      <c r="V664" s="320"/>
      <c r="W664" s="320"/>
      <c r="X664" s="320"/>
      <c r="Y664" s="320"/>
    </row>
    <row r="665" spans="1:25" x14ac:dyDescent="0.45">
      <c r="A665" s="313">
        <v>4</v>
      </c>
      <c r="B665" s="427" t="s">
        <v>1991</v>
      </c>
      <c r="C665" s="425" t="s">
        <v>1849</v>
      </c>
      <c r="D665" s="314">
        <v>70360451</v>
      </c>
      <c r="E665" s="45"/>
      <c r="F665" s="314">
        <v>67312033</v>
      </c>
      <c r="G665" s="314"/>
      <c r="H665" s="314">
        <v>3048418</v>
      </c>
      <c r="I665" s="314"/>
      <c r="J665" s="314">
        <v>0</v>
      </c>
      <c r="K665" s="314">
        <v>0</v>
      </c>
      <c r="L665" s="314">
        <v>0</v>
      </c>
      <c r="M665" s="314"/>
      <c r="N665" s="314"/>
      <c r="O665" s="314">
        <v>70360451</v>
      </c>
      <c r="P665" s="314"/>
      <c r="Q665" s="314"/>
      <c r="R665" s="314">
        <v>426444</v>
      </c>
      <c r="S665" s="314"/>
      <c r="T665" s="314"/>
      <c r="U665" s="320"/>
      <c r="V665" s="320"/>
      <c r="W665" s="320"/>
      <c r="X665" s="320"/>
      <c r="Y665" s="320"/>
    </row>
    <row r="666" spans="1:25" x14ac:dyDescent="0.45">
      <c r="A666" s="313">
        <v>5</v>
      </c>
      <c r="B666" s="427" t="s">
        <v>1992</v>
      </c>
      <c r="C666" s="425" t="s">
        <v>1849</v>
      </c>
      <c r="D666" s="314">
        <v>551441092</v>
      </c>
      <c r="E666" s="45"/>
      <c r="F666" s="314">
        <v>526922378</v>
      </c>
      <c r="G666" s="314"/>
      <c r="H666" s="314">
        <v>23863184</v>
      </c>
      <c r="I666" s="314"/>
      <c r="J666" s="314">
        <v>655531</v>
      </c>
      <c r="K666" s="314">
        <v>655531</v>
      </c>
      <c r="L666" s="314">
        <v>0</v>
      </c>
      <c r="M666" s="314"/>
      <c r="N666" s="314"/>
      <c r="O666" s="314">
        <v>550785561</v>
      </c>
      <c r="P666" s="314"/>
      <c r="Q666" s="314"/>
      <c r="R666" s="314">
        <v>235309</v>
      </c>
      <c r="S666" s="314" t="s">
        <v>2505</v>
      </c>
      <c r="T666" s="314">
        <v>655531</v>
      </c>
      <c r="U666" s="320"/>
      <c r="V666" s="320"/>
      <c r="W666" s="320"/>
      <c r="X666" s="320"/>
      <c r="Y666" s="320"/>
    </row>
    <row r="667" spans="1:25" x14ac:dyDescent="0.45">
      <c r="A667" s="313">
        <v>6</v>
      </c>
      <c r="B667" s="427" t="s">
        <v>1993</v>
      </c>
      <c r="C667" s="425" t="s">
        <v>1849</v>
      </c>
      <c r="D667" s="314">
        <v>240353260</v>
      </c>
      <c r="E667" s="45"/>
      <c r="F667" s="314">
        <v>229593250</v>
      </c>
      <c r="G667" s="314"/>
      <c r="H667" s="314">
        <v>10397786</v>
      </c>
      <c r="I667" s="314"/>
      <c r="J667" s="314">
        <v>362225</v>
      </c>
      <c r="K667" s="314">
        <v>362225</v>
      </c>
      <c r="L667" s="314">
        <v>0</v>
      </c>
      <c r="M667" s="314"/>
      <c r="N667" s="314"/>
      <c r="O667" s="314">
        <v>239991036</v>
      </c>
      <c r="P667" s="314"/>
      <c r="Q667" s="314"/>
      <c r="R667" s="314">
        <v>538739</v>
      </c>
      <c r="S667" s="314" t="s">
        <v>2506</v>
      </c>
      <c r="T667" s="314">
        <v>362225</v>
      </c>
      <c r="U667" s="320"/>
      <c r="V667" s="320"/>
      <c r="W667" s="320"/>
      <c r="X667" s="320"/>
      <c r="Y667" s="320"/>
    </row>
    <row r="668" spans="1:25" x14ac:dyDescent="0.45">
      <c r="A668" s="313">
        <v>7</v>
      </c>
      <c r="B668" s="427" t="s">
        <v>1994</v>
      </c>
      <c r="C668" s="425" t="s">
        <v>1849</v>
      </c>
      <c r="D668" s="314">
        <v>618115</v>
      </c>
      <c r="E668" s="45"/>
      <c r="F668" s="314">
        <v>591335</v>
      </c>
      <c r="G668" s="314"/>
      <c r="H668" s="314">
        <v>26780</v>
      </c>
      <c r="I668" s="314"/>
      <c r="J668" s="314">
        <v>0</v>
      </c>
      <c r="K668" s="314">
        <v>0</v>
      </c>
      <c r="L668" s="314">
        <v>0</v>
      </c>
      <c r="M668" s="314"/>
      <c r="N668" s="314"/>
      <c r="O668" s="314">
        <v>618115</v>
      </c>
      <c r="P668" s="314"/>
      <c r="Q668" s="314"/>
      <c r="R668" s="314">
        <v>379</v>
      </c>
      <c r="S668" s="314"/>
      <c r="T668" s="314"/>
      <c r="U668" s="320"/>
      <c r="V668" s="320"/>
      <c r="W668" s="320"/>
      <c r="X668" s="320"/>
      <c r="Y668" s="320"/>
    </row>
    <row r="669" spans="1:25" x14ac:dyDescent="0.45">
      <c r="A669" s="313">
        <v>8</v>
      </c>
      <c r="B669" s="427" t="s">
        <v>1995</v>
      </c>
      <c r="C669" s="425" t="s">
        <v>1849</v>
      </c>
      <c r="D669" s="314">
        <v>1233716</v>
      </c>
      <c r="E669" s="45"/>
      <c r="F669" s="314">
        <v>1180264</v>
      </c>
      <c r="G669" s="314"/>
      <c r="H669" s="314">
        <v>53452</v>
      </c>
      <c r="I669" s="314"/>
      <c r="J669" s="314">
        <v>0</v>
      </c>
      <c r="K669" s="314">
        <v>0</v>
      </c>
      <c r="L669" s="314">
        <v>0</v>
      </c>
      <c r="M669" s="314"/>
      <c r="N669" s="314"/>
      <c r="O669" s="314">
        <v>1233716</v>
      </c>
      <c r="P669" s="314"/>
      <c r="Q669" s="314"/>
      <c r="R669" s="314">
        <v>1299</v>
      </c>
      <c r="S669" s="314"/>
      <c r="T669" s="314"/>
      <c r="U669" s="320"/>
      <c r="V669" s="320"/>
      <c r="W669" s="320"/>
      <c r="X669" s="320"/>
      <c r="Y669" s="320"/>
    </row>
    <row r="670" spans="1:25" x14ac:dyDescent="0.45">
      <c r="A670" s="313">
        <v>9</v>
      </c>
      <c r="B670" s="427" t="s">
        <v>1996</v>
      </c>
      <c r="C670" s="425" t="s">
        <v>1849</v>
      </c>
      <c r="D670" s="314">
        <v>254317</v>
      </c>
      <c r="E670" s="45"/>
      <c r="F670" s="314">
        <v>243299</v>
      </c>
      <c r="G670" s="314"/>
      <c r="H670" s="314">
        <v>11018</v>
      </c>
      <c r="I670" s="314"/>
      <c r="J670" s="314">
        <v>0</v>
      </c>
      <c r="K670" s="314">
        <v>0</v>
      </c>
      <c r="L670" s="314">
        <v>0</v>
      </c>
      <c r="M670" s="314"/>
      <c r="N670" s="314"/>
      <c r="O670" s="314">
        <v>254317</v>
      </c>
      <c r="P670" s="314"/>
      <c r="Q670" s="314"/>
      <c r="R670" s="314">
        <v>1629877</v>
      </c>
      <c r="S670" s="314"/>
      <c r="T670" s="314"/>
      <c r="U670" s="320"/>
      <c r="V670" s="320"/>
      <c r="W670" s="320"/>
      <c r="X670" s="320"/>
      <c r="Y670" s="320"/>
    </row>
    <row r="671" spans="1:25" x14ac:dyDescent="0.45">
      <c r="A671" s="313">
        <v>10</v>
      </c>
      <c r="B671" s="427" t="s">
        <v>1967</v>
      </c>
      <c r="C671" s="425" t="s">
        <v>1271</v>
      </c>
      <c r="D671" s="314">
        <v>1317205</v>
      </c>
      <c r="E671" s="45"/>
      <c r="F671" s="314">
        <v>677535</v>
      </c>
      <c r="G671" s="314"/>
      <c r="H671" s="314">
        <v>439130</v>
      </c>
      <c r="I671" s="314"/>
      <c r="J671" s="314">
        <v>200540</v>
      </c>
      <c r="K671" s="314">
        <v>101725</v>
      </c>
      <c r="L671" s="314">
        <v>98815</v>
      </c>
      <c r="M671" s="314"/>
      <c r="N671" s="314"/>
      <c r="O671" s="314">
        <v>1317205</v>
      </c>
      <c r="P671" s="314"/>
      <c r="Q671" s="314"/>
      <c r="R671" s="314"/>
      <c r="S671" s="314"/>
      <c r="T671" s="314"/>
      <c r="U671" s="320"/>
      <c r="V671" s="320"/>
      <c r="W671" s="320"/>
      <c r="X671" s="320"/>
      <c r="Y671" s="320"/>
    </row>
    <row r="672" spans="1:25" x14ac:dyDescent="0.45">
      <c r="A672" s="313">
        <v>11</v>
      </c>
      <c r="B672" s="427" t="s">
        <v>1968</v>
      </c>
      <c r="C672" s="425" t="s">
        <v>1277</v>
      </c>
      <c r="D672" s="314">
        <v>312672</v>
      </c>
      <c r="E672" s="45"/>
      <c r="F672" s="314">
        <v>241262</v>
      </c>
      <c r="G672" s="314"/>
      <c r="H672" s="314">
        <v>0</v>
      </c>
      <c r="I672" s="314"/>
      <c r="J672" s="314">
        <v>71410</v>
      </c>
      <c r="K672" s="314">
        <v>36223</v>
      </c>
      <c r="L672" s="314">
        <v>35187</v>
      </c>
      <c r="M672" s="314"/>
      <c r="N672" s="314"/>
      <c r="O672" s="314">
        <v>312672</v>
      </c>
      <c r="P672" s="314"/>
      <c r="Q672" s="314"/>
      <c r="R672" s="314"/>
      <c r="S672" s="314"/>
      <c r="T672" s="314"/>
      <c r="U672" s="320"/>
    </row>
    <row r="673" spans="1:25" x14ac:dyDescent="0.45">
      <c r="A673" s="313">
        <v>12</v>
      </c>
      <c r="B673" s="427" t="s">
        <v>1997</v>
      </c>
      <c r="C673" s="312"/>
      <c r="D673" s="314">
        <v>1317509651</v>
      </c>
      <c r="E673" s="45"/>
      <c r="F673" s="314">
        <v>1258772521</v>
      </c>
      <c r="G673" s="314"/>
      <c r="H673" s="314">
        <v>57404626</v>
      </c>
      <c r="I673" s="314"/>
      <c r="J673" s="314">
        <v>1332504</v>
      </c>
      <c r="K673" s="314">
        <v>1198502</v>
      </c>
      <c r="L673" s="314">
        <v>134002</v>
      </c>
      <c r="M673" s="314"/>
      <c r="N673" s="314"/>
      <c r="O673" s="314"/>
      <c r="P673" s="314" t="s">
        <v>556</v>
      </c>
      <c r="Q673" s="314"/>
      <c r="R673" s="314"/>
      <c r="S673" s="314"/>
      <c r="T673" s="314"/>
      <c r="U673" s="325"/>
    </row>
    <row r="674" spans="1:25" x14ac:dyDescent="0.45">
      <c r="A674" s="45"/>
      <c r="B674" s="45"/>
      <c r="C674" s="312"/>
      <c r="D674" s="45"/>
      <c r="E674" s="45"/>
      <c r="F674" s="314"/>
      <c r="G674" s="314"/>
      <c r="H674" s="314"/>
      <c r="I674" s="314"/>
      <c r="J674" s="314"/>
      <c r="K674" s="314"/>
      <c r="L674" s="314"/>
      <c r="M674" s="314"/>
      <c r="N674" s="314"/>
      <c r="O674" s="314"/>
      <c r="P674" s="314"/>
      <c r="Q674" s="314"/>
      <c r="R674" s="314"/>
      <c r="S674" s="314"/>
      <c r="T674" s="314"/>
    </row>
    <row r="675" spans="1:25" x14ac:dyDescent="0.45">
      <c r="A675" s="45"/>
      <c r="B675" s="427" t="s">
        <v>1998</v>
      </c>
      <c r="C675" s="312"/>
      <c r="D675" s="45"/>
      <c r="E675" s="45"/>
      <c r="F675" s="314"/>
      <c r="G675" s="314"/>
      <c r="H675" s="314"/>
      <c r="I675" s="314"/>
      <c r="J675" s="314"/>
      <c r="K675" s="314"/>
      <c r="L675" s="314"/>
      <c r="M675" s="314"/>
      <c r="N675" s="314"/>
      <c r="O675" s="314"/>
      <c r="P675" s="314"/>
      <c r="Q675" s="314"/>
      <c r="R675" s="314" t="s">
        <v>1069</v>
      </c>
      <c r="S675" s="314"/>
      <c r="T675" s="314"/>
      <c r="W675" s="320"/>
    </row>
    <row r="676" spans="1:25" x14ac:dyDescent="0.45">
      <c r="A676" s="313">
        <v>13</v>
      </c>
      <c r="B676" s="427" t="s">
        <v>1988</v>
      </c>
      <c r="C676" s="425" t="s">
        <v>1284</v>
      </c>
      <c r="D676" s="314">
        <v>2775188</v>
      </c>
      <c r="E676" s="45"/>
      <c r="F676" s="314">
        <v>0</v>
      </c>
      <c r="G676" s="314"/>
      <c r="H676" s="314">
        <v>2775188</v>
      </c>
      <c r="I676" s="314"/>
      <c r="J676" s="314">
        <v>0</v>
      </c>
      <c r="K676" s="314">
        <v>0</v>
      </c>
      <c r="L676" s="314">
        <v>0</v>
      </c>
      <c r="M676" s="314"/>
      <c r="N676" s="314"/>
      <c r="O676" s="314">
        <v>2775188</v>
      </c>
      <c r="P676" s="314"/>
      <c r="Q676" s="314"/>
      <c r="R676" s="314">
        <v>3055558</v>
      </c>
      <c r="S676" s="314"/>
      <c r="T676" s="314"/>
      <c r="U676" s="320"/>
      <c r="V676" s="320"/>
      <c r="W676" s="320"/>
      <c r="X676" s="320"/>
      <c r="Y676" s="320"/>
    </row>
    <row r="677" spans="1:25" x14ac:dyDescent="0.45">
      <c r="A677" s="313">
        <v>14</v>
      </c>
      <c r="B677" s="427" t="s">
        <v>1989</v>
      </c>
      <c r="C677" s="425" t="s">
        <v>1284</v>
      </c>
      <c r="D677" s="314">
        <v>1801902</v>
      </c>
      <c r="E677" s="45"/>
      <c r="F677" s="314">
        <v>0</v>
      </c>
      <c r="G677" s="314"/>
      <c r="H677" s="314">
        <v>1801902</v>
      </c>
      <c r="I677" s="314"/>
      <c r="J677" s="314">
        <v>0</v>
      </c>
      <c r="K677" s="314">
        <v>0</v>
      </c>
      <c r="L677" s="314">
        <v>0</v>
      </c>
      <c r="M677" s="314"/>
      <c r="N677" s="314"/>
      <c r="O677" s="314">
        <v>1801902</v>
      </c>
      <c r="P677" s="314"/>
      <c r="Q677" s="314"/>
      <c r="R677" s="314">
        <v>1801902</v>
      </c>
      <c r="S677" s="314">
        <v>0</v>
      </c>
      <c r="T677" s="314"/>
      <c r="U677" s="320"/>
      <c r="V677" s="320"/>
      <c r="W677" s="320"/>
      <c r="X677" s="320"/>
      <c r="Y677" s="320"/>
    </row>
    <row r="678" spans="1:25" x14ac:dyDescent="0.45">
      <c r="A678" s="313">
        <v>15</v>
      </c>
      <c r="B678" s="427" t="s">
        <v>1990</v>
      </c>
      <c r="C678" s="425" t="s">
        <v>1284</v>
      </c>
      <c r="D678" s="314">
        <v>33429229</v>
      </c>
      <c r="E678" s="45"/>
      <c r="F678" s="314">
        <v>0</v>
      </c>
      <c r="G678" s="314"/>
      <c r="H678" s="314">
        <v>33429229</v>
      </c>
      <c r="I678" s="314"/>
      <c r="J678" s="314">
        <v>0</v>
      </c>
      <c r="K678" s="314">
        <v>0</v>
      </c>
      <c r="L678" s="314">
        <v>0</v>
      </c>
      <c r="M678" s="314"/>
      <c r="N678" s="314"/>
      <c r="O678" s="314">
        <v>33429229</v>
      </c>
      <c r="P678" s="314"/>
      <c r="Q678" s="314"/>
      <c r="R678" s="314">
        <v>33429229</v>
      </c>
      <c r="S678" s="314">
        <v>0</v>
      </c>
      <c r="T678" s="314"/>
      <c r="U678" s="320"/>
      <c r="V678" s="320"/>
      <c r="W678" s="320"/>
      <c r="X678" s="320"/>
      <c r="Y678" s="320"/>
    </row>
    <row r="679" spans="1:25" x14ac:dyDescent="0.45">
      <c r="A679" s="313">
        <v>16</v>
      </c>
      <c r="B679" s="427" t="s">
        <v>1991</v>
      </c>
      <c r="C679" s="425" t="s">
        <v>1284</v>
      </c>
      <c r="D679" s="314">
        <v>2411758</v>
      </c>
      <c r="E679" s="45"/>
      <c r="F679" s="314">
        <v>0</v>
      </c>
      <c r="G679" s="314"/>
      <c r="H679" s="314">
        <v>2411758</v>
      </c>
      <c r="I679" s="314"/>
      <c r="J679" s="314">
        <v>0</v>
      </c>
      <c r="K679" s="314">
        <v>0</v>
      </c>
      <c r="L679" s="314">
        <v>0</v>
      </c>
      <c r="M679" s="314"/>
      <c r="N679" s="314"/>
      <c r="O679" s="314">
        <v>2411758</v>
      </c>
      <c r="P679" s="314"/>
      <c r="Q679" s="314"/>
      <c r="R679" s="314">
        <v>7181081</v>
      </c>
      <c r="S679" s="314"/>
      <c r="T679" s="314"/>
      <c r="U679" s="320"/>
      <c r="V679" s="320"/>
      <c r="W679" s="320"/>
      <c r="X679" s="320"/>
      <c r="Y679" s="320"/>
    </row>
    <row r="680" spans="1:25" x14ac:dyDescent="0.45">
      <c r="A680" s="313">
        <v>17</v>
      </c>
      <c r="B680" s="427" t="s">
        <v>1992</v>
      </c>
      <c r="C680" s="425" t="s">
        <v>1284</v>
      </c>
      <c r="D680" s="314">
        <v>37546240</v>
      </c>
      <c r="E680" s="45"/>
      <c r="F680" s="314">
        <v>0</v>
      </c>
      <c r="G680" s="314"/>
      <c r="H680" s="314">
        <v>37546240</v>
      </c>
      <c r="I680" s="314"/>
      <c r="J680" s="314">
        <v>0</v>
      </c>
      <c r="K680" s="314">
        <v>0</v>
      </c>
      <c r="L680" s="314">
        <v>0</v>
      </c>
      <c r="M680" s="314"/>
      <c r="N680" s="314"/>
      <c r="O680" s="314">
        <v>37546240</v>
      </c>
      <c r="P680" s="314"/>
      <c r="Q680" s="314"/>
      <c r="R680" s="314">
        <v>37597598</v>
      </c>
      <c r="S680" s="314">
        <v>0</v>
      </c>
      <c r="T680" s="314"/>
      <c r="U680" s="320"/>
      <c r="V680" s="320"/>
      <c r="W680" s="320"/>
      <c r="X680" s="320"/>
      <c r="Y680" s="320"/>
    </row>
    <row r="681" spans="1:25" x14ac:dyDescent="0.45">
      <c r="A681" s="313">
        <v>18</v>
      </c>
      <c r="B681" s="427" t="s">
        <v>1993</v>
      </c>
      <c r="C681" s="425" t="s">
        <v>1284</v>
      </c>
      <c r="D681" s="314">
        <v>16512914</v>
      </c>
      <c r="E681" s="45"/>
      <c r="F681" s="314">
        <v>0</v>
      </c>
      <c r="G681" s="314"/>
      <c r="H681" s="314">
        <v>16512914</v>
      </c>
      <c r="I681" s="314"/>
      <c r="J681" s="314">
        <v>0</v>
      </c>
      <c r="K681" s="314">
        <v>0</v>
      </c>
      <c r="L681" s="314">
        <v>0</v>
      </c>
      <c r="M681" s="314"/>
      <c r="N681" s="314"/>
      <c r="O681" s="314">
        <v>16512914</v>
      </c>
      <c r="P681" s="314"/>
      <c r="Q681" s="314"/>
      <c r="R681" s="314">
        <v>19642292</v>
      </c>
      <c r="S681" s="314">
        <v>0</v>
      </c>
      <c r="T681" s="314"/>
      <c r="U681" s="320"/>
      <c r="V681" s="320"/>
      <c r="W681" s="320"/>
      <c r="X681" s="320"/>
      <c r="Y681" s="320"/>
    </row>
    <row r="682" spans="1:25" x14ac:dyDescent="0.45">
      <c r="A682" s="313">
        <v>19</v>
      </c>
      <c r="B682" s="427" t="s">
        <v>1967</v>
      </c>
      <c r="C682" s="425" t="s">
        <v>1284</v>
      </c>
      <c r="D682" s="314">
        <v>0</v>
      </c>
      <c r="E682" s="45"/>
      <c r="F682" s="314">
        <v>0</v>
      </c>
      <c r="G682" s="314"/>
      <c r="H682" s="314">
        <v>0</v>
      </c>
      <c r="I682" s="314"/>
      <c r="J682" s="314">
        <v>0</v>
      </c>
      <c r="K682" s="314">
        <v>0</v>
      </c>
      <c r="L682" s="314">
        <v>0</v>
      </c>
      <c r="M682" s="314"/>
      <c r="N682" s="314"/>
      <c r="O682" s="314">
        <v>0</v>
      </c>
      <c r="P682" s="314"/>
      <c r="Q682" s="314"/>
      <c r="R682" s="314">
        <v>0</v>
      </c>
      <c r="S682" s="314">
        <v>0</v>
      </c>
      <c r="T682" s="314"/>
      <c r="U682" s="320"/>
      <c r="V682" s="320"/>
      <c r="W682" s="320"/>
      <c r="X682" s="320"/>
      <c r="Y682" s="320"/>
    </row>
    <row r="683" spans="1:25" x14ac:dyDescent="0.45">
      <c r="A683" s="313">
        <v>20</v>
      </c>
      <c r="B683" s="427" t="s">
        <v>1968</v>
      </c>
      <c r="C683" s="425" t="s">
        <v>1284</v>
      </c>
      <c r="D683" s="314">
        <v>0</v>
      </c>
      <c r="E683" s="45"/>
      <c r="F683" s="314">
        <v>0</v>
      </c>
      <c r="G683" s="314"/>
      <c r="H683" s="314">
        <v>0</v>
      </c>
      <c r="I683" s="314"/>
      <c r="J683" s="314">
        <v>0</v>
      </c>
      <c r="K683" s="314">
        <v>0</v>
      </c>
      <c r="L683" s="314">
        <v>0</v>
      </c>
      <c r="M683" s="314"/>
      <c r="N683" s="314"/>
      <c r="O683" s="314">
        <v>0</v>
      </c>
      <c r="P683" s="314"/>
      <c r="Q683" s="314"/>
      <c r="R683" s="314">
        <v>0</v>
      </c>
      <c r="S683" s="314"/>
      <c r="T683" s="314"/>
      <c r="U683" s="320"/>
      <c r="W683" s="320"/>
    </row>
    <row r="684" spans="1:25" x14ac:dyDescent="0.45">
      <c r="A684" s="313">
        <v>21</v>
      </c>
      <c r="B684" s="427" t="s">
        <v>1999</v>
      </c>
      <c r="C684" s="312"/>
      <c r="D684" s="314">
        <v>94477230</v>
      </c>
      <c r="E684" s="45"/>
      <c r="F684" s="314">
        <v>0</v>
      </c>
      <c r="G684" s="314"/>
      <c r="H684" s="314">
        <v>94477230</v>
      </c>
      <c r="I684" s="314"/>
      <c r="J684" s="314">
        <v>0</v>
      </c>
      <c r="K684" s="314">
        <v>0</v>
      </c>
      <c r="L684" s="314">
        <v>0</v>
      </c>
      <c r="M684" s="314"/>
      <c r="N684" s="314"/>
      <c r="O684" s="314"/>
      <c r="P684" s="314" t="s">
        <v>556</v>
      </c>
      <c r="Q684" s="314"/>
      <c r="R684" s="314"/>
      <c r="S684" s="314"/>
      <c r="T684" s="314"/>
      <c r="U684" s="325"/>
    </row>
    <row r="685" spans="1:25" x14ac:dyDescent="0.45">
      <c r="A685" s="45"/>
      <c r="B685" s="45"/>
      <c r="C685" s="312"/>
      <c r="D685" s="45"/>
      <c r="E685" s="45"/>
      <c r="F685" s="314"/>
      <c r="G685" s="314"/>
      <c r="H685" s="314"/>
      <c r="I685" s="314"/>
      <c r="J685" s="314"/>
      <c r="K685" s="314"/>
      <c r="L685" s="314"/>
      <c r="M685" s="314"/>
      <c r="N685" s="314"/>
      <c r="O685" s="314"/>
      <c r="P685" s="314"/>
      <c r="Q685" s="314"/>
      <c r="R685" s="314"/>
      <c r="S685" s="314"/>
      <c r="T685" s="314"/>
    </row>
    <row r="686" spans="1:25" x14ac:dyDescent="0.45">
      <c r="A686" s="45"/>
      <c r="B686" s="427" t="s">
        <v>2000</v>
      </c>
      <c r="C686" s="312"/>
      <c r="D686" s="45"/>
      <c r="E686" s="45"/>
      <c r="F686" s="314"/>
      <c r="G686" s="314"/>
      <c r="H686" s="314"/>
      <c r="I686" s="314"/>
      <c r="J686" s="314"/>
      <c r="K686" s="314"/>
      <c r="L686" s="314"/>
      <c r="M686" s="314"/>
      <c r="N686" s="314"/>
      <c r="O686" s="314"/>
      <c r="P686" s="314"/>
      <c r="Q686" s="314"/>
      <c r="R686" s="314"/>
      <c r="S686" s="314"/>
      <c r="T686" s="314"/>
      <c r="W686" s="355"/>
    </row>
    <row r="687" spans="1:25" x14ac:dyDescent="0.45">
      <c r="A687" s="313">
        <v>22</v>
      </c>
      <c r="B687" s="427" t="s">
        <v>1988</v>
      </c>
      <c r="C687" s="425" t="s">
        <v>2132</v>
      </c>
      <c r="D687" s="314">
        <v>280371</v>
      </c>
      <c r="E687" s="45"/>
      <c r="F687" s="314">
        <v>280371</v>
      </c>
      <c r="G687" s="314"/>
      <c r="H687" s="314">
        <v>0</v>
      </c>
      <c r="I687" s="314"/>
      <c r="J687" s="314">
        <v>0</v>
      </c>
      <c r="K687" s="314">
        <v>0</v>
      </c>
      <c r="L687" s="314">
        <v>0</v>
      </c>
      <c r="M687" s="314"/>
      <c r="N687" s="314"/>
      <c r="O687" s="314">
        <v>280371</v>
      </c>
      <c r="P687" s="314"/>
      <c r="Q687" s="314"/>
      <c r="R687" s="314"/>
      <c r="S687" s="314"/>
      <c r="T687" s="314"/>
      <c r="U687" s="320"/>
      <c r="V687" s="320"/>
      <c r="W687" s="320"/>
      <c r="X687" s="320"/>
      <c r="Y687" s="320"/>
    </row>
    <row r="688" spans="1:25" x14ac:dyDescent="0.45">
      <c r="A688" s="313">
        <v>23</v>
      </c>
      <c r="B688" s="427" t="s">
        <v>1991</v>
      </c>
      <c r="C688" s="425" t="s">
        <v>2132</v>
      </c>
      <c r="D688" s="314">
        <v>4769323</v>
      </c>
      <c r="E688" s="45"/>
      <c r="F688" s="314">
        <v>4769323</v>
      </c>
      <c r="G688" s="314"/>
      <c r="H688" s="314">
        <v>0</v>
      </c>
      <c r="I688" s="314"/>
      <c r="J688" s="314">
        <v>0</v>
      </c>
      <c r="K688" s="314">
        <v>0</v>
      </c>
      <c r="L688" s="314">
        <v>0</v>
      </c>
      <c r="M688" s="314"/>
      <c r="N688" s="314"/>
      <c r="O688" s="314">
        <v>4769323</v>
      </c>
      <c r="P688" s="314"/>
      <c r="Q688" s="314"/>
      <c r="R688" s="314"/>
      <c r="S688" s="314"/>
      <c r="T688" s="314"/>
      <c r="U688" s="320"/>
      <c r="V688" s="320"/>
      <c r="W688" s="320"/>
      <c r="X688" s="320"/>
      <c r="Y688" s="320"/>
    </row>
    <row r="689" spans="1:25" x14ac:dyDescent="0.45">
      <c r="A689" s="313">
        <v>24</v>
      </c>
      <c r="B689" s="427" t="s">
        <v>1992</v>
      </c>
      <c r="C689" s="425" t="s">
        <v>2132</v>
      </c>
      <c r="D689" s="314">
        <v>51358</v>
      </c>
      <c r="E689" s="45"/>
      <c r="F689" s="314">
        <v>51358</v>
      </c>
      <c r="G689" s="314"/>
      <c r="H689" s="314">
        <v>0</v>
      </c>
      <c r="I689" s="314"/>
      <c r="J689" s="314">
        <v>0</v>
      </c>
      <c r="K689" s="314">
        <v>0</v>
      </c>
      <c r="L689" s="314">
        <v>0</v>
      </c>
      <c r="M689" s="314"/>
      <c r="N689" s="314"/>
      <c r="O689" s="314">
        <v>51358</v>
      </c>
      <c r="P689" s="314"/>
      <c r="Q689" s="314"/>
      <c r="R689" s="314"/>
      <c r="S689" s="314"/>
      <c r="T689" s="314"/>
      <c r="U689" s="320"/>
      <c r="V689" s="320"/>
      <c r="W689" s="320"/>
      <c r="X689" s="320"/>
      <c r="Y689" s="320"/>
    </row>
    <row r="690" spans="1:25" x14ac:dyDescent="0.45">
      <c r="A690" s="313">
        <v>25</v>
      </c>
      <c r="B690" s="427" t="s">
        <v>1993</v>
      </c>
      <c r="C690" s="425" t="s">
        <v>2132</v>
      </c>
      <c r="D690" s="314">
        <v>3129378</v>
      </c>
      <c r="E690" s="45"/>
      <c r="F690" s="314">
        <v>3129378</v>
      </c>
      <c r="G690" s="314"/>
      <c r="H690" s="314">
        <v>0</v>
      </c>
      <c r="I690" s="314"/>
      <c r="J690" s="314">
        <v>0</v>
      </c>
      <c r="K690" s="314">
        <v>0</v>
      </c>
      <c r="L690" s="314">
        <v>0</v>
      </c>
      <c r="M690" s="314"/>
      <c r="N690" s="314"/>
      <c r="O690" s="314">
        <v>3129378</v>
      </c>
      <c r="P690" s="314"/>
      <c r="Q690" s="314"/>
      <c r="R690" s="314"/>
      <c r="S690" s="314"/>
      <c r="T690" s="314"/>
      <c r="U690" s="320"/>
      <c r="V690" s="320"/>
      <c r="W690" s="320"/>
      <c r="X690" s="320"/>
      <c r="Y690" s="320"/>
    </row>
    <row r="691" spans="1:25" x14ac:dyDescent="0.45">
      <c r="A691" s="313">
        <v>26</v>
      </c>
      <c r="B691" s="427" t="s">
        <v>1967</v>
      </c>
      <c r="C691" s="425" t="s">
        <v>1271</v>
      </c>
      <c r="D691" s="314">
        <v>0</v>
      </c>
      <c r="E691" s="45"/>
      <c r="F691" s="314">
        <v>0</v>
      </c>
      <c r="G691" s="314"/>
      <c r="H691" s="314">
        <v>0</v>
      </c>
      <c r="I691" s="314"/>
      <c r="J691" s="314">
        <v>0</v>
      </c>
      <c r="K691" s="314">
        <v>0</v>
      </c>
      <c r="L691" s="314">
        <v>0</v>
      </c>
      <c r="M691" s="314"/>
      <c r="N691" s="314"/>
      <c r="O691" s="314">
        <v>0</v>
      </c>
      <c r="P691" s="314"/>
      <c r="Q691" s="314"/>
      <c r="R691" s="314"/>
      <c r="S691" s="314"/>
      <c r="T691" s="314"/>
      <c r="U691" s="320"/>
      <c r="V691" s="320"/>
      <c r="W691" s="320"/>
      <c r="X691" s="320"/>
      <c r="Y691" s="320"/>
    </row>
    <row r="692" spans="1:25" x14ac:dyDescent="0.45">
      <c r="A692" s="313">
        <v>27</v>
      </c>
      <c r="B692" s="427" t="s">
        <v>1968</v>
      </c>
      <c r="C692" s="425" t="s">
        <v>1277</v>
      </c>
      <c r="D692" s="314">
        <v>0</v>
      </c>
      <c r="E692" s="45"/>
      <c r="F692" s="314">
        <v>0</v>
      </c>
      <c r="G692" s="314"/>
      <c r="H692" s="314">
        <v>0</v>
      </c>
      <c r="I692" s="314"/>
      <c r="J692" s="314">
        <v>0</v>
      </c>
      <c r="K692" s="314">
        <v>0</v>
      </c>
      <c r="L692" s="314">
        <v>0</v>
      </c>
      <c r="M692" s="314"/>
      <c r="N692" s="314"/>
      <c r="O692" s="314">
        <v>0</v>
      </c>
      <c r="P692" s="314"/>
      <c r="Q692" s="314"/>
      <c r="R692" s="314"/>
      <c r="S692" s="314"/>
      <c r="T692" s="314"/>
      <c r="U692" s="320"/>
    </row>
    <row r="693" spans="1:25" x14ac:dyDescent="0.45">
      <c r="A693" s="313">
        <v>28</v>
      </c>
      <c r="B693" s="427" t="s">
        <v>2001</v>
      </c>
      <c r="C693" s="312"/>
      <c r="D693" s="314">
        <v>8230429</v>
      </c>
      <c r="E693" s="45"/>
      <c r="F693" s="314">
        <v>8230429</v>
      </c>
      <c r="G693" s="314"/>
      <c r="H693" s="314">
        <v>0</v>
      </c>
      <c r="I693" s="314"/>
      <c r="J693" s="314">
        <v>0</v>
      </c>
      <c r="K693" s="314">
        <v>0</v>
      </c>
      <c r="L693" s="314">
        <v>0</v>
      </c>
      <c r="M693" s="314"/>
      <c r="N693" s="314"/>
      <c r="O693" s="314"/>
      <c r="P693" s="314" t="s">
        <v>556</v>
      </c>
      <c r="Q693" s="314"/>
      <c r="R693" s="314"/>
      <c r="S693" s="314"/>
      <c r="T693" s="314"/>
      <c r="U693" s="325"/>
    </row>
    <row r="694" spans="1:25" x14ac:dyDescent="0.45">
      <c r="A694" s="45"/>
      <c r="B694" s="45"/>
      <c r="C694" s="45"/>
      <c r="D694" s="45"/>
      <c r="E694" s="45"/>
      <c r="F694" s="314"/>
      <c r="G694" s="314"/>
      <c r="H694" s="314"/>
      <c r="I694" s="314"/>
      <c r="J694" s="314"/>
      <c r="K694" s="314"/>
      <c r="L694" s="314"/>
      <c r="M694" s="314"/>
      <c r="N694" s="314"/>
      <c r="O694" s="314"/>
      <c r="P694" s="314"/>
      <c r="Q694" s="314"/>
      <c r="R694" s="314"/>
      <c r="S694" s="314"/>
      <c r="T694" s="314"/>
    </row>
    <row r="695" spans="1:25" x14ac:dyDescent="0.45">
      <c r="A695" s="313">
        <v>29</v>
      </c>
      <c r="B695" s="424" t="s">
        <v>913</v>
      </c>
      <c r="C695" s="312"/>
      <c r="D695" s="314">
        <v>1420217310</v>
      </c>
      <c r="E695" s="45"/>
      <c r="F695" s="314">
        <v>1267002950</v>
      </c>
      <c r="G695" s="314"/>
      <c r="H695" s="314">
        <v>151881857</v>
      </c>
      <c r="I695" s="314"/>
      <c r="J695" s="314">
        <v>1332504</v>
      </c>
      <c r="K695" s="314">
        <v>1198502</v>
      </c>
      <c r="L695" s="314">
        <v>134002</v>
      </c>
      <c r="M695" s="314"/>
      <c r="N695" s="314"/>
      <c r="O695" s="314"/>
      <c r="P695" s="314" t="s">
        <v>556</v>
      </c>
      <c r="Q695" s="314"/>
      <c r="R695" s="314"/>
      <c r="S695" s="314"/>
      <c r="T695" s="314"/>
      <c r="U695" s="325"/>
    </row>
    <row r="696" spans="1:25" x14ac:dyDescent="0.45">
      <c r="A696" s="45"/>
      <c r="B696" s="45"/>
      <c r="C696" s="312"/>
      <c r="D696" s="45"/>
      <c r="E696" s="45"/>
      <c r="F696" s="314"/>
      <c r="G696" s="314"/>
      <c r="H696" s="314"/>
      <c r="I696" s="314"/>
      <c r="J696" s="314"/>
      <c r="K696" s="314"/>
      <c r="L696" s="314"/>
      <c r="M696" s="314"/>
      <c r="N696" s="314"/>
      <c r="O696" s="314"/>
      <c r="P696" s="314"/>
      <c r="Q696" s="314"/>
      <c r="R696" s="314"/>
      <c r="S696" s="314"/>
      <c r="T696" s="314"/>
    </row>
    <row r="697" spans="1:25" x14ac:dyDescent="0.45">
      <c r="A697" s="45"/>
      <c r="B697" s="426" t="s">
        <v>1071</v>
      </c>
      <c r="C697" s="45"/>
      <c r="D697" s="45"/>
      <c r="E697" s="45"/>
      <c r="F697" s="314"/>
      <c r="G697" s="314"/>
      <c r="H697" s="314"/>
      <c r="I697" s="314"/>
      <c r="J697" s="314"/>
      <c r="K697" s="314"/>
      <c r="L697" s="314"/>
      <c r="M697" s="314"/>
      <c r="N697" s="314"/>
      <c r="O697" s="314"/>
      <c r="P697" s="314"/>
      <c r="Q697" s="314"/>
      <c r="R697" s="314"/>
      <c r="S697" s="314"/>
      <c r="T697" s="314"/>
    </row>
    <row r="698" spans="1:25" x14ac:dyDescent="0.45">
      <c r="A698" s="45"/>
      <c r="B698" s="45"/>
      <c r="C698" s="45"/>
      <c r="D698" s="45"/>
      <c r="E698" s="45"/>
      <c r="F698" s="314"/>
      <c r="G698" s="314"/>
      <c r="H698" s="314"/>
      <c r="I698" s="314"/>
      <c r="J698" s="314"/>
      <c r="K698" s="314"/>
      <c r="L698" s="314"/>
      <c r="M698" s="314"/>
      <c r="N698" s="314"/>
      <c r="O698" s="314"/>
      <c r="P698" s="314"/>
      <c r="Q698" s="314"/>
      <c r="R698" s="314"/>
      <c r="S698" s="314"/>
      <c r="T698" s="314"/>
    </row>
    <row r="699" spans="1:25" x14ac:dyDescent="0.45">
      <c r="A699" s="45"/>
      <c r="B699" s="424" t="s">
        <v>1072</v>
      </c>
      <c r="C699" s="312"/>
      <c r="D699" s="45"/>
      <c r="E699" s="45"/>
      <c r="F699" s="314"/>
      <c r="G699" s="314"/>
      <c r="H699" s="314"/>
      <c r="I699" s="314"/>
      <c r="J699" s="314"/>
      <c r="K699" s="314"/>
      <c r="L699" s="314"/>
      <c r="M699" s="314"/>
      <c r="N699" s="314"/>
      <c r="O699" s="314"/>
      <c r="P699" s="314"/>
      <c r="Q699" s="314"/>
      <c r="R699" s="314"/>
      <c r="S699" s="314"/>
      <c r="T699" s="314"/>
    </row>
    <row r="700" spans="1:25" x14ac:dyDescent="0.45">
      <c r="A700" s="45"/>
      <c r="B700" s="424" t="s">
        <v>1073</v>
      </c>
      <c r="C700" s="312"/>
      <c r="D700" s="45"/>
      <c r="E700" s="45"/>
      <c r="F700" s="314"/>
      <c r="G700" s="314"/>
      <c r="H700" s="314"/>
      <c r="I700" s="314"/>
      <c r="J700" s="314"/>
      <c r="K700" s="314"/>
      <c r="L700" s="314"/>
      <c r="M700" s="314"/>
      <c r="N700" s="314"/>
      <c r="O700" s="314"/>
      <c r="P700" s="314"/>
      <c r="Q700" s="314"/>
      <c r="R700" s="314"/>
      <c r="S700" s="314"/>
      <c r="T700" s="314"/>
    </row>
    <row r="701" spans="1:25" x14ac:dyDescent="0.45">
      <c r="A701" s="313">
        <v>1</v>
      </c>
      <c r="B701" s="427" t="s">
        <v>2002</v>
      </c>
      <c r="C701" s="428" t="s">
        <v>1851</v>
      </c>
      <c r="D701" s="314">
        <v>9194562</v>
      </c>
      <c r="E701" s="45"/>
      <c r="F701" s="314">
        <v>9185405</v>
      </c>
      <c r="G701" s="314"/>
      <c r="H701" s="314">
        <v>0</v>
      </c>
      <c r="I701" s="314"/>
      <c r="J701" s="314">
        <v>9157</v>
      </c>
      <c r="K701" s="314">
        <v>9157</v>
      </c>
      <c r="L701" s="314">
        <v>0</v>
      </c>
      <c r="M701" s="314"/>
      <c r="N701" s="314"/>
      <c r="O701" s="314">
        <v>9194562</v>
      </c>
      <c r="P701" s="314"/>
      <c r="Q701" s="314"/>
      <c r="R701" s="314"/>
      <c r="S701" s="314"/>
      <c r="T701" s="314"/>
      <c r="U701" s="320"/>
      <c r="V701" s="320"/>
      <c r="W701" s="320"/>
      <c r="X701" s="320"/>
      <c r="Y701" s="320"/>
    </row>
    <row r="702" spans="1:25" x14ac:dyDescent="0.45">
      <c r="A702" s="313">
        <v>2</v>
      </c>
      <c r="B702" s="427" t="s">
        <v>2003</v>
      </c>
      <c r="C702" s="428" t="s">
        <v>1853</v>
      </c>
      <c r="D702" s="314">
        <v>30821242</v>
      </c>
      <c r="E702" s="45"/>
      <c r="F702" s="314">
        <v>30451904</v>
      </c>
      <c r="G702" s="314"/>
      <c r="H702" s="314">
        <v>0</v>
      </c>
      <c r="I702" s="314"/>
      <c r="J702" s="314">
        <v>369338</v>
      </c>
      <c r="K702" s="314">
        <v>369338</v>
      </c>
      <c r="L702" s="314">
        <v>0</v>
      </c>
      <c r="M702" s="314"/>
      <c r="N702" s="314"/>
      <c r="O702" s="314">
        <v>30821242</v>
      </c>
      <c r="P702" s="314"/>
      <c r="Q702" s="314"/>
      <c r="R702" s="314"/>
      <c r="S702" s="314"/>
      <c r="T702" s="314"/>
      <c r="U702" s="320"/>
      <c r="V702" s="320"/>
      <c r="W702" s="320"/>
      <c r="X702" s="320"/>
      <c r="Y702" s="320"/>
    </row>
    <row r="703" spans="1:25" x14ac:dyDescent="0.45">
      <c r="A703" s="313">
        <v>3</v>
      </c>
      <c r="B703" s="427" t="s">
        <v>2004</v>
      </c>
      <c r="C703" s="428" t="s">
        <v>1855</v>
      </c>
      <c r="D703" s="314">
        <v>305122025</v>
      </c>
      <c r="E703" s="45"/>
      <c r="F703" s="314">
        <v>302019357</v>
      </c>
      <c r="G703" s="314"/>
      <c r="H703" s="314">
        <v>0</v>
      </c>
      <c r="I703" s="314"/>
      <c r="J703" s="314">
        <v>3102668</v>
      </c>
      <c r="K703" s="314">
        <v>3102668</v>
      </c>
      <c r="L703" s="314">
        <v>0</v>
      </c>
      <c r="M703" s="314"/>
      <c r="N703" s="314"/>
      <c r="O703" s="314">
        <v>305122025</v>
      </c>
      <c r="P703" s="314"/>
      <c r="Q703" s="314"/>
      <c r="R703" s="314"/>
      <c r="S703" s="314"/>
      <c r="T703" s="314"/>
      <c r="U703" s="320"/>
      <c r="V703" s="320"/>
      <c r="W703" s="317"/>
      <c r="X703" s="320"/>
      <c r="Y703" s="320"/>
    </row>
    <row r="704" spans="1:25" x14ac:dyDescent="0.45">
      <c r="A704" s="313">
        <v>4</v>
      </c>
      <c r="B704" s="427" t="s">
        <v>2005</v>
      </c>
      <c r="C704" s="428" t="s">
        <v>1857</v>
      </c>
      <c r="D704" s="314">
        <v>449646390</v>
      </c>
      <c r="E704" s="45"/>
      <c r="F704" s="314">
        <v>449646390</v>
      </c>
      <c r="G704" s="314"/>
      <c r="H704" s="314">
        <v>0</v>
      </c>
      <c r="I704" s="314"/>
      <c r="J704" s="314">
        <v>0</v>
      </c>
      <c r="K704" s="314">
        <v>0</v>
      </c>
      <c r="L704" s="314">
        <v>0</v>
      </c>
      <c r="M704" s="314"/>
      <c r="N704" s="314"/>
      <c r="O704" s="314">
        <v>449646390</v>
      </c>
      <c r="P704" s="314"/>
      <c r="Q704" s="314"/>
      <c r="R704" s="314"/>
      <c r="S704" s="314"/>
      <c r="T704" s="314"/>
      <c r="U704" s="320"/>
      <c r="V704" s="320"/>
      <c r="W704" s="320"/>
      <c r="X704" s="320"/>
      <c r="Y704" s="320"/>
    </row>
    <row r="705" spans="1:27" x14ac:dyDescent="0.45">
      <c r="A705" s="313">
        <v>5</v>
      </c>
      <c r="B705" s="427" t="s">
        <v>2006</v>
      </c>
      <c r="C705" s="428" t="s">
        <v>1859</v>
      </c>
      <c r="D705" s="314">
        <v>472111952</v>
      </c>
      <c r="E705" s="45"/>
      <c r="F705" s="314">
        <v>472111952</v>
      </c>
      <c r="G705" s="314"/>
      <c r="H705" s="314">
        <v>0</v>
      </c>
      <c r="I705" s="314"/>
      <c r="J705" s="314">
        <v>0</v>
      </c>
      <c r="K705" s="314">
        <v>0</v>
      </c>
      <c r="L705" s="314">
        <v>0</v>
      </c>
      <c r="M705" s="314"/>
      <c r="N705" s="314"/>
      <c r="O705" s="314">
        <v>472111952</v>
      </c>
      <c r="P705" s="314"/>
      <c r="Q705" s="314"/>
      <c r="R705" s="314"/>
      <c r="S705" s="314"/>
      <c r="T705" s="314"/>
      <c r="U705" s="320"/>
      <c r="V705" s="320"/>
      <c r="W705" s="320"/>
      <c r="X705" s="320"/>
      <c r="Y705" s="320"/>
    </row>
    <row r="706" spans="1:27" x14ac:dyDescent="0.45">
      <c r="A706" s="313">
        <v>6</v>
      </c>
      <c r="B706" s="427" t="s">
        <v>2007</v>
      </c>
      <c r="C706" s="428" t="s">
        <v>1861</v>
      </c>
      <c r="D706" s="314">
        <v>2524145</v>
      </c>
      <c r="E706" s="45"/>
      <c r="F706" s="314">
        <v>2524145</v>
      </c>
      <c r="G706" s="314"/>
      <c r="H706" s="314">
        <v>0</v>
      </c>
      <c r="I706" s="314"/>
      <c r="J706" s="314">
        <v>0</v>
      </c>
      <c r="K706" s="314">
        <v>0</v>
      </c>
      <c r="L706" s="314">
        <v>0</v>
      </c>
      <c r="M706" s="314"/>
      <c r="N706" s="314"/>
      <c r="O706" s="314">
        <v>2524145</v>
      </c>
      <c r="P706" s="314"/>
      <c r="Q706" s="314"/>
      <c r="R706" s="314"/>
      <c r="S706" s="314"/>
      <c r="T706" s="314"/>
      <c r="U706" s="320"/>
      <c r="V706" s="320"/>
      <c r="W706" s="320"/>
      <c r="X706" s="320"/>
      <c r="Y706" s="320"/>
    </row>
    <row r="707" spans="1:27" x14ac:dyDescent="0.45">
      <c r="A707" s="313">
        <v>7</v>
      </c>
      <c r="B707" s="427" t="s">
        <v>2008</v>
      </c>
      <c r="C707" s="428" t="s">
        <v>1863</v>
      </c>
      <c r="D707" s="314">
        <v>245161810</v>
      </c>
      <c r="E707" s="45"/>
      <c r="F707" s="314">
        <v>245161810</v>
      </c>
      <c r="G707" s="314"/>
      <c r="H707" s="314">
        <v>0</v>
      </c>
      <c r="I707" s="314"/>
      <c r="J707" s="314">
        <v>0</v>
      </c>
      <c r="K707" s="314">
        <v>0</v>
      </c>
      <c r="L707" s="314">
        <v>0</v>
      </c>
      <c r="M707" s="314"/>
      <c r="N707" s="314"/>
      <c r="O707" s="314">
        <v>245161810</v>
      </c>
      <c r="P707" s="314"/>
      <c r="Q707" s="314"/>
      <c r="R707" s="314"/>
      <c r="S707" s="314"/>
      <c r="T707" s="314"/>
      <c r="U707" s="320"/>
      <c r="V707" s="320"/>
      <c r="W707" s="320"/>
      <c r="X707" s="320"/>
      <c r="Y707" s="320"/>
    </row>
    <row r="708" spans="1:27" x14ac:dyDescent="0.45">
      <c r="A708" s="45"/>
      <c r="B708" s="427" t="s">
        <v>2009</v>
      </c>
      <c r="C708" s="312"/>
      <c r="D708" s="45"/>
      <c r="E708" s="45"/>
      <c r="F708" s="314"/>
      <c r="G708" s="314"/>
      <c r="H708" s="314"/>
      <c r="I708" s="314"/>
      <c r="J708" s="314"/>
      <c r="K708" s="314"/>
      <c r="L708" s="314"/>
      <c r="M708" s="314"/>
      <c r="N708" s="314"/>
      <c r="O708" s="314"/>
      <c r="P708" s="314"/>
      <c r="Q708" s="314"/>
      <c r="R708" s="314"/>
      <c r="S708" s="314"/>
      <c r="T708" s="314"/>
      <c r="V708" s="320"/>
    </row>
    <row r="709" spans="1:27" x14ac:dyDescent="0.45">
      <c r="A709" s="313">
        <v>8</v>
      </c>
      <c r="B709" s="424" t="s">
        <v>1</v>
      </c>
      <c r="C709" s="425" t="s">
        <v>1363</v>
      </c>
      <c r="D709" s="314">
        <v>5363042</v>
      </c>
      <c r="E709" s="45"/>
      <c r="F709" s="314">
        <v>5363042</v>
      </c>
      <c r="G709" s="314"/>
      <c r="H709" s="314">
        <v>0</v>
      </c>
      <c r="I709" s="314"/>
      <c r="J709" s="314">
        <v>0</v>
      </c>
      <c r="K709" s="314">
        <v>0</v>
      </c>
      <c r="L709" s="314">
        <v>0</v>
      </c>
      <c r="M709" s="314"/>
      <c r="N709" s="314"/>
      <c r="O709" s="314">
        <v>5363042</v>
      </c>
      <c r="P709" s="314"/>
      <c r="Q709" s="314"/>
      <c r="R709" s="314" t="s">
        <v>2225</v>
      </c>
      <c r="S709" s="314"/>
      <c r="T709" s="314"/>
      <c r="U709" s="320"/>
      <c r="V709" s="320"/>
      <c r="W709" s="317"/>
      <c r="X709" s="320"/>
      <c r="Y709" s="320"/>
      <c r="AA709" s="320"/>
    </row>
    <row r="710" spans="1:27" x14ac:dyDescent="0.45">
      <c r="A710" s="313">
        <v>9</v>
      </c>
      <c r="B710" s="424" t="s">
        <v>2</v>
      </c>
      <c r="C710" s="425" t="s">
        <v>1363</v>
      </c>
      <c r="D710" s="314">
        <v>321195483</v>
      </c>
      <c r="E710" s="45"/>
      <c r="F710" s="314">
        <v>321195483</v>
      </c>
      <c r="G710" s="314"/>
      <c r="H710" s="314">
        <v>0</v>
      </c>
      <c r="I710" s="314"/>
      <c r="J710" s="314">
        <v>0</v>
      </c>
      <c r="K710" s="314">
        <v>0</v>
      </c>
      <c r="L710" s="314">
        <v>0</v>
      </c>
      <c r="M710" s="314"/>
      <c r="N710" s="314"/>
      <c r="O710" s="314">
        <v>321195483</v>
      </c>
      <c r="P710" s="314"/>
      <c r="Q710" s="314"/>
      <c r="R710" s="314"/>
      <c r="S710" s="314"/>
      <c r="T710" s="314"/>
      <c r="U710" s="320"/>
      <c r="V710" s="320"/>
      <c r="W710" s="320"/>
      <c r="X710" s="320"/>
      <c r="Y710" s="320"/>
    </row>
    <row r="711" spans="1:27" x14ac:dyDescent="0.45">
      <c r="A711" s="313">
        <v>10</v>
      </c>
      <c r="B711" s="427" t="s">
        <v>2010</v>
      </c>
      <c r="C711" s="312"/>
      <c r="D711" s="314">
        <v>326558524</v>
      </c>
      <c r="E711" s="45"/>
      <c r="F711" s="314">
        <v>326558524</v>
      </c>
      <c r="G711" s="314"/>
      <c r="H711" s="314">
        <v>0</v>
      </c>
      <c r="I711" s="314"/>
      <c r="J711" s="314">
        <v>0</v>
      </c>
      <c r="K711" s="314">
        <v>0</v>
      </c>
      <c r="L711" s="314">
        <v>0</v>
      </c>
      <c r="M711" s="314"/>
      <c r="N711" s="314"/>
      <c r="O711" s="314">
        <v>326558524</v>
      </c>
      <c r="P711" s="314" t="s">
        <v>556</v>
      </c>
      <c r="Q711" s="314"/>
      <c r="R711" s="314"/>
      <c r="S711" s="314"/>
      <c r="T711" s="314"/>
      <c r="U711" s="325"/>
      <c r="V711" s="320"/>
      <c r="W711" s="320"/>
    </row>
    <row r="712" spans="1:27" x14ac:dyDescent="0.45">
      <c r="A712" s="313">
        <v>11</v>
      </c>
      <c r="B712" s="427" t="s">
        <v>2011</v>
      </c>
      <c r="C712" s="425" t="s">
        <v>1383</v>
      </c>
      <c r="D712" s="314">
        <v>124944572</v>
      </c>
      <c r="E712" s="45"/>
      <c r="F712" s="314">
        <v>124944572</v>
      </c>
      <c r="G712" s="314"/>
      <c r="H712" s="314">
        <v>0</v>
      </c>
      <c r="I712" s="314"/>
      <c r="J712" s="314">
        <v>0</v>
      </c>
      <c r="K712" s="314">
        <v>0</v>
      </c>
      <c r="L712" s="314">
        <v>0</v>
      </c>
      <c r="M712" s="314"/>
      <c r="N712" s="314"/>
      <c r="O712" s="314">
        <v>124944572</v>
      </c>
      <c r="P712" s="314"/>
      <c r="Q712" s="314"/>
      <c r="R712" s="314"/>
      <c r="S712" s="314"/>
      <c r="T712" s="314"/>
      <c r="U712" s="320"/>
      <c r="V712" s="320"/>
      <c r="W712" s="320"/>
      <c r="X712" s="320"/>
      <c r="Y712" s="320"/>
    </row>
    <row r="713" spans="1:27" x14ac:dyDescent="0.45">
      <c r="A713" s="313">
        <v>12</v>
      </c>
      <c r="B713" s="427" t="s">
        <v>2012</v>
      </c>
      <c r="C713" s="425" t="s">
        <v>1385</v>
      </c>
      <c r="D713" s="314">
        <v>77200740</v>
      </c>
      <c r="E713" s="45"/>
      <c r="F713" s="314">
        <v>77153432</v>
      </c>
      <c r="G713" s="314"/>
      <c r="H713" s="314">
        <v>0</v>
      </c>
      <c r="I713" s="314"/>
      <c r="J713" s="314">
        <v>47308</v>
      </c>
      <c r="K713" s="314">
        <v>20456</v>
      </c>
      <c r="L713" s="314">
        <v>26852</v>
      </c>
      <c r="M713" s="314"/>
      <c r="N713" s="314"/>
      <c r="O713" s="314">
        <v>77200740</v>
      </c>
      <c r="P713" s="314"/>
      <c r="Q713" s="314"/>
      <c r="R713" s="314"/>
      <c r="S713" s="314"/>
      <c r="T713" s="314"/>
      <c r="U713" s="320"/>
      <c r="V713" s="320"/>
      <c r="W713" s="320"/>
      <c r="X713" s="320"/>
      <c r="Y713" s="320"/>
    </row>
    <row r="714" spans="1:27" x14ac:dyDescent="0.45">
      <c r="A714" s="313">
        <v>13</v>
      </c>
      <c r="B714" s="427" t="s">
        <v>2013</v>
      </c>
      <c r="C714" s="425" t="s">
        <v>1387</v>
      </c>
      <c r="D714" s="314">
        <v>159234</v>
      </c>
      <c r="E714" s="45"/>
      <c r="F714" s="314">
        <v>159234</v>
      </c>
      <c r="G714" s="314"/>
      <c r="H714" s="314">
        <v>0</v>
      </c>
      <c r="I714" s="314"/>
      <c r="J714" s="314">
        <v>0</v>
      </c>
      <c r="K714" s="314">
        <v>0</v>
      </c>
      <c r="L714" s="314">
        <v>0</v>
      </c>
      <c r="M714" s="314"/>
      <c r="N714" s="314"/>
      <c r="O714" s="314">
        <v>159234</v>
      </c>
      <c r="P714" s="314"/>
      <c r="Q714" s="314"/>
      <c r="R714" s="314"/>
      <c r="S714" s="314"/>
      <c r="T714" s="314"/>
      <c r="U714" s="320"/>
      <c r="V714" s="320"/>
      <c r="W714" s="320"/>
      <c r="X714" s="320"/>
      <c r="Y714" s="320"/>
    </row>
    <row r="715" spans="1:27" x14ac:dyDescent="0.45">
      <c r="A715" s="313">
        <v>14</v>
      </c>
      <c r="B715" s="427" t="s">
        <v>2014</v>
      </c>
      <c r="C715" s="425" t="s">
        <v>1389</v>
      </c>
      <c r="D715" s="314">
        <v>143087299</v>
      </c>
      <c r="E715" s="45"/>
      <c r="F715" s="314">
        <v>143087299</v>
      </c>
      <c r="G715" s="314"/>
      <c r="H715" s="314">
        <v>0</v>
      </c>
      <c r="I715" s="314"/>
      <c r="J715" s="314">
        <v>0</v>
      </c>
      <c r="K715" s="314">
        <v>0</v>
      </c>
      <c r="L715" s="314">
        <v>0</v>
      </c>
      <c r="M715" s="314"/>
      <c r="N715" s="314"/>
      <c r="O715" s="314">
        <v>143087299</v>
      </c>
      <c r="P715" s="314"/>
      <c r="Q715" s="314"/>
      <c r="R715" s="314"/>
      <c r="S715" s="314"/>
      <c r="T715" s="314"/>
      <c r="U715" s="320"/>
      <c r="V715" s="320"/>
      <c r="W715" s="320"/>
      <c r="X715" s="320"/>
      <c r="Y715" s="320"/>
    </row>
    <row r="716" spans="1:27" x14ac:dyDescent="0.45">
      <c r="A716" s="313">
        <v>15</v>
      </c>
      <c r="B716" s="427" t="s">
        <v>1784</v>
      </c>
      <c r="C716" s="425" t="s">
        <v>1785</v>
      </c>
      <c r="D716" s="314">
        <v>510376</v>
      </c>
      <c r="E716" s="45"/>
      <c r="F716" s="314">
        <v>510376</v>
      </c>
      <c r="G716" s="314"/>
      <c r="H716" s="314">
        <v>0</v>
      </c>
      <c r="I716" s="314"/>
      <c r="J716" s="314">
        <v>0</v>
      </c>
      <c r="K716" s="314">
        <v>0</v>
      </c>
      <c r="L716" s="314">
        <v>0</v>
      </c>
      <c r="M716" s="314"/>
      <c r="N716" s="314"/>
      <c r="O716" s="314">
        <v>510376</v>
      </c>
      <c r="P716" s="314"/>
      <c r="Q716" s="314"/>
      <c r="R716" s="314"/>
      <c r="S716" s="314"/>
      <c r="T716" s="314"/>
      <c r="U716" s="320"/>
      <c r="V716" s="320"/>
      <c r="W716" s="320"/>
      <c r="X716" s="320"/>
      <c r="Y716" s="320"/>
    </row>
    <row r="717" spans="1:27" x14ac:dyDescent="0.45">
      <c r="A717" s="313">
        <v>16</v>
      </c>
      <c r="B717" s="424" t="s">
        <v>3</v>
      </c>
      <c r="C717" s="312"/>
      <c r="D717" s="314">
        <v>2187042871</v>
      </c>
      <c r="E717" s="45"/>
      <c r="F717" s="314">
        <v>2183514400</v>
      </c>
      <c r="G717" s="314"/>
      <c r="H717" s="314">
        <v>0</v>
      </c>
      <c r="I717" s="314"/>
      <c r="J717" s="314">
        <v>3528471</v>
      </c>
      <c r="K717" s="314">
        <v>3501619</v>
      </c>
      <c r="L717" s="314">
        <v>26852</v>
      </c>
      <c r="M717" s="314"/>
      <c r="N717" s="314"/>
      <c r="O717" s="314"/>
      <c r="P717" s="314" t="s">
        <v>556</v>
      </c>
      <c r="Q717" s="314">
        <v>2187042871</v>
      </c>
      <c r="R717" s="314">
        <v>0</v>
      </c>
      <c r="S717" s="314"/>
      <c r="T717" s="314"/>
      <c r="U717" s="325"/>
      <c r="V717" s="320"/>
      <c r="W717" s="320"/>
    </row>
    <row r="718" spans="1:27" x14ac:dyDescent="0.45">
      <c r="A718" s="45"/>
      <c r="B718" s="312"/>
      <c r="C718" s="312"/>
      <c r="D718" s="45"/>
      <c r="E718" s="45"/>
      <c r="F718" s="314"/>
      <c r="G718" s="314"/>
      <c r="H718" s="314"/>
      <c r="I718" s="314"/>
      <c r="J718" s="314"/>
      <c r="K718" s="314"/>
      <c r="L718" s="314"/>
      <c r="M718" s="314"/>
      <c r="N718" s="314"/>
      <c r="O718" s="314"/>
      <c r="P718" s="314"/>
      <c r="Q718" s="314"/>
      <c r="R718" s="314"/>
      <c r="S718" s="314"/>
      <c r="T718" s="314"/>
      <c r="V718" s="320"/>
      <c r="W718" s="320"/>
    </row>
    <row r="719" spans="1:27" x14ac:dyDescent="0.45">
      <c r="A719" s="45"/>
      <c r="B719" s="424" t="s">
        <v>4</v>
      </c>
      <c r="C719" s="312"/>
      <c r="D719" s="45"/>
      <c r="E719" s="45"/>
      <c r="F719" s="314"/>
      <c r="G719" s="314"/>
      <c r="H719" s="314"/>
      <c r="I719" s="314"/>
      <c r="J719" s="314"/>
      <c r="K719" s="314"/>
      <c r="L719" s="314"/>
      <c r="M719" s="314"/>
      <c r="N719" s="314"/>
      <c r="O719" s="314"/>
      <c r="P719" s="314"/>
      <c r="Q719" s="314"/>
      <c r="R719" s="314"/>
      <c r="S719" s="314"/>
      <c r="T719" s="314"/>
      <c r="V719" s="320"/>
      <c r="W719" s="320"/>
    </row>
    <row r="720" spans="1:27" x14ac:dyDescent="0.45">
      <c r="A720" s="313">
        <v>17</v>
      </c>
      <c r="B720" s="427" t="s">
        <v>2002</v>
      </c>
      <c r="C720" s="428" t="s">
        <v>1867</v>
      </c>
      <c r="D720" s="314">
        <v>305488</v>
      </c>
      <c r="E720" s="45"/>
      <c r="F720" s="314">
        <v>0</v>
      </c>
      <c r="G720" s="314"/>
      <c r="H720" s="314">
        <v>305488</v>
      </c>
      <c r="I720" s="314"/>
      <c r="J720" s="314">
        <v>0</v>
      </c>
      <c r="K720" s="314">
        <v>0</v>
      </c>
      <c r="L720" s="314">
        <v>0</v>
      </c>
      <c r="M720" s="314"/>
      <c r="N720" s="314"/>
      <c r="O720" s="314">
        <v>305488</v>
      </c>
      <c r="P720" s="314"/>
      <c r="Q720" s="314"/>
      <c r="R720" s="314"/>
      <c r="S720" s="314"/>
      <c r="T720" s="314"/>
      <c r="U720" s="320"/>
      <c r="V720" s="320"/>
      <c r="W720" s="320"/>
      <c r="X720" s="320"/>
      <c r="Y720" s="320"/>
    </row>
    <row r="721" spans="1:27" x14ac:dyDescent="0.45">
      <c r="A721" s="313">
        <v>18</v>
      </c>
      <c r="B721" s="427" t="s">
        <v>2003</v>
      </c>
      <c r="C721" s="428" t="s">
        <v>1869</v>
      </c>
      <c r="D721" s="314">
        <v>652265</v>
      </c>
      <c r="E721" s="45"/>
      <c r="F721" s="314">
        <v>0</v>
      </c>
      <c r="G721" s="314"/>
      <c r="H721" s="314">
        <v>652265</v>
      </c>
      <c r="I721" s="314"/>
      <c r="J721" s="314">
        <v>0</v>
      </c>
      <c r="K721" s="314">
        <v>0</v>
      </c>
      <c r="L721" s="314">
        <v>0</v>
      </c>
      <c r="M721" s="314"/>
      <c r="N721" s="314"/>
      <c r="O721" s="314">
        <v>652265</v>
      </c>
      <c r="P721" s="314"/>
      <c r="Q721" s="314"/>
      <c r="R721" s="314"/>
      <c r="S721" s="314"/>
      <c r="T721" s="314"/>
      <c r="U721" s="320"/>
      <c r="V721" s="320"/>
      <c r="W721" s="320"/>
      <c r="X721" s="320"/>
      <c r="Y721" s="320"/>
    </row>
    <row r="722" spans="1:27" x14ac:dyDescent="0.45">
      <c r="A722" s="313">
        <v>19</v>
      </c>
      <c r="B722" s="427" t="s">
        <v>2004</v>
      </c>
      <c r="C722" s="428" t="s">
        <v>1871</v>
      </c>
      <c r="D722" s="314">
        <v>9218685</v>
      </c>
      <c r="E722" s="45"/>
      <c r="F722" s="314">
        <v>0</v>
      </c>
      <c r="G722" s="314"/>
      <c r="H722" s="314">
        <v>9218685</v>
      </c>
      <c r="I722" s="314"/>
      <c r="J722" s="314">
        <v>0</v>
      </c>
      <c r="K722" s="314">
        <v>0</v>
      </c>
      <c r="L722" s="314">
        <v>0</v>
      </c>
      <c r="M722" s="314"/>
      <c r="N722" s="314"/>
      <c r="O722" s="314">
        <v>9218685</v>
      </c>
      <c r="P722" s="314"/>
      <c r="Q722" s="314"/>
      <c r="R722" s="314"/>
      <c r="S722" s="314"/>
      <c r="T722" s="314"/>
      <c r="U722" s="320"/>
      <c r="V722" s="320"/>
      <c r="W722" s="320"/>
      <c r="X722" s="320"/>
      <c r="Y722" s="320"/>
    </row>
    <row r="723" spans="1:27" x14ac:dyDescent="0.45">
      <c r="A723" s="313">
        <v>20</v>
      </c>
      <c r="B723" s="427" t="s">
        <v>2005</v>
      </c>
      <c r="C723" s="428" t="s">
        <v>1873</v>
      </c>
      <c r="D723" s="314">
        <v>33401558</v>
      </c>
      <c r="E723" s="45"/>
      <c r="F723" s="314">
        <v>0</v>
      </c>
      <c r="G723" s="314"/>
      <c r="H723" s="314">
        <v>33401558</v>
      </c>
      <c r="I723" s="314"/>
      <c r="J723" s="314">
        <v>0</v>
      </c>
      <c r="K723" s="314">
        <v>0</v>
      </c>
      <c r="L723" s="314">
        <v>0</v>
      </c>
      <c r="M723" s="314"/>
      <c r="N723" s="314"/>
      <c r="O723" s="314">
        <v>33401558</v>
      </c>
      <c r="P723" s="314"/>
      <c r="Q723" s="314"/>
      <c r="R723" s="314"/>
      <c r="S723" s="314"/>
      <c r="T723" s="314"/>
      <c r="U723" s="320"/>
      <c r="V723" s="320"/>
      <c r="W723" s="320"/>
      <c r="X723" s="320"/>
      <c r="Y723" s="320"/>
    </row>
    <row r="724" spans="1:27" x14ac:dyDescent="0.45">
      <c r="A724" s="313">
        <v>21</v>
      </c>
      <c r="B724" s="427" t="s">
        <v>2006</v>
      </c>
      <c r="C724" s="428" t="s">
        <v>1875</v>
      </c>
      <c r="D724" s="314">
        <v>31936306</v>
      </c>
      <c r="E724" s="45"/>
      <c r="F724" s="314">
        <v>0</v>
      </c>
      <c r="G724" s="314"/>
      <c r="H724" s="314">
        <v>31936306</v>
      </c>
      <c r="I724" s="314"/>
      <c r="J724" s="314">
        <v>0</v>
      </c>
      <c r="K724" s="314">
        <v>0</v>
      </c>
      <c r="L724" s="314">
        <v>0</v>
      </c>
      <c r="M724" s="314"/>
      <c r="N724" s="314"/>
      <c r="O724" s="314">
        <v>31936306</v>
      </c>
      <c r="P724" s="314"/>
      <c r="Q724" s="314"/>
      <c r="R724" s="314"/>
      <c r="S724" s="314"/>
      <c r="T724" s="314"/>
      <c r="U724" s="320"/>
      <c r="V724" s="320"/>
      <c r="W724" s="320"/>
      <c r="X724" s="320"/>
      <c r="Y724" s="320"/>
    </row>
    <row r="725" spans="1:27" x14ac:dyDescent="0.45">
      <c r="A725" s="313">
        <v>22</v>
      </c>
      <c r="B725" s="427" t="s">
        <v>2008</v>
      </c>
      <c r="C725" s="428" t="s">
        <v>1877</v>
      </c>
      <c r="D725" s="314">
        <v>5388250</v>
      </c>
      <c r="E725" s="45"/>
      <c r="F725" s="314">
        <v>0</v>
      </c>
      <c r="G725" s="314"/>
      <c r="H725" s="314">
        <v>5388250</v>
      </c>
      <c r="I725" s="314"/>
      <c r="J725" s="314">
        <v>0</v>
      </c>
      <c r="K725" s="314">
        <v>0</v>
      </c>
      <c r="L725" s="314">
        <v>0</v>
      </c>
      <c r="M725" s="314"/>
      <c r="N725" s="314"/>
      <c r="O725" s="314">
        <v>5388250</v>
      </c>
      <c r="P725" s="314"/>
      <c r="Q725" s="314"/>
      <c r="R725" s="314"/>
      <c r="S725" s="314"/>
      <c r="T725" s="314"/>
      <c r="U725" s="320"/>
      <c r="V725" s="320"/>
      <c r="W725" s="320"/>
      <c r="X725" s="320"/>
      <c r="Y725" s="320"/>
    </row>
    <row r="726" spans="1:27" x14ac:dyDescent="0.45">
      <c r="A726" s="45"/>
      <c r="B726" s="427" t="s">
        <v>2009</v>
      </c>
      <c r="C726" s="312"/>
      <c r="D726" s="45"/>
      <c r="E726" s="45"/>
      <c r="F726" s="314"/>
      <c r="G726" s="314"/>
      <c r="H726" s="314"/>
      <c r="I726" s="314"/>
      <c r="J726" s="314"/>
      <c r="K726" s="314"/>
      <c r="L726" s="314"/>
      <c r="M726" s="314"/>
      <c r="N726" s="314"/>
      <c r="O726" s="314"/>
      <c r="P726" s="314"/>
      <c r="Q726" s="314"/>
      <c r="R726" s="314"/>
      <c r="S726" s="314"/>
      <c r="T726" s="314"/>
      <c r="V726" s="320"/>
      <c r="W726" s="320"/>
    </row>
    <row r="727" spans="1:27" x14ac:dyDescent="0.45">
      <c r="A727" s="313">
        <v>23</v>
      </c>
      <c r="B727" s="424" t="s">
        <v>1</v>
      </c>
      <c r="C727" s="425" t="s">
        <v>1364</v>
      </c>
      <c r="D727" s="314">
        <v>110560</v>
      </c>
      <c r="E727" s="45"/>
      <c r="F727" s="314">
        <v>0</v>
      </c>
      <c r="G727" s="314"/>
      <c r="H727" s="314">
        <v>110560</v>
      </c>
      <c r="I727" s="314"/>
      <c r="J727" s="314">
        <v>0</v>
      </c>
      <c r="K727" s="314">
        <v>0</v>
      </c>
      <c r="L727" s="314">
        <v>0</v>
      </c>
      <c r="M727" s="314"/>
      <c r="N727" s="314"/>
      <c r="O727" s="314">
        <v>110560</v>
      </c>
      <c r="P727" s="314"/>
      <c r="Q727" s="314"/>
      <c r="R727" s="314" t="s">
        <v>2226</v>
      </c>
      <c r="S727" s="314"/>
      <c r="T727" s="314"/>
      <c r="U727" s="320"/>
      <c r="V727" s="320"/>
      <c r="W727" s="317"/>
      <c r="X727" s="320"/>
      <c r="Y727" s="320"/>
      <c r="AA727" s="320"/>
    </row>
    <row r="728" spans="1:27" x14ac:dyDescent="0.45">
      <c r="A728" s="313">
        <v>24</v>
      </c>
      <c r="B728" s="424" t="s">
        <v>2</v>
      </c>
      <c r="C728" s="425" t="s">
        <v>1364</v>
      </c>
      <c r="D728" s="314">
        <v>10950955</v>
      </c>
      <c r="E728" s="45"/>
      <c r="F728" s="314">
        <v>0</v>
      </c>
      <c r="G728" s="314"/>
      <c r="H728" s="314">
        <v>10950955</v>
      </c>
      <c r="I728" s="314"/>
      <c r="J728" s="314">
        <v>0</v>
      </c>
      <c r="K728" s="314">
        <v>0</v>
      </c>
      <c r="L728" s="314">
        <v>0</v>
      </c>
      <c r="M728" s="314"/>
      <c r="N728" s="314"/>
      <c r="O728" s="314">
        <v>10950955</v>
      </c>
      <c r="P728" s="314"/>
      <c r="Q728" s="314"/>
      <c r="R728" s="314"/>
      <c r="S728" s="314"/>
      <c r="T728" s="314"/>
      <c r="U728" s="320"/>
      <c r="V728" s="320"/>
      <c r="W728" s="320"/>
      <c r="X728" s="320"/>
      <c r="Y728" s="320"/>
    </row>
    <row r="729" spans="1:27" x14ac:dyDescent="0.45">
      <c r="A729" s="313">
        <v>25</v>
      </c>
      <c r="B729" s="427" t="s">
        <v>2010</v>
      </c>
      <c r="C729" s="312"/>
      <c r="D729" s="314">
        <v>11061515</v>
      </c>
      <c r="E729" s="45"/>
      <c r="F729" s="314">
        <v>0</v>
      </c>
      <c r="G729" s="314"/>
      <c r="H729" s="314">
        <v>11061515</v>
      </c>
      <c r="I729" s="314"/>
      <c r="J729" s="314">
        <v>0</v>
      </c>
      <c r="K729" s="314">
        <v>0</v>
      </c>
      <c r="L729" s="314">
        <v>0</v>
      </c>
      <c r="M729" s="314"/>
      <c r="N729" s="314"/>
      <c r="O729" s="314">
        <v>11061515</v>
      </c>
      <c r="P729" s="314" t="s">
        <v>556</v>
      </c>
      <c r="Q729" s="314"/>
      <c r="R729" s="314"/>
      <c r="S729" s="314"/>
      <c r="T729" s="314"/>
      <c r="U729" s="325"/>
      <c r="V729" s="320"/>
      <c r="W729" s="320"/>
    </row>
    <row r="730" spans="1:27" x14ac:dyDescent="0.45">
      <c r="A730" s="313">
        <v>26</v>
      </c>
      <c r="B730" s="427" t="s">
        <v>2011</v>
      </c>
      <c r="C730" s="425" t="s">
        <v>1401</v>
      </c>
      <c r="D730" s="314">
        <v>6306473</v>
      </c>
      <c r="E730" s="45"/>
      <c r="F730" s="314">
        <v>0</v>
      </c>
      <c r="G730" s="314"/>
      <c r="H730" s="314">
        <v>6306473</v>
      </c>
      <c r="I730" s="314"/>
      <c r="J730" s="314">
        <v>0</v>
      </c>
      <c r="K730" s="314">
        <v>0</v>
      </c>
      <c r="L730" s="314">
        <v>0</v>
      </c>
      <c r="M730" s="314"/>
      <c r="N730" s="314"/>
      <c r="O730" s="314">
        <v>6306473</v>
      </c>
      <c r="P730" s="314"/>
      <c r="Q730" s="314"/>
      <c r="R730" s="314"/>
      <c r="S730" s="314"/>
      <c r="T730" s="314"/>
      <c r="U730" s="320"/>
      <c r="V730" s="320"/>
      <c r="W730" s="320"/>
      <c r="X730" s="320"/>
      <c r="Y730" s="320"/>
    </row>
    <row r="731" spans="1:27" x14ac:dyDescent="0.45">
      <c r="A731" s="313">
        <v>27</v>
      </c>
      <c r="B731" s="427" t="s">
        <v>2012</v>
      </c>
      <c r="C731" s="425" t="s">
        <v>1403</v>
      </c>
      <c r="D731" s="314">
        <v>4187481</v>
      </c>
      <c r="E731" s="45"/>
      <c r="F731" s="314">
        <v>0</v>
      </c>
      <c r="G731" s="314"/>
      <c r="H731" s="314">
        <v>4187481</v>
      </c>
      <c r="I731" s="314"/>
      <c r="J731" s="314">
        <v>0</v>
      </c>
      <c r="K731" s="314">
        <v>0</v>
      </c>
      <c r="L731" s="314">
        <v>0</v>
      </c>
      <c r="M731" s="314"/>
      <c r="N731" s="314"/>
      <c r="O731" s="314">
        <v>4187481</v>
      </c>
      <c r="P731" s="314"/>
      <c r="Q731" s="314"/>
      <c r="R731" s="314"/>
      <c r="S731" s="314"/>
      <c r="T731" s="314"/>
      <c r="U731" s="320"/>
      <c r="V731" s="320"/>
      <c r="W731" s="320"/>
      <c r="X731" s="320"/>
      <c r="Y731" s="320"/>
    </row>
    <row r="732" spans="1:27" x14ac:dyDescent="0.45">
      <c r="A732" s="313">
        <v>28</v>
      </c>
      <c r="B732" s="427" t="s">
        <v>2013</v>
      </c>
      <c r="C732" s="425" t="s">
        <v>1405</v>
      </c>
      <c r="D732" s="314">
        <v>0</v>
      </c>
      <c r="E732" s="45"/>
      <c r="F732" s="314">
        <v>0</v>
      </c>
      <c r="G732" s="314"/>
      <c r="H732" s="314">
        <v>0</v>
      </c>
      <c r="I732" s="314"/>
      <c r="J732" s="314">
        <v>0</v>
      </c>
      <c r="K732" s="314">
        <v>0</v>
      </c>
      <c r="L732" s="314">
        <v>0</v>
      </c>
      <c r="M732" s="314"/>
      <c r="N732" s="314"/>
      <c r="O732" s="314">
        <v>0</v>
      </c>
      <c r="P732" s="314"/>
      <c r="Q732" s="314"/>
      <c r="R732" s="314"/>
      <c r="S732" s="314"/>
      <c r="T732" s="314"/>
      <c r="U732" s="320"/>
      <c r="V732" s="320"/>
      <c r="W732" s="320"/>
      <c r="X732" s="320"/>
      <c r="Y732" s="320"/>
    </row>
    <row r="733" spans="1:27" x14ac:dyDescent="0.45">
      <c r="A733" s="313">
        <v>29</v>
      </c>
      <c r="B733" s="427" t="s">
        <v>2014</v>
      </c>
      <c r="C733" s="425" t="s">
        <v>1407</v>
      </c>
      <c r="D733" s="314">
        <v>4244034</v>
      </c>
      <c r="E733" s="45"/>
      <c r="F733" s="314">
        <v>0</v>
      </c>
      <c r="G733" s="314"/>
      <c r="H733" s="314">
        <v>4244034</v>
      </c>
      <c r="I733" s="314"/>
      <c r="J733" s="314">
        <v>0</v>
      </c>
      <c r="K733" s="314">
        <v>0</v>
      </c>
      <c r="L733" s="314">
        <v>0</v>
      </c>
      <c r="M733" s="314"/>
      <c r="N733" s="314"/>
      <c r="O733" s="314">
        <v>4244034</v>
      </c>
      <c r="P733" s="314"/>
      <c r="Q733" s="314"/>
      <c r="R733" s="314"/>
      <c r="S733" s="314"/>
      <c r="T733" s="314"/>
      <c r="U733" s="320"/>
      <c r="V733" s="320"/>
      <c r="W733" s="320"/>
      <c r="X733" s="320"/>
      <c r="Y733" s="320"/>
    </row>
    <row r="734" spans="1:27" x14ac:dyDescent="0.45">
      <c r="A734" s="313">
        <v>30</v>
      </c>
      <c r="B734" s="424" t="s">
        <v>5</v>
      </c>
      <c r="C734" s="312"/>
      <c r="D734" s="314">
        <v>106702055</v>
      </c>
      <c r="E734" s="45"/>
      <c r="F734" s="314">
        <v>0</v>
      </c>
      <c r="G734" s="314"/>
      <c r="H734" s="314">
        <v>106702055</v>
      </c>
      <c r="I734" s="314"/>
      <c r="J734" s="314">
        <v>0</v>
      </c>
      <c r="K734" s="314">
        <v>0</v>
      </c>
      <c r="L734" s="314">
        <v>0</v>
      </c>
      <c r="M734" s="314"/>
      <c r="N734" s="314"/>
      <c r="O734" s="314"/>
      <c r="P734" s="314" t="s">
        <v>556</v>
      </c>
      <c r="Q734" s="314"/>
      <c r="R734" s="314"/>
      <c r="S734" s="314"/>
      <c r="T734" s="314"/>
      <c r="U734" s="325"/>
      <c r="V734" s="320"/>
      <c r="W734" s="320"/>
    </row>
    <row r="735" spans="1:27" x14ac:dyDescent="0.45">
      <c r="A735" s="45"/>
      <c r="B735" s="45"/>
      <c r="C735" s="312"/>
      <c r="D735" s="45"/>
      <c r="E735" s="45"/>
      <c r="F735" s="314"/>
      <c r="G735" s="314"/>
      <c r="H735" s="314"/>
      <c r="I735" s="314"/>
      <c r="J735" s="314"/>
      <c r="K735" s="314"/>
      <c r="L735" s="314"/>
      <c r="M735" s="314"/>
      <c r="N735" s="314"/>
      <c r="O735" s="314"/>
      <c r="P735" s="314"/>
      <c r="Q735" s="314"/>
      <c r="R735" s="314"/>
      <c r="S735" s="314"/>
      <c r="T735" s="314"/>
      <c r="V735" s="320"/>
      <c r="W735" s="320"/>
    </row>
    <row r="736" spans="1:27" x14ac:dyDescent="0.45">
      <c r="A736" s="45"/>
      <c r="B736" s="427" t="s">
        <v>2015</v>
      </c>
      <c r="C736" s="312"/>
      <c r="D736" s="45"/>
      <c r="E736" s="45"/>
      <c r="F736" s="314"/>
      <c r="G736" s="314"/>
      <c r="H736" s="314"/>
      <c r="I736" s="314"/>
      <c r="J736" s="314"/>
      <c r="K736" s="314"/>
      <c r="L736" s="314"/>
      <c r="M736" s="314"/>
      <c r="N736" s="314"/>
      <c r="O736" s="314"/>
      <c r="P736" s="314"/>
      <c r="Q736" s="314"/>
      <c r="R736" s="314"/>
      <c r="S736" s="314"/>
      <c r="T736" s="314"/>
      <c r="V736" s="320"/>
      <c r="W736" s="320"/>
    </row>
    <row r="737" spans="1:25" x14ac:dyDescent="0.45">
      <c r="A737" s="313">
        <v>31</v>
      </c>
      <c r="B737" s="427" t="s">
        <v>2002</v>
      </c>
      <c r="C737" s="425" t="s">
        <v>1880</v>
      </c>
      <c r="D737" s="314">
        <v>5040</v>
      </c>
      <c r="E737" s="45"/>
      <c r="F737" s="314">
        <v>5040</v>
      </c>
      <c r="G737" s="314"/>
      <c r="H737" s="314">
        <v>0</v>
      </c>
      <c r="I737" s="314"/>
      <c r="J737" s="314">
        <v>0</v>
      </c>
      <c r="K737" s="314">
        <v>0</v>
      </c>
      <c r="L737" s="314">
        <v>0</v>
      </c>
      <c r="M737" s="314"/>
      <c r="N737" s="314"/>
      <c r="O737" s="314">
        <v>5040</v>
      </c>
      <c r="P737" s="314" t="s">
        <v>556</v>
      </c>
      <c r="Q737" s="314"/>
      <c r="R737" s="314"/>
      <c r="S737" s="314"/>
      <c r="T737" s="314"/>
      <c r="U737" s="325"/>
      <c r="V737" s="320"/>
      <c r="W737" s="320"/>
      <c r="X737" s="320"/>
      <c r="Y737" s="320"/>
    </row>
    <row r="738" spans="1:25" x14ac:dyDescent="0.45">
      <c r="A738" s="313">
        <v>32</v>
      </c>
      <c r="B738" s="427" t="s">
        <v>2003</v>
      </c>
      <c r="C738" s="425" t="s">
        <v>1882</v>
      </c>
      <c r="D738" s="314">
        <v>2545</v>
      </c>
      <c r="E738" s="45"/>
      <c r="F738" s="314">
        <v>2545</v>
      </c>
      <c r="G738" s="314"/>
      <c r="H738" s="314">
        <v>0</v>
      </c>
      <c r="I738" s="314"/>
      <c r="J738" s="314">
        <v>0</v>
      </c>
      <c r="K738" s="314">
        <v>0</v>
      </c>
      <c r="L738" s="314">
        <v>0</v>
      </c>
      <c r="M738" s="314"/>
      <c r="N738" s="314"/>
      <c r="O738" s="314">
        <v>2545</v>
      </c>
      <c r="P738" s="314" t="s">
        <v>556</v>
      </c>
      <c r="Q738" s="314"/>
      <c r="R738" s="314"/>
      <c r="S738" s="314"/>
      <c r="T738" s="314"/>
      <c r="U738" s="325"/>
      <c r="V738" s="320"/>
      <c r="W738" s="320"/>
      <c r="X738" s="320"/>
      <c r="Y738" s="320"/>
    </row>
    <row r="739" spans="1:25" x14ac:dyDescent="0.45">
      <c r="A739" s="313">
        <v>33</v>
      </c>
      <c r="B739" s="427" t="s">
        <v>2004</v>
      </c>
      <c r="C739" s="425" t="s">
        <v>1884</v>
      </c>
      <c r="D739" s="314">
        <v>66853</v>
      </c>
      <c r="E739" s="45"/>
      <c r="F739" s="314">
        <v>66853</v>
      </c>
      <c r="G739" s="314"/>
      <c r="H739" s="314">
        <v>0</v>
      </c>
      <c r="I739" s="314"/>
      <c r="J739" s="314">
        <v>0</v>
      </c>
      <c r="K739" s="314">
        <v>0</v>
      </c>
      <c r="L739" s="314">
        <v>0</v>
      </c>
      <c r="M739" s="314"/>
      <c r="N739" s="314"/>
      <c r="O739" s="314">
        <v>66853</v>
      </c>
      <c r="P739" s="314" t="s">
        <v>556</v>
      </c>
      <c r="Q739" s="314"/>
      <c r="R739" s="314"/>
      <c r="S739" s="314"/>
      <c r="T739" s="314"/>
      <c r="U739" s="325"/>
      <c r="V739" s="320"/>
      <c r="W739" s="320"/>
      <c r="X739" s="320"/>
      <c r="Y739" s="320"/>
    </row>
    <row r="740" spans="1:25" x14ac:dyDescent="0.45">
      <c r="A740" s="313">
        <v>34</v>
      </c>
      <c r="B740" s="427" t="s">
        <v>2005</v>
      </c>
      <c r="C740" s="425" t="s">
        <v>1886</v>
      </c>
      <c r="D740" s="314">
        <v>15955</v>
      </c>
      <c r="E740" s="45"/>
      <c r="F740" s="314">
        <v>15955</v>
      </c>
      <c r="G740" s="314"/>
      <c r="H740" s="314">
        <v>0</v>
      </c>
      <c r="I740" s="314"/>
      <c r="J740" s="314">
        <v>0</v>
      </c>
      <c r="K740" s="314">
        <v>0</v>
      </c>
      <c r="L740" s="314">
        <v>0</v>
      </c>
      <c r="M740" s="314"/>
      <c r="N740" s="314"/>
      <c r="O740" s="314">
        <v>15955</v>
      </c>
      <c r="P740" s="314" t="s">
        <v>556</v>
      </c>
      <c r="Q740" s="314"/>
      <c r="R740" s="314"/>
      <c r="S740" s="314"/>
      <c r="T740" s="314"/>
      <c r="U740" s="325"/>
      <c r="V740" s="320"/>
      <c r="W740" s="320"/>
      <c r="X740" s="320"/>
      <c r="Y740" s="320"/>
    </row>
    <row r="741" spans="1:25" x14ac:dyDescent="0.45">
      <c r="A741" s="313">
        <v>35</v>
      </c>
      <c r="B741" s="427" t="s">
        <v>2006</v>
      </c>
      <c r="C741" s="425" t="s">
        <v>1888</v>
      </c>
      <c r="D741" s="314">
        <v>17140</v>
      </c>
      <c r="E741" s="45"/>
      <c r="F741" s="314">
        <v>17140</v>
      </c>
      <c r="G741" s="314"/>
      <c r="H741" s="314">
        <v>0</v>
      </c>
      <c r="I741" s="314"/>
      <c r="J741" s="314">
        <v>0</v>
      </c>
      <c r="K741" s="314">
        <v>0</v>
      </c>
      <c r="L741" s="314">
        <v>0</v>
      </c>
      <c r="M741" s="314"/>
      <c r="N741" s="314"/>
      <c r="O741" s="314">
        <v>17140</v>
      </c>
      <c r="P741" s="314" t="s">
        <v>556</v>
      </c>
      <c r="Q741" s="314"/>
      <c r="R741" s="314"/>
      <c r="S741" s="314"/>
      <c r="T741" s="314"/>
      <c r="U741" s="325"/>
      <c r="V741" s="320"/>
      <c r="W741" s="320"/>
      <c r="X741" s="320"/>
      <c r="Y741" s="320"/>
    </row>
    <row r="742" spans="1:25" x14ac:dyDescent="0.45">
      <c r="A742" s="313">
        <v>36</v>
      </c>
      <c r="B742" s="427" t="s">
        <v>2009</v>
      </c>
      <c r="C742" s="425" t="s">
        <v>1890</v>
      </c>
      <c r="D742" s="314">
        <v>0</v>
      </c>
      <c r="E742" s="45"/>
      <c r="F742" s="314">
        <v>0</v>
      </c>
      <c r="G742" s="314"/>
      <c r="H742" s="314">
        <v>0</v>
      </c>
      <c r="I742" s="314"/>
      <c r="J742" s="314">
        <v>0</v>
      </c>
      <c r="K742" s="314">
        <v>0</v>
      </c>
      <c r="L742" s="314">
        <v>0</v>
      </c>
      <c r="M742" s="314"/>
      <c r="N742" s="314"/>
      <c r="O742" s="314">
        <v>0</v>
      </c>
      <c r="P742" s="314" t="s">
        <v>556</v>
      </c>
      <c r="Q742" s="314"/>
      <c r="R742" s="314"/>
      <c r="S742" s="314"/>
      <c r="T742" s="314"/>
      <c r="U742" s="325"/>
      <c r="V742" s="320"/>
      <c r="W742" s="320"/>
      <c r="X742" s="320"/>
      <c r="Y742" s="320"/>
    </row>
    <row r="743" spans="1:25" x14ac:dyDescent="0.45">
      <c r="A743" s="313">
        <v>37</v>
      </c>
      <c r="B743" s="427" t="s">
        <v>2011</v>
      </c>
      <c r="C743" s="425" t="s">
        <v>1892</v>
      </c>
      <c r="D743" s="314">
        <v>0</v>
      </c>
      <c r="E743" s="45"/>
      <c r="F743" s="314">
        <v>0</v>
      </c>
      <c r="G743" s="314"/>
      <c r="H743" s="314">
        <v>0</v>
      </c>
      <c r="I743" s="314"/>
      <c r="J743" s="314">
        <v>0</v>
      </c>
      <c r="K743" s="314">
        <v>0</v>
      </c>
      <c r="L743" s="314">
        <v>0</v>
      </c>
      <c r="M743" s="314"/>
      <c r="N743" s="314"/>
      <c r="O743" s="314">
        <v>0</v>
      </c>
      <c r="P743" s="314" t="s">
        <v>556</v>
      </c>
      <c r="Q743" s="314"/>
      <c r="R743" s="314"/>
      <c r="S743" s="314"/>
      <c r="T743" s="314"/>
      <c r="U743" s="325"/>
      <c r="V743" s="320"/>
      <c r="W743" s="320"/>
      <c r="X743" s="320"/>
      <c r="Y743" s="320"/>
    </row>
    <row r="744" spans="1:25" x14ac:dyDescent="0.45">
      <c r="A744" s="313">
        <v>38</v>
      </c>
      <c r="B744" s="427" t="s">
        <v>2012</v>
      </c>
      <c r="C744" s="425" t="s">
        <v>1894</v>
      </c>
      <c r="D744" s="314">
        <v>0</v>
      </c>
      <c r="E744" s="45"/>
      <c r="F744" s="314">
        <v>0</v>
      </c>
      <c r="G744" s="314"/>
      <c r="H744" s="314">
        <v>0</v>
      </c>
      <c r="I744" s="314"/>
      <c r="J744" s="314">
        <v>0</v>
      </c>
      <c r="K744" s="314">
        <v>0</v>
      </c>
      <c r="L744" s="314">
        <v>0</v>
      </c>
      <c r="M744" s="314"/>
      <c r="N744" s="314"/>
      <c r="O744" s="314">
        <v>0</v>
      </c>
      <c r="P744" s="314" t="s">
        <v>556</v>
      </c>
      <c r="Q744" s="314"/>
      <c r="R744" s="314"/>
      <c r="S744" s="314"/>
      <c r="T744" s="314"/>
      <c r="U744" s="325"/>
      <c r="V744" s="320"/>
      <c r="W744" s="320"/>
      <c r="X744" s="320"/>
      <c r="Y744" s="320"/>
    </row>
    <row r="745" spans="1:25" x14ac:dyDescent="0.45">
      <c r="A745" s="313">
        <v>39</v>
      </c>
      <c r="B745" s="427" t="s">
        <v>2013</v>
      </c>
      <c r="C745" s="425" t="s">
        <v>1896</v>
      </c>
      <c r="D745" s="314">
        <v>0</v>
      </c>
      <c r="E745" s="45"/>
      <c r="F745" s="314">
        <v>0</v>
      </c>
      <c r="G745" s="314"/>
      <c r="H745" s="314">
        <v>0</v>
      </c>
      <c r="I745" s="314"/>
      <c r="J745" s="314">
        <v>0</v>
      </c>
      <c r="K745" s="314">
        <v>0</v>
      </c>
      <c r="L745" s="314">
        <v>0</v>
      </c>
      <c r="M745" s="314"/>
      <c r="N745" s="314"/>
      <c r="O745" s="314">
        <v>0</v>
      </c>
      <c r="P745" s="314" t="s">
        <v>556</v>
      </c>
      <c r="Q745" s="314"/>
      <c r="R745" s="314"/>
      <c r="S745" s="314"/>
      <c r="T745" s="314"/>
      <c r="U745" s="325"/>
      <c r="V745" s="320"/>
      <c r="W745" s="320"/>
      <c r="X745" s="320"/>
      <c r="Y745" s="320"/>
    </row>
    <row r="746" spans="1:25" x14ac:dyDescent="0.45">
      <c r="A746" s="313">
        <v>40</v>
      </c>
      <c r="B746" s="427" t="s">
        <v>2016</v>
      </c>
      <c r="C746" s="312"/>
      <c r="D746" s="314">
        <v>107534</v>
      </c>
      <c r="E746" s="45"/>
      <c r="F746" s="314">
        <v>107534</v>
      </c>
      <c r="G746" s="314"/>
      <c r="H746" s="314">
        <v>0</v>
      </c>
      <c r="I746" s="314"/>
      <c r="J746" s="314">
        <v>0</v>
      </c>
      <c r="K746" s="314">
        <v>0</v>
      </c>
      <c r="L746" s="314">
        <v>0</v>
      </c>
      <c r="M746" s="314"/>
      <c r="N746" s="314"/>
      <c r="O746" s="314"/>
      <c r="P746" s="314" t="s">
        <v>556</v>
      </c>
      <c r="Q746" s="314"/>
      <c r="R746" s="314"/>
      <c r="S746" s="314"/>
      <c r="T746" s="314"/>
      <c r="U746" s="325"/>
      <c r="V746" s="320"/>
      <c r="W746" s="320"/>
    </row>
    <row r="747" spans="1:25" x14ac:dyDescent="0.45">
      <c r="A747" s="313"/>
      <c r="B747" s="424"/>
      <c r="C747" s="425"/>
      <c r="D747" s="314"/>
      <c r="E747" s="45"/>
      <c r="F747" s="314"/>
      <c r="G747" s="314"/>
      <c r="H747" s="314"/>
      <c r="I747" s="314"/>
      <c r="J747" s="314"/>
      <c r="K747" s="314"/>
      <c r="L747" s="314"/>
      <c r="M747" s="314"/>
      <c r="N747" s="314"/>
      <c r="O747" s="314"/>
      <c r="P747" s="314"/>
      <c r="Q747" s="314"/>
      <c r="R747" s="314"/>
      <c r="S747" s="314"/>
      <c r="T747" s="314"/>
      <c r="U747" s="325"/>
      <c r="V747" s="320"/>
      <c r="W747" s="320"/>
      <c r="X747" s="320"/>
      <c r="Y747" s="320"/>
    </row>
    <row r="748" spans="1:25" x14ac:dyDescent="0.45">
      <c r="A748" s="313">
        <v>41</v>
      </c>
      <c r="B748" s="424" t="s">
        <v>1441</v>
      </c>
      <c r="C748" s="312"/>
      <c r="D748" s="314">
        <v>2293852460</v>
      </c>
      <c r="E748" s="45"/>
      <c r="F748" s="314">
        <v>2183621934</v>
      </c>
      <c r="G748" s="314"/>
      <c r="H748" s="314">
        <v>106702055</v>
      </c>
      <c r="I748" s="314"/>
      <c r="J748" s="314">
        <v>3528471</v>
      </c>
      <c r="K748" s="314">
        <v>3501619</v>
      </c>
      <c r="L748" s="314">
        <v>26852</v>
      </c>
      <c r="M748" s="314"/>
      <c r="N748" s="314"/>
      <c r="O748" s="314"/>
      <c r="P748" s="314"/>
      <c r="Q748" s="314"/>
      <c r="R748" s="314"/>
      <c r="S748" s="314"/>
      <c r="T748" s="314"/>
      <c r="U748" s="320"/>
      <c r="V748" s="320"/>
      <c r="W748" s="320"/>
    </row>
    <row r="749" spans="1:25" x14ac:dyDescent="0.45">
      <c r="A749" s="45"/>
      <c r="B749" s="45"/>
      <c r="C749" s="312"/>
      <c r="D749" s="45"/>
      <c r="E749" s="45"/>
      <c r="F749" s="314"/>
      <c r="G749" s="314"/>
      <c r="H749" s="314"/>
      <c r="I749" s="314"/>
      <c r="J749" s="314"/>
      <c r="K749" s="314"/>
      <c r="L749" s="314"/>
      <c r="M749" s="314"/>
      <c r="N749" s="314"/>
      <c r="O749" s="314"/>
      <c r="P749" s="314"/>
      <c r="Q749" s="314"/>
      <c r="R749" s="314"/>
      <c r="S749" s="314"/>
      <c r="T749" s="314"/>
      <c r="U749" s="320"/>
      <c r="V749" s="320"/>
      <c r="W749" s="320"/>
    </row>
    <row r="750" spans="1:25" x14ac:dyDescent="0.45">
      <c r="A750" s="45"/>
      <c r="B750" s="426" t="s">
        <v>1071</v>
      </c>
      <c r="C750" s="45"/>
      <c r="D750" s="45"/>
      <c r="E750" s="45"/>
      <c r="F750" s="314"/>
      <c r="G750" s="314"/>
      <c r="H750" s="314"/>
      <c r="I750" s="314"/>
      <c r="J750" s="314"/>
      <c r="K750" s="314"/>
      <c r="L750" s="314"/>
      <c r="M750" s="314"/>
      <c r="N750" s="314"/>
      <c r="O750" s="314"/>
      <c r="P750" s="314"/>
      <c r="Q750" s="314"/>
      <c r="R750" s="314"/>
      <c r="S750" s="314"/>
      <c r="T750" s="314"/>
    </row>
    <row r="751" spans="1:25" x14ac:dyDescent="0.45">
      <c r="A751" s="45"/>
      <c r="B751" s="45"/>
      <c r="C751" s="45"/>
      <c r="D751" s="45"/>
      <c r="E751" s="45"/>
      <c r="F751" s="314"/>
      <c r="G751" s="314"/>
      <c r="H751" s="314"/>
      <c r="I751" s="314"/>
      <c r="J751" s="314"/>
      <c r="K751" s="314"/>
      <c r="L751" s="314"/>
      <c r="M751" s="314"/>
      <c r="N751" s="314"/>
      <c r="O751" s="314"/>
      <c r="P751" s="314"/>
      <c r="Q751" s="314"/>
      <c r="R751" s="314"/>
      <c r="S751" s="314"/>
      <c r="T751" s="314"/>
    </row>
    <row r="752" spans="1:25" x14ac:dyDescent="0.45">
      <c r="A752" s="45"/>
      <c r="B752" s="427" t="s">
        <v>22</v>
      </c>
      <c r="C752" s="312"/>
      <c r="D752" s="45"/>
      <c r="E752" s="45"/>
      <c r="F752" s="314"/>
      <c r="G752" s="314"/>
      <c r="H752" s="314"/>
      <c r="I752" s="314"/>
      <c r="J752" s="314"/>
      <c r="K752" s="314"/>
      <c r="L752" s="314"/>
      <c r="M752" s="314"/>
      <c r="N752" s="314"/>
      <c r="O752" s="314"/>
      <c r="P752" s="314"/>
      <c r="Q752" s="314"/>
      <c r="R752" s="314"/>
      <c r="S752" s="314"/>
      <c r="T752" s="314"/>
      <c r="V752" s="320"/>
      <c r="W752" s="320"/>
    </row>
    <row r="753" spans="1:25" x14ac:dyDescent="0.45">
      <c r="A753" s="313">
        <v>1</v>
      </c>
      <c r="B753" s="427" t="s">
        <v>2017</v>
      </c>
      <c r="C753" s="425" t="s">
        <v>1426</v>
      </c>
      <c r="D753" s="314">
        <v>4166497</v>
      </c>
      <c r="E753" s="45"/>
      <c r="F753" s="314">
        <v>3920556</v>
      </c>
      <c r="G753" s="314"/>
      <c r="H753" s="314">
        <v>198229</v>
      </c>
      <c r="I753" s="314"/>
      <c r="J753" s="314">
        <v>47712</v>
      </c>
      <c r="K753" s="314">
        <v>24877</v>
      </c>
      <c r="L753" s="314">
        <v>22834</v>
      </c>
      <c r="M753" s="314"/>
      <c r="N753" s="314"/>
      <c r="O753" s="314">
        <v>4166497</v>
      </c>
      <c r="P753" s="314" t="s">
        <v>556</v>
      </c>
      <c r="Q753" s="314"/>
      <c r="R753" s="314"/>
      <c r="S753" s="314"/>
      <c r="T753" s="314"/>
      <c r="U753" s="325"/>
      <c r="V753" s="325"/>
      <c r="W753" s="325"/>
    </row>
    <row r="754" spans="1:25" x14ac:dyDescent="0.45">
      <c r="A754" s="313">
        <v>2</v>
      </c>
      <c r="B754" s="427" t="s">
        <v>2018</v>
      </c>
      <c r="C754" s="425" t="s">
        <v>1426</v>
      </c>
      <c r="D754" s="314">
        <v>107767567</v>
      </c>
      <c r="E754" s="45"/>
      <c r="F754" s="314">
        <v>101406250</v>
      </c>
      <c r="G754" s="314"/>
      <c r="H754" s="314">
        <v>5127246</v>
      </c>
      <c r="I754" s="314"/>
      <c r="J754" s="314">
        <v>1234071</v>
      </c>
      <c r="K754" s="314">
        <v>643459</v>
      </c>
      <c r="L754" s="314">
        <v>590612</v>
      </c>
      <c r="M754" s="314"/>
      <c r="N754" s="314"/>
      <c r="O754" s="314">
        <v>107767567</v>
      </c>
      <c r="P754" s="314" t="s">
        <v>556</v>
      </c>
      <c r="Q754" s="314"/>
      <c r="R754" s="314"/>
      <c r="S754" s="314"/>
      <c r="T754" s="314"/>
      <c r="U754" s="325"/>
      <c r="V754" s="325"/>
      <c r="W754" s="325"/>
    </row>
    <row r="755" spans="1:25" x14ac:dyDescent="0.45">
      <c r="A755" s="313">
        <v>3</v>
      </c>
      <c r="B755" s="427" t="s">
        <v>2019</v>
      </c>
      <c r="C755" s="425" t="s">
        <v>1426</v>
      </c>
      <c r="D755" s="314">
        <v>44582200</v>
      </c>
      <c r="E755" s="45"/>
      <c r="F755" s="314">
        <v>41950596</v>
      </c>
      <c r="G755" s="314"/>
      <c r="H755" s="314">
        <v>2121082</v>
      </c>
      <c r="I755" s="314"/>
      <c r="J755" s="314">
        <v>510521</v>
      </c>
      <c r="K755" s="314">
        <v>266192</v>
      </c>
      <c r="L755" s="314">
        <v>244329</v>
      </c>
      <c r="M755" s="314"/>
      <c r="N755" s="314"/>
      <c r="O755" s="314">
        <v>44582200</v>
      </c>
      <c r="P755" s="314" t="s">
        <v>556</v>
      </c>
      <c r="Q755" s="314"/>
      <c r="R755" s="314"/>
      <c r="S755" s="314"/>
      <c r="T755" s="314"/>
      <c r="U755" s="325"/>
      <c r="V755" s="325"/>
      <c r="W755" s="325"/>
    </row>
    <row r="756" spans="1:25" x14ac:dyDescent="0.45">
      <c r="A756" s="313">
        <v>4</v>
      </c>
      <c r="B756" s="427" t="s">
        <v>2020</v>
      </c>
      <c r="C756" s="425" t="s">
        <v>1426</v>
      </c>
      <c r="D756" s="314">
        <v>8654017</v>
      </c>
      <c r="E756" s="45"/>
      <c r="F756" s="314">
        <v>8143187</v>
      </c>
      <c r="G756" s="314"/>
      <c r="H756" s="314">
        <v>411731</v>
      </c>
      <c r="I756" s="314"/>
      <c r="J756" s="314">
        <v>99099</v>
      </c>
      <c r="K756" s="314">
        <v>51671</v>
      </c>
      <c r="L756" s="314">
        <v>47428</v>
      </c>
      <c r="M756" s="314"/>
      <c r="N756" s="314"/>
      <c r="O756" s="314">
        <v>8654017</v>
      </c>
      <c r="P756" s="314" t="s">
        <v>556</v>
      </c>
      <c r="Q756" s="314"/>
      <c r="R756" s="314"/>
      <c r="S756" s="314"/>
      <c r="T756" s="314"/>
      <c r="U756" s="325"/>
      <c r="V756" s="325"/>
      <c r="W756" s="325"/>
    </row>
    <row r="757" spans="1:25" x14ac:dyDescent="0.45">
      <c r="A757" s="313">
        <v>5</v>
      </c>
      <c r="B757" s="427" t="s">
        <v>2021</v>
      </c>
      <c r="C757" s="425" t="s">
        <v>1426</v>
      </c>
      <c r="D757" s="314">
        <v>1028666</v>
      </c>
      <c r="E757" s="45"/>
      <c r="F757" s="314">
        <v>967946</v>
      </c>
      <c r="G757" s="314"/>
      <c r="H757" s="314">
        <v>48941</v>
      </c>
      <c r="I757" s="314"/>
      <c r="J757" s="314">
        <v>11779</v>
      </c>
      <c r="K757" s="314">
        <v>6142</v>
      </c>
      <c r="L757" s="314">
        <v>5638</v>
      </c>
      <c r="M757" s="314"/>
      <c r="N757" s="314"/>
      <c r="O757" s="314">
        <v>1028666</v>
      </c>
      <c r="P757" s="314" t="s">
        <v>556</v>
      </c>
      <c r="Q757" s="314"/>
      <c r="R757" s="314"/>
      <c r="S757" s="314"/>
      <c r="T757" s="314"/>
      <c r="U757" s="325"/>
      <c r="V757" s="325"/>
      <c r="W757" s="325"/>
    </row>
    <row r="758" spans="1:25" x14ac:dyDescent="0.45">
      <c r="A758" s="313">
        <v>6</v>
      </c>
      <c r="B758" s="427" t="s">
        <v>2022</v>
      </c>
      <c r="C758" s="425" t="s">
        <v>1426</v>
      </c>
      <c r="D758" s="314">
        <v>18691643</v>
      </c>
      <c r="E758" s="45"/>
      <c r="F758" s="314">
        <v>17588311</v>
      </c>
      <c r="G758" s="314"/>
      <c r="H758" s="314">
        <v>889290</v>
      </c>
      <c r="I758" s="314"/>
      <c r="J758" s="314">
        <v>214042</v>
      </c>
      <c r="K758" s="314">
        <v>111604</v>
      </c>
      <c r="L758" s="314">
        <v>102438</v>
      </c>
      <c r="M758" s="314"/>
      <c r="N758" s="314"/>
      <c r="O758" s="314">
        <v>18691643</v>
      </c>
      <c r="P758" s="314" t="s">
        <v>556</v>
      </c>
      <c r="Q758" s="314"/>
      <c r="R758" s="314"/>
      <c r="S758" s="314"/>
      <c r="T758" s="314"/>
      <c r="U758" s="325"/>
      <c r="V758" s="325"/>
      <c r="W758" s="325"/>
    </row>
    <row r="759" spans="1:25" x14ac:dyDescent="0.45">
      <c r="A759" s="313">
        <v>7</v>
      </c>
      <c r="B759" s="427" t="s">
        <v>2023</v>
      </c>
      <c r="C759" s="425" t="s">
        <v>1426</v>
      </c>
      <c r="D759" s="314">
        <v>0</v>
      </c>
      <c r="E759" s="45"/>
      <c r="F759" s="314">
        <v>0</v>
      </c>
      <c r="G759" s="314"/>
      <c r="H759" s="314">
        <v>0</v>
      </c>
      <c r="I759" s="314"/>
      <c r="J759" s="314">
        <v>0</v>
      </c>
      <c r="K759" s="314">
        <v>0</v>
      </c>
      <c r="L759" s="314">
        <v>0</v>
      </c>
      <c r="M759" s="314"/>
      <c r="N759" s="314"/>
      <c r="O759" s="314">
        <v>0</v>
      </c>
      <c r="P759" s="314" t="s">
        <v>556</v>
      </c>
      <c r="Q759" s="314"/>
      <c r="R759" s="314"/>
      <c r="S759" s="314"/>
      <c r="T759" s="314"/>
      <c r="U759" s="325"/>
      <c r="V759" s="325"/>
      <c r="W759" s="325"/>
    </row>
    <row r="760" spans="1:25" x14ac:dyDescent="0.45">
      <c r="A760" s="313">
        <v>8</v>
      </c>
      <c r="B760" s="427" t="s">
        <v>2024</v>
      </c>
      <c r="C760" s="425" t="s">
        <v>1426</v>
      </c>
      <c r="D760" s="314">
        <v>5841644</v>
      </c>
      <c r="E760" s="45"/>
      <c r="F760" s="314">
        <v>5496823</v>
      </c>
      <c r="G760" s="314"/>
      <c r="H760" s="314">
        <v>277927</v>
      </c>
      <c r="I760" s="314"/>
      <c r="J760" s="314">
        <v>66894</v>
      </c>
      <c r="K760" s="314">
        <v>34879</v>
      </c>
      <c r="L760" s="314">
        <v>32015</v>
      </c>
      <c r="M760" s="314"/>
      <c r="N760" s="314"/>
      <c r="O760" s="314">
        <v>5841644</v>
      </c>
      <c r="P760" s="314" t="s">
        <v>556</v>
      </c>
      <c r="Q760" s="314"/>
      <c r="R760" s="314"/>
      <c r="S760" s="314"/>
      <c r="T760" s="314"/>
      <c r="U760" s="325"/>
      <c r="V760" s="325"/>
      <c r="W760" s="325"/>
    </row>
    <row r="761" spans="1:25" x14ac:dyDescent="0.45">
      <c r="A761" s="45"/>
      <c r="B761" s="427" t="s">
        <v>2025</v>
      </c>
      <c r="C761" s="312"/>
      <c r="D761" s="45"/>
      <c r="E761" s="45"/>
      <c r="F761" s="314"/>
      <c r="G761" s="314"/>
      <c r="H761" s="314"/>
      <c r="I761" s="314"/>
      <c r="J761" s="314"/>
      <c r="K761" s="314"/>
      <c r="L761" s="314"/>
      <c r="M761" s="314"/>
      <c r="N761" s="314"/>
      <c r="O761" s="314"/>
      <c r="P761" s="314"/>
      <c r="Q761" s="314"/>
      <c r="R761" s="314"/>
      <c r="S761" s="314"/>
      <c r="T761" s="314"/>
      <c r="V761" s="320"/>
      <c r="W761" s="320"/>
    </row>
    <row r="762" spans="1:25" x14ac:dyDescent="0.45">
      <c r="A762" s="313">
        <v>9</v>
      </c>
      <c r="B762" s="427" t="s">
        <v>2143</v>
      </c>
      <c r="C762" s="425" t="s">
        <v>940</v>
      </c>
      <c r="D762" s="314">
        <v>7637963</v>
      </c>
      <c r="E762" s="45"/>
      <c r="F762" s="314">
        <v>7637963</v>
      </c>
      <c r="G762" s="314"/>
      <c r="H762" s="314">
        <v>0</v>
      </c>
      <c r="I762" s="314"/>
      <c r="J762" s="314">
        <v>0</v>
      </c>
      <c r="K762" s="314">
        <v>0</v>
      </c>
      <c r="L762" s="314">
        <v>0</v>
      </c>
      <c r="M762" s="314"/>
      <c r="N762" s="314"/>
      <c r="O762" s="314">
        <v>7637963</v>
      </c>
      <c r="P762" s="314" t="s">
        <v>556</v>
      </c>
      <c r="Q762" s="314"/>
      <c r="R762" s="314"/>
      <c r="S762" s="314"/>
      <c r="T762" s="314"/>
      <c r="U762" s="325"/>
      <c r="V762" s="325"/>
      <c r="W762" s="325"/>
    </row>
    <row r="763" spans="1:25" x14ac:dyDescent="0.45">
      <c r="A763" s="313">
        <v>10</v>
      </c>
      <c r="B763" s="427" t="s">
        <v>2</v>
      </c>
      <c r="C763" s="425" t="s">
        <v>1426</v>
      </c>
      <c r="D763" s="314">
        <v>69550523</v>
      </c>
      <c r="E763" s="45"/>
      <c r="F763" s="314">
        <v>65445086</v>
      </c>
      <c r="G763" s="314"/>
      <c r="H763" s="314">
        <v>3308998</v>
      </c>
      <c r="I763" s="314"/>
      <c r="J763" s="314">
        <v>796439</v>
      </c>
      <c r="K763" s="314">
        <v>415273</v>
      </c>
      <c r="L763" s="314">
        <v>381166</v>
      </c>
      <c r="M763" s="314"/>
      <c r="N763" s="314"/>
      <c r="O763" s="314">
        <v>69550523</v>
      </c>
      <c r="P763" s="314" t="s">
        <v>556</v>
      </c>
      <c r="Q763" s="314"/>
      <c r="R763" s="314"/>
      <c r="S763" s="314"/>
      <c r="T763" s="314"/>
      <c r="U763" s="325"/>
      <c r="V763" s="325"/>
      <c r="W763" s="325"/>
    </row>
    <row r="764" spans="1:25" x14ac:dyDescent="0.45">
      <c r="A764" s="313">
        <v>11</v>
      </c>
      <c r="B764" s="427" t="s">
        <v>2144</v>
      </c>
      <c r="C764" s="312"/>
      <c r="D764" s="314">
        <v>77188486</v>
      </c>
      <c r="E764" s="45"/>
      <c r="F764" s="314">
        <v>73083050</v>
      </c>
      <c r="G764" s="314"/>
      <c r="H764" s="314">
        <v>3308998</v>
      </c>
      <c r="I764" s="314"/>
      <c r="J764" s="314">
        <v>796439</v>
      </c>
      <c r="K764" s="314">
        <v>415273</v>
      </c>
      <c r="L764" s="314">
        <v>381166</v>
      </c>
      <c r="M764" s="314"/>
      <c r="N764" s="314"/>
      <c r="O764" s="314">
        <v>77188486</v>
      </c>
      <c r="P764" s="314" t="s">
        <v>556</v>
      </c>
      <c r="Q764" s="314"/>
      <c r="R764" s="314"/>
      <c r="S764" s="314"/>
      <c r="T764" s="314"/>
      <c r="U764" s="325"/>
      <c r="V764" s="320"/>
      <c r="W764" s="320"/>
    </row>
    <row r="765" spans="1:25" x14ac:dyDescent="0.45">
      <c r="A765" s="313">
        <v>12</v>
      </c>
      <c r="B765" s="427" t="s">
        <v>2026</v>
      </c>
      <c r="C765" s="425" t="s">
        <v>1426</v>
      </c>
      <c r="D765" s="314">
        <v>0</v>
      </c>
      <c r="E765" s="45"/>
      <c r="F765" s="314">
        <v>0</v>
      </c>
      <c r="G765" s="314"/>
      <c r="H765" s="314">
        <v>0</v>
      </c>
      <c r="I765" s="314"/>
      <c r="J765" s="314">
        <v>0</v>
      </c>
      <c r="K765" s="314">
        <v>0</v>
      </c>
      <c r="L765" s="314">
        <v>0</v>
      </c>
      <c r="M765" s="314"/>
      <c r="N765" s="314"/>
      <c r="O765" s="314">
        <v>0</v>
      </c>
      <c r="P765" s="314" t="s">
        <v>556</v>
      </c>
      <c r="Q765" s="314"/>
      <c r="R765" s="314"/>
      <c r="S765" s="314"/>
      <c r="T765" s="314"/>
      <c r="U765" s="325"/>
      <c r="V765" s="325"/>
      <c r="W765" s="325"/>
    </row>
    <row r="766" spans="1:25" x14ac:dyDescent="0.45">
      <c r="A766" s="313">
        <v>13</v>
      </c>
      <c r="B766" s="427" t="s">
        <v>2027</v>
      </c>
      <c r="C766" s="312"/>
      <c r="D766" s="314">
        <v>267920720</v>
      </c>
      <c r="E766" s="45"/>
      <c r="F766" s="314">
        <v>252556718</v>
      </c>
      <c r="G766" s="314"/>
      <c r="H766" s="314">
        <v>12383444</v>
      </c>
      <c r="I766" s="314"/>
      <c r="J766" s="314">
        <v>2980558</v>
      </c>
      <c r="K766" s="314">
        <v>1554098</v>
      </c>
      <c r="L766" s="314">
        <v>1426460</v>
      </c>
      <c r="M766" s="314"/>
      <c r="N766" s="314"/>
      <c r="O766" s="314"/>
      <c r="P766" s="314" t="s">
        <v>556</v>
      </c>
      <c r="Q766" s="314"/>
      <c r="R766" s="314"/>
      <c r="S766" s="314"/>
      <c r="T766" s="314"/>
      <c r="U766" s="325"/>
      <c r="V766" s="320"/>
      <c r="W766" s="320"/>
    </row>
    <row r="767" spans="1:25" x14ac:dyDescent="0.45">
      <c r="A767" s="45"/>
      <c r="B767" s="45"/>
      <c r="C767" s="312"/>
      <c r="D767" s="45"/>
      <c r="E767" s="45"/>
      <c r="F767" s="314"/>
      <c r="G767" s="314"/>
      <c r="H767" s="314"/>
      <c r="I767" s="314"/>
      <c r="J767" s="314"/>
      <c r="K767" s="314"/>
      <c r="L767" s="314"/>
      <c r="M767" s="314"/>
      <c r="N767" s="314"/>
      <c r="O767" s="314"/>
      <c r="P767" s="314"/>
      <c r="Q767" s="314"/>
      <c r="R767" s="314"/>
      <c r="S767" s="314"/>
      <c r="T767" s="314"/>
      <c r="U767" s="320"/>
      <c r="V767" s="320"/>
      <c r="W767" s="320"/>
    </row>
    <row r="768" spans="1:25" x14ac:dyDescent="0.45">
      <c r="A768" s="45"/>
      <c r="B768" s="427" t="s">
        <v>2028</v>
      </c>
      <c r="C768" s="312"/>
      <c r="D768" s="45"/>
      <c r="E768" s="45"/>
      <c r="F768" s="314"/>
      <c r="G768" s="314"/>
      <c r="H768" s="314"/>
      <c r="I768" s="314"/>
      <c r="J768" s="314"/>
      <c r="K768" s="314"/>
      <c r="L768" s="314"/>
      <c r="M768" s="314"/>
      <c r="N768" s="314"/>
      <c r="O768" s="314"/>
      <c r="P768" s="314"/>
      <c r="Q768" s="314"/>
      <c r="R768" s="314"/>
      <c r="S768" s="314"/>
      <c r="T768" s="314"/>
      <c r="U768" s="320"/>
      <c r="V768" s="320"/>
      <c r="W768" s="320"/>
      <c r="X768" s="320"/>
      <c r="Y768" s="320"/>
    </row>
    <row r="769" spans="1:25" x14ac:dyDescent="0.45">
      <c r="A769" s="313">
        <v>14</v>
      </c>
      <c r="B769" s="427" t="s">
        <v>2029</v>
      </c>
      <c r="C769" s="425" t="s">
        <v>1269</v>
      </c>
      <c r="D769" s="314">
        <v>309541</v>
      </c>
      <c r="E769" s="45"/>
      <c r="F769" s="314">
        <v>290384</v>
      </c>
      <c r="G769" s="314"/>
      <c r="H769" s="314">
        <v>13151</v>
      </c>
      <c r="I769" s="314"/>
      <c r="J769" s="314">
        <v>6006</v>
      </c>
      <c r="K769" s="314">
        <v>3046</v>
      </c>
      <c r="L769" s="314">
        <v>2959</v>
      </c>
      <c r="M769" s="314"/>
      <c r="N769" s="314"/>
      <c r="O769" s="314">
        <v>309541</v>
      </c>
      <c r="P769" s="314"/>
      <c r="Q769" s="314"/>
      <c r="R769" s="314"/>
      <c r="S769" s="314"/>
      <c r="T769" s="314"/>
      <c r="U769" s="325"/>
      <c r="V769" s="320"/>
      <c r="W769" s="320"/>
      <c r="X769" s="320"/>
      <c r="Y769" s="320"/>
    </row>
    <row r="770" spans="1:25" x14ac:dyDescent="0.45">
      <c r="A770" s="313">
        <v>15</v>
      </c>
      <c r="B770" s="427" t="s">
        <v>2030</v>
      </c>
      <c r="C770" s="425" t="s">
        <v>1849</v>
      </c>
      <c r="D770" s="314">
        <v>0</v>
      </c>
      <c r="E770" s="45"/>
      <c r="F770" s="314">
        <v>0</v>
      </c>
      <c r="G770" s="314"/>
      <c r="H770" s="314">
        <v>0</v>
      </c>
      <c r="I770" s="314"/>
      <c r="J770" s="314">
        <v>0</v>
      </c>
      <c r="K770" s="314">
        <v>0</v>
      </c>
      <c r="L770" s="314">
        <v>0</v>
      </c>
      <c r="M770" s="314"/>
      <c r="N770" s="314"/>
      <c r="O770" s="314">
        <v>0</v>
      </c>
      <c r="P770" s="314"/>
      <c r="Q770" s="314"/>
      <c r="R770" s="314"/>
      <c r="S770" s="314"/>
      <c r="T770" s="314"/>
      <c r="U770" s="325"/>
      <c r="V770" s="320"/>
      <c r="W770" s="320"/>
      <c r="X770" s="320"/>
      <c r="Y770" s="320"/>
    </row>
    <row r="771" spans="1:25" x14ac:dyDescent="0.45">
      <c r="A771" s="313">
        <v>16</v>
      </c>
      <c r="B771" s="427" t="s">
        <v>2031</v>
      </c>
      <c r="C771" s="428" t="s">
        <v>2189</v>
      </c>
      <c r="D771" s="314">
        <v>1471422</v>
      </c>
      <c r="E771" s="45"/>
      <c r="F771" s="314">
        <v>906481</v>
      </c>
      <c r="G771" s="314"/>
      <c r="H771" s="314">
        <v>564941</v>
      </c>
      <c r="I771" s="314"/>
      <c r="J771" s="314">
        <v>0</v>
      </c>
      <c r="K771" s="314">
        <v>0</v>
      </c>
      <c r="L771" s="314">
        <v>0</v>
      </c>
      <c r="M771" s="314"/>
      <c r="N771" s="314"/>
      <c r="O771" s="314">
        <v>1471422</v>
      </c>
      <c r="P771" s="314"/>
      <c r="Q771" s="314" t="s">
        <v>2279</v>
      </c>
      <c r="R771" s="314"/>
      <c r="S771" s="314"/>
      <c r="T771" s="314"/>
      <c r="U771" s="325"/>
      <c r="V771" s="320"/>
      <c r="W771" s="320"/>
      <c r="X771" s="320"/>
      <c r="Y771" s="320"/>
    </row>
    <row r="772" spans="1:25" x14ac:dyDescent="0.45">
      <c r="A772" s="313">
        <v>17</v>
      </c>
      <c r="B772" s="427" t="s">
        <v>1123</v>
      </c>
      <c r="C772" s="425" t="s">
        <v>1426</v>
      </c>
      <c r="D772" s="314">
        <v>0</v>
      </c>
      <c r="E772" s="45"/>
      <c r="F772" s="314">
        <v>0</v>
      </c>
      <c r="G772" s="314"/>
      <c r="H772" s="314">
        <v>0</v>
      </c>
      <c r="I772" s="314"/>
      <c r="J772" s="314">
        <v>0</v>
      </c>
      <c r="K772" s="314">
        <v>0</v>
      </c>
      <c r="L772" s="314">
        <v>0</v>
      </c>
      <c r="M772" s="314"/>
      <c r="N772" s="314"/>
      <c r="O772" s="314">
        <v>0</v>
      </c>
      <c r="P772" s="314"/>
      <c r="Q772" s="314"/>
      <c r="R772" s="314"/>
      <c r="S772" s="314"/>
      <c r="T772" s="314"/>
      <c r="U772" s="325"/>
      <c r="V772" s="320"/>
      <c r="W772" s="320"/>
      <c r="X772" s="320"/>
      <c r="Y772" s="320"/>
    </row>
    <row r="773" spans="1:25" x14ac:dyDescent="0.45">
      <c r="A773" s="313">
        <v>18</v>
      </c>
      <c r="B773" s="427" t="s">
        <v>2032</v>
      </c>
      <c r="C773" s="45"/>
      <c r="D773" s="314">
        <v>1780963</v>
      </c>
      <c r="E773" s="45"/>
      <c r="F773" s="314">
        <v>1196866</v>
      </c>
      <c r="G773" s="314"/>
      <c r="H773" s="314">
        <v>578092</v>
      </c>
      <c r="I773" s="314"/>
      <c r="J773" s="314">
        <v>6006</v>
      </c>
      <c r="K773" s="314">
        <v>3046</v>
      </c>
      <c r="L773" s="314">
        <v>2959</v>
      </c>
      <c r="M773" s="314"/>
      <c r="N773" s="314"/>
      <c r="O773" s="314">
        <v>1780963</v>
      </c>
      <c r="P773" s="314" t="s">
        <v>556</v>
      </c>
      <c r="Q773" s="314" t="s">
        <v>556</v>
      </c>
      <c r="R773" s="314" t="s">
        <v>2033</v>
      </c>
      <c r="S773" s="314"/>
      <c r="T773" s="314"/>
      <c r="U773" s="325"/>
      <c r="V773" s="325"/>
      <c r="W773" s="317"/>
    </row>
    <row r="774" spans="1:25" x14ac:dyDescent="0.45">
      <c r="A774" s="45"/>
      <c r="B774" s="45"/>
      <c r="C774" s="45"/>
      <c r="D774" s="45"/>
      <c r="E774" s="45"/>
      <c r="F774" s="314"/>
      <c r="G774" s="314"/>
      <c r="H774" s="314"/>
      <c r="I774" s="314"/>
      <c r="J774" s="314"/>
      <c r="K774" s="314"/>
      <c r="L774" s="314"/>
      <c r="M774" s="314"/>
      <c r="N774" s="314"/>
      <c r="O774" s="314"/>
      <c r="P774" s="314"/>
      <c r="Q774" s="314"/>
      <c r="R774" s="314"/>
      <c r="S774" s="314"/>
      <c r="T774" s="314"/>
      <c r="U774" s="320"/>
      <c r="V774" s="320"/>
      <c r="W774" s="320"/>
      <c r="X774" s="320"/>
      <c r="Y774" s="320"/>
    </row>
    <row r="775" spans="1:25" x14ac:dyDescent="0.45">
      <c r="A775" s="313">
        <v>19</v>
      </c>
      <c r="B775" s="424" t="s">
        <v>1346</v>
      </c>
      <c r="C775" s="312"/>
      <c r="D775" s="314">
        <v>10907444068</v>
      </c>
      <c r="E775" s="45"/>
      <c r="F775" s="314">
        <v>10194926070</v>
      </c>
      <c r="G775" s="314"/>
      <c r="H775" s="314">
        <v>568609349</v>
      </c>
      <c r="I775" s="314"/>
      <c r="J775" s="314">
        <v>143908648</v>
      </c>
      <c r="K775" s="314">
        <v>75298903</v>
      </c>
      <c r="L775" s="314">
        <v>68609745</v>
      </c>
      <c r="M775" s="314"/>
      <c r="N775" s="314"/>
      <c r="O775" s="314"/>
      <c r="P775" s="314" t="s">
        <v>556</v>
      </c>
      <c r="Q775" s="314"/>
      <c r="R775" s="314"/>
      <c r="S775" s="314"/>
      <c r="T775" s="314"/>
      <c r="U775" s="325"/>
      <c r="V775" s="320"/>
      <c r="W775" s="320"/>
    </row>
    <row r="776" spans="1:25" x14ac:dyDescent="0.45">
      <c r="A776" s="45"/>
      <c r="B776" s="45"/>
      <c r="C776" s="312"/>
      <c r="D776" s="45"/>
      <c r="E776" s="45"/>
      <c r="F776" s="314"/>
      <c r="G776" s="314"/>
      <c r="H776" s="314"/>
      <c r="I776" s="314"/>
      <c r="J776" s="314"/>
      <c r="K776" s="314"/>
      <c r="L776" s="314"/>
      <c r="M776" s="314"/>
      <c r="N776" s="314"/>
      <c r="O776" s="314"/>
      <c r="P776" s="314"/>
      <c r="Q776" s="314"/>
      <c r="R776" s="314"/>
      <c r="S776" s="314"/>
      <c r="T776" s="314"/>
      <c r="U776" s="320"/>
      <c r="V776" s="320"/>
      <c r="W776" s="320"/>
    </row>
    <row r="777" spans="1:25" x14ac:dyDescent="0.45">
      <c r="A777" s="45"/>
      <c r="B777" s="426" t="s">
        <v>1071</v>
      </c>
      <c r="C777" s="45"/>
      <c r="D777" s="45"/>
      <c r="E777" s="45"/>
      <c r="F777" s="314"/>
      <c r="G777" s="314"/>
      <c r="H777" s="314"/>
      <c r="I777" s="314"/>
      <c r="J777" s="314"/>
      <c r="K777" s="314"/>
      <c r="L777" s="314"/>
      <c r="M777" s="314"/>
      <c r="N777" s="314"/>
      <c r="O777" s="314"/>
      <c r="P777" s="314"/>
      <c r="Q777" s="314"/>
      <c r="R777" s="314"/>
      <c r="S777" s="314"/>
      <c r="T777" s="314"/>
      <c r="V777" s="320"/>
      <c r="W777" s="320"/>
    </row>
    <row r="778" spans="1:25" x14ac:dyDescent="0.45">
      <c r="A778" s="45"/>
      <c r="B778" s="45"/>
      <c r="C778" s="45"/>
      <c r="D778" s="45"/>
      <c r="E778" s="45"/>
      <c r="F778" s="314"/>
      <c r="G778" s="314"/>
      <c r="H778" s="314"/>
      <c r="I778" s="314"/>
      <c r="J778" s="314"/>
      <c r="K778" s="314"/>
      <c r="L778" s="314"/>
      <c r="M778" s="314"/>
      <c r="N778" s="314"/>
      <c r="O778" s="314"/>
      <c r="P778" s="314"/>
      <c r="Q778" s="314"/>
      <c r="R778" s="314"/>
      <c r="S778" s="314"/>
      <c r="T778" s="314"/>
    </row>
    <row r="779" spans="1:25" x14ac:dyDescent="0.45">
      <c r="A779" s="45"/>
      <c r="B779" s="424" t="s">
        <v>6</v>
      </c>
      <c r="C779" s="312"/>
      <c r="D779" s="45"/>
      <c r="E779" s="45"/>
      <c r="F779" s="314"/>
      <c r="G779" s="314"/>
      <c r="H779" s="314"/>
      <c r="I779" s="314"/>
      <c r="J779" s="314"/>
      <c r="K779" s="314"/>
      <c r="L779" s="314"/>
      <c r="M779" s="314"/>
      <c r="N779" s="314"/>
      <c r="O779" s="314"/>
      <c r="P779" s="314"/>
      <c r="Q779" s="314"/>
      <c r="R779" s="314"/>
      <c r="S779" s="314"/>
      <c r="T779" s="314"/>
    </row>
    <row r="780" spans="1:25" x14ac:dyDescent="0.45">
      <c r="A780" s="45"/>
      <c r="B780" s="45"/>
      <c r="C780" s="312"/>
      <c r="D780" s="45"/>
      <c r="E780" s="45"/>
      <c r="F780" s="314"/>
      <c r="G780" s="314"/>
      <c r="H780" s="314"/>
      <c r="I780" s="314"/>
      <c r="J780" s="314"/>
      <c r="K780" s="314"/>
      <c r="L780" s="314"/>
      <c r="M780" s="314"/>
      <c r="N780" s="314"/>
      <c r="O780" s="314"/>
      <c r="P780" s="314"/>
      <c r="Q780" s="314"/>
      <c r="R780" s="314"/>
      <c r="S780" s="314"/>
      <c r="T780" s="314"/>
    </row>
    <row r="781" spans="1:25" x14ac:dyDescent="0.45">
      <c r="A781" s="45"/>
      <c r="B781" s="424" t="s">
        <v>7</v>
      </c>
      <c r="C781" s="45"/>
      <c r="D781" s="45"/>
      <c r="E781" s="45"/>
      <c r="F781" s="314"/>
      <c r="G781" s="314"/>
      <c r="H781" s="314"/>
      <c r="I781" s="314"/>
      <c r="J781" s="314"/>
      <c r="K781" s="314"/>
      <c r="L781" s="314"/>
      <c r="M781" s="314"/>
      <c r="N781" s="314"/>
      <c r="O781" s="314"/>
      <c r="P781" s="314"/>
      <c r="Q781" s="314"/>
      <c r="R781" s="314"/>
      <c r="S781" s="314"/>
      <c r="T781" s="314"/>
    </row>
    <row r="782" spans="1:25" x14ac:dyDescent="0.45">
      <c r="A782" s="45"/>
      <c r="B782" s="424" t="s">
        <v>8</v>
      </c>
      <c r="C782" s="45"/>
      <c r="D782" s="45"/>
      <c r="E782" s="45"/>
      <c r="F782" s="314"/>
      <c r="G782" s="314"/>
      <c r="H782" s="314"/>
      <c r="I782" s="314"/>
      <c r="J782" s="314"/>
      <c r="K782" s="314"/>
      <c r="L782" s="314"/>
      <c r="M782" s="314"/>
      <c r="N782" s="314"/>
      <c r="O782" s="314"/>
      <c r="P782" s="314"/>
      <c r="Q782" s="314"/>
      <c r="R782" s="314"/>
      <c r="S782" s="314"/>
      <c r="T782" s="314"/>
    </row>
    <row r="783" spans="1:25" x14ac:dyDescent="0.45">
      <c r="A783" s="313">
        <v>1</v>
      </c>
      <c r="B783" s="424" t="s">
        <v>9</v>
      </c>
      <c r="C783" s="425" t="s">
        <v>1428</v>
      </c>
      <c r="D783" s="314">
        <v>2171785257</v>
      </c>
      <c r="E783" s="45"/>
      <c r="F783" s="314">
        <v>2037379957</v>
      </c>
      <c r="G783" s="314"/>
      <c r="H783" s="314">
        <v>92268566</v>
      </c>
      <c r="I783" s="314"/>
      <c r="J783" s="314">
        <v>42136734</v>
      </c>
      <c r="K783" s="314">
        <v>21374109</v>
      </c>
      <c r="L783" s="314">
        <v>20762625</v>
      </c>
      <c r="M783" s="314"/>
      <c r="N783" s="314"/>
      <c r="O783" s="314">
        <v>2171785257</v>
      </c>
      <c r="P783" s="314"/>
      <c r="Q783" s="314" t="s">
        <v>10</v>
      </c>
      <c r="R783" s="314"/>
      <c r="S783" s="314"/>
      <c r="T783" s="314"/>
      <c r="U783" s="320"/>
      <c r="V783" s="325"/>
      <c r="W783" s="320"/>
      <c r="X783" s="320"/>
      <c r="Y783" s="320"/>
    </row>
    <row r="784" spans="1:25" x14ac:dyDescent="0.45">
      <c r="A784" s="313">
        <v>2</v>
      </c>
      <c r="B784" s="424" t="s">
        <v>11</v>
      </c>
      <c r="C784" s="425" t="s">
        <v>1271</v>
      </c>
      <c r="D784" s="314">
        <v>9027861</v>
      </c>
      <c r="E784" s="45"/>
      <c r="F784" s="314">
        <v>4643691</v>
      </c>
      <c r="G784" s="314"/>
      <c r="H784" s="314">
        <v>3009711</v>
      </c>
      <c r="I784" s="314"/>
      <c r="J784" s="314">
        <v>1374459</v>
      </c>
      <c r="K784" s="314">
        <v>697203</v>
      </c>
      <c r="L784" s="314">
        <v>677257</v>
      </c>
      <c r="M784" s="314"/>
      <c r="N784" s="314"/>
      <c r="O784" s="314">
        <v>9027861</v>
      </c>
      <c r="P784" s="314"/>
      <c r="Q784" s="314"/>
      <c r="R784" s="314"/>
      <c r="S784" s="314"/>
      <c r="T784" s="314"/>
      <c r="U784" s="320"/>
      <c r="V784" s="320"/>
      <c r="W784" s="320"/>
      <c r="X784" s="320"/>
      <c r="Y784" s="320"/>
    </row>
    <row r="785" spans="1:25" x14ac:dyDescent="0.45">
      <c r="A785" s="313">
        <v>3</v>
      </c>
      <c r="B785" s="424" t="s">
        <v>12</v>
      </c>
      <c r="C785" s="425" t="s">
        <v>1277</v>
      </c>
      <c r="D785" s="314">
        <v>1947001</v>
      </c>
      <c r="E785" s="45"/>
      <c r="F785" s="314">
        <v>1502334</v>
      </c>
      <c r="G785" s="314"/>
      <c r="H785" s="314">
        <v>0</v>
      </c>
      <c r="I785" s="314"/>
      <c r="J785" s="314">
        <v>444667</v>
      </c>
      <c r="K785" s="314">
        <v>225560</v>
      </c>
      <c r="L785" s="314">
        <v>219107</v>
      </c>
      <c r="M785" s="314"/>
      <c r="N785" s="314"/>
      <c r="O785" s="314">
        <v>1947001</v>
      </c>
      <c r="P785" s="314"/>
      <c r="Q785" s="314"/>
      <c r="R785" s="314"/>
      <c r="S785" s="314"/>
      <c r="T785" s="314"/>
      <c r="U785" s="320"/>
      <c r="V785" s="320"/>
      <c r="W785" s="320"/>
    </row>
    <row r="786" spans="1:25" x14ac:dyDescent="0.45">
      <c r="A786" s="313">
        <v>4</v>
      </c>
      <c r="B786" s="424" t="s">
        <v>13</v>
      </c>
      <c r="C786" s="45"/>
      <c r="D786" s="314">
        <v>2182760119</v>
      </c>
      <c r="E786" s="45"/>
      <c r="F786" s="314">
        <v>2043525981</v>
      </c>
      <c r="G786" s="314"/>
      <c r="H786" s="314">
        <v>95278277</v>
      </c>
      <c r="I786" s="314"/>
      <c r="J786" s="314">
        <v>43955860</v>
      </c>
      <c r="K786" s="314">
        <v>22296872</v>
      </c>
      <c r="L786" s="314">
        <v>21658988</v>
      </c>
      <c r="M786" s="314"/>
      <c r="N786" s="314"/>
      <c r="O786" s="314"/>
      <c r="P786" s="314" t="s">
        <v>556</v>
      </c>
      <c r="Q786" s="314"/>
      <c r="R786" s="314"/>
      <c r="S786" s="314"/>
      <c r="T786" s="314"/>
      <c r="U786" s="320"/>
      <c r="V786" s="320"/>
      <c r="W786" s="320"/>
    </row>
    <row r="787" spans="1:25" x14ac:dyDescent="0.45">
      <c r="A787" s="313"/>
      <c r="B787" s="424"/>
      <c r="C787" s="45"/>
      <c r="D787" s="314"/>
      <c r="E787" s="45"/>
      <c r="F787" s="314"/>
      <c r="G787" s="314"/>
      <c r="H787" s="314"/>
      <c r="I787" s="314"/>
      <c r="J787" s="314"/>
      <c r="K787" s="314"/>
      <c r="L787" s="314"/>
      <c r="M787" s="314"/>
      <c r="N787" s="314"/>
      <c r="O787" s="314"/>
      <c r="P787" s="314"/>
      <c r="Q787" s="314"/>
      <c r="R787" s="314"/>
      <c r="S787" s="314"/>
      <c r="T787" s="314"/>
      <c r="U787" s="320"/>
      <c r="V787" s="320"/>
      <c r="W787" s="320"/>
    </row>
    <row r="788" spans="1:25" x14ac:dyDescent="0.45">
      <c r="A788" s="45"/>
      <c r="B788" s="424" t="s">
        <v>14</v>
      </c>
      <c r="C788" s="45"/>
      <c r="D788" s="45"/>
      <c r="E788" s="45"/>
      <c r="F788" s="314"/>
      <c r="G788" s="314"/>
      <c r="H788" s="314"/>
      <c r="I788" s="314"/>
      <c r="J788" s="314"/>
      <c r="K788" s="314"/>
      <c r="L788" s="314"/>
      <c r="M788" s="314"/>
      <c r="N788" s="314"/>
      <c r="O788" s="314"/>
      <c r="P788" s="314"/>
      <c r="Q788" s="314"/>
      <c r="R788" s="314"/>
      <c r="S788" s="314"/>
      <c r="T788" s="314"/>
      <c r="V788" s="320"/>
      <c r="W788" s="320"/>
    </row>
    <row r="789" spans="1:25" x14ac:dyDescent="0.45">
      <c r="A789" s="313">
        <v>5</v>
      </c>
      <c r="B789" s="424" t="s">
        <v>9</v>
      </c>
      <c r="C789" s="425" t="s">
        <v>1432</v>
      </c>
      <c r="D789" s="314">
        <v>17865613</v>
      </c>
      <c r="E789" s="45"/>
      <c r="F789" s="314">
        <v>16759964</v>
      </c>
      <c r="G789" s="314"/>
      <c r="H789" s="314">
        <v>759023</v>
      </c>
      <c r="I789" s="314"/>
      <c r="J789" s="314">
        <v>346627</v>
      </c>
      <c r="K789" s="314">
        <v>175828</v>
      </c>
      <c r="L789" s="314">
        <v>170798</v>
      </c>
      <c r="M789" s="314"/>
      <c r="N789" s="314"/>
      <c r="O789" s="314">
        <v>17865613</v>
      </c>
      <c r="P789" s="314"/>
      <c r="Q789" s="314" t="s">
        <v>10</v>
      </c>
      <c r="R789" s="314"/>
      <c r="S789" s="314"/>
      <c r="T789" s="314"/>
      <c r="U789" s="320"/>
      <c r="V789" s="325"/>
      <c r="W789" s="320"/>
      <c r="X789" s="320"/>
      <c r="Y789" s="320"/>
    </row>
    <row r="790" spans="1:25" x14ac:dyDescent="0.45">
      <c r="A790" s="313">
        <v>6</v>
      </c>
      <c r="B790" s="424" t="s">
        <v>11</v>
      </c>
      <c r="C790" s="425" t="s">
        <v>1271</v>
      </c>
      <c r="D790" s="314">
        <v>1647</v>
      </c>
      <c r="E790" s="45"/>
      <c r="F790" s="314">
        <v>847</v>
      </c>
      <c r="G790" s="314"/>
      <c r="H790" s="314">
        <v>549</v>
      </c>
      <c r="I790" s="314"/>
      <c r="J790" s="314">
        <v>251</v>
      </c>
      <c r="K790" s="314">
        <v>127</v>
      </c>
      <c r="L790" s="314">
        <v>124</v>
      </c>
      <c r="M790" s="314"/>
      <c r="N790" s="314"/>
      <c r="O790" s="314">
        <v>1647</v>
      </c>
      <c r="P790" s="314"/>
      <c r="Q790" s="314"/>
      <c r="R790" s="314"/>
      <c r="S790" s="314"/>
      <c r="T790" s="314"/>
      <c r="U790" s="320"/>
      <c r="V790" s="320"/>
      <c r="W790" s="320"/>
      <c r="X790" s="320"/>
      <c r="Y790" s="320"/>
    </row>
    <row r="791" spans="1:25" x14ac:dyDescent="0.45">
      <c r="A791" s="313">
        <v>7</v>
      </c>
      <c r="B791" s="424" t="s">
        <v>12</v>
      </c>
      <c r="C791" s="425" t="s">
        <v>1277</v>
      </c>
      <c r="D791" s="314">
        <v>6391</v>
      </c>
      <c r="E791" s="45"/>
      <c r="F791" s="314">
        <v>4932</v>
      </c>
      <c r="G791" s="314"/>
      <c r="H791" s="314">
        <v>0</v>
      </c>
      <c r="I791" s="314"/>
      <c r="J791" s="314">
        <v>1460</v>
      </c>
      <c r="K791" s="314">
        <v>740</v>
      </c>
      <c r="L791" s="314">
        <v>719</v>
      </c>
      <c r="M791" s="314"/>
      <c r="N791" s="314"/>
      <c r="O791" s="314">
        <v>6391</v>
      </c>
      <c r="P791" s="314"/>
      <c r="Q791" s="314"/>
      <c r="R791" s="314"/>
      <c r="S791" s="314"/>
      <c r="T791" s="314"/>
      <c r="U791" s="320"/>
      <c r="V791" s="320"/>
      <c r="W791" s="320"/>
    </row>
    <row r="792" spans="1:25" x14ac:dyDescent="0.45">
      <c r="A792" s="313">
        <v>8</v>
      </c>
      <c r="B792" s="424" t="s">
        <v>15</v>
      </c>
      <c r="C792" s="45"/>
      <c r="D792" s="314">
        <v>17873652</v>
      </c>
      <c r="E792" s="45"/>
      <c r="F792" s="314">
        <v>16765743</v>
      </c>
      <c r="G792" s="314"/>
      <c r="H792" s="314">
        <v>759572</v>
      </c>
      <c r="I792" s="314"/>
      <c r="J792" s="314">
        <v>348337</v>
      </c>
      <c r="K792" s="314">
        <v>176696</v>
      </c>
      <c r="L792" s="314">
        <v>171641</v>
      </c>
      <c r="M792" s="314"/>
      <c r="N792" s="314"/>
      <c r="O792" s="314"/>
      <c r="P792" s="314" t="s">
        <v>556</v>
      </c>
      <c r="Q792" s="314"/>
      <c r="R792" s="314"/>
      <c r="S792" s="314"/>
      <c r="T792" s="314"/>
      <c r="U792" s="320"/>
      <c r="V792" s="320"/>
      <c r="W792" s="320"/>
    </row>
    <row r="793" spans="1:25" x14ac:dyDescent="0.45">
      <c r="A793" s="313"/>
      <c r="B793" s="424"/>
      <c r="C793" s="45"/>
      <c r="D793" s="314"/>
      <c r="E793" s="45"/>
      <c r="F793" s="314"/>
      <c r="G793" s="314"/>
      <c r="H793" s="314"/>
      <c r="I793" s="314"/>
      <c r="J793" s="314"/>
      <c r="K793" s="314"/>
      <c r="L793" s="314"/>
      <c r="M793" s="314"/>
      <c r="N793" s="314"/>
      <c r="O793" s="314"/>
      <c r="P793" s="314"/>
      <c r="Q793" s="314"/>
      <c r="R793" s="314"/>
      <c r="S793" s="314"/>
      <c r="T793" s="314"/>
      <c r="U793" s="320"/>
      <c r="V793" s="320"/>
      <c r="W793" s="320"/>
    </row>
    <row r="794" spans="1:25" x14ac:dyDescent="0.45">
      <c r="A794" s="45"/>
      <c r="B794" s="424" t="s">
        <v>16</v>
      </c>
      <c r="C794" s="45"/>
      <c r="D794" s="45"/>
      <c r="E794" s="45"/>
      <c r="F794" s="314"/>
      <c r="G794" s="314"/>
      <c r="H794" s="314"/>
      <c r="I794" s="314"/>
      <c r="J794" s="314"/>
      <c r="K794" s="314"/>
      <c r="L794" s="314"/>
      <c r="M794" s="314"/>
      <c r="N794" s="314"/>
      <c r="O794" s="314"/>
      <c r="P794" s="314"/>
      <c r="Q794" s="314"/>
      <c r="R794" s="314"/>
      <c r="S794" s="314"/>
      <c r="T794" s="314"/>
      <c r="V794" s="320"/>
      <c r="W794" s="320"/>
    </row>
    <row r="795" spans="1:25" x14ac:dyDescent="0.45">
      <c r="A795" s="313">
        <v>9</v>
      </c>
      <c r="B795" s="424" t="s">
        <v>9</v>
      </c>
      <c r="C795" s="425" t="s">
        <v>1434</v>
      </c>
      <c r="D795" s="314">
        <v>453222838</v>
      </c>
      <c r="E795" s="45"/>
      <c r="F795" s="314">
        <v>425254874</v>
      </c>
      <c r="G795" s="314"/>
      <c r="H795" s="314">
        <v>19199868</v>
      </c>
      <c r="I795" s="314"/>
      <c r="J795" s="314">
        <v>8768097</v>
      </c>
      <c r="K795" s="314">
        <v>4447669</v>
      </c>
      <c r="L795" s="314">
        <v>4320427</v>
      </c>
      <c r="M795" s="314"/>
      <c r="N795" s="314"/>
      <c r="O795" s="314">
        <v>453222838</v>
      </c>
      <c r="P795" s="314"/>
      <c r="Q795" s="314" t="s">
        <v>10</v>
      </c>
      <c r="R795" s="314"/>
      <c r="S795" s="314"/>
      <c r="T795" s="314"/>
      <c r="U795" s="320"/>
      <c r="V795" s="325"/>
      <c r="W795" s="320"/>
      <c r="X795" s="320"/>
      <c r="Y795" s="320"/>
    </row>
    <row r="796" spans="1:25" x14ac:dyDescent="0.45">
      <c r="A796" s="313">
        <v>10</v>
      </c>
      <c r="B796" s="424" t="s">
        <v>11</v>
      </c>
      <c r="C796" s="425" t="s">
        <v>1271</v>
      </c>
      <c r="D796" s="314">
        <v>966</v>
      </c>
      <c r="E796" s="45"/>
      <c r="F796" s="314">
        <v>497</v>
      </c>
      <c r="G796" s="314"/>
      <c r="H796" s="314">
        <v>322</v>
      </c>
      <c r="I796" s="314"/>
      <c r="J796" s="314">
        <v>147</v>
      </c>
      <c r="K796" s="314">
        <v>75</v>
      </c>
      <c r="L796" s="314">
        <v>72</v>
      </c>
      <c r="M796" s="314"/>
      <c r="N796" s="314"/>
      <c r="O796" s="314">
        <v>966</v>
      </c>
      <c r="P796" s="314"/>
      <c r="Q796" s="314"/>
      <c r="R796" s="314"/>
      <c r="S796" s="314"/>
      <c r="T796" s="314"/>
      <c r="U796" s="320"/>
      <c r="V796" s="320"/>
      <c r="W796" s="320"/>
      <c r="X796" s="320"/>
      <c r="Y796" s="320"/>
    </row>
    <row r="797" spans="1:25" x14ac:dyDescent="0.45">
      <c r="A797" s="313">
        <v>11</v>
      </c>
      <c r="B797" s="424" t="s">
        <v>12</v>
      </c>
      <c r="C797" s="425" t="s">
        <v>1277</v>
      </c>
      <c r="D797" s="314">
        <v>485130</v>
      </c>
      <c r="E797" s="45"/>
      <c r="F797" s="314">
        <v>374333</v>
      </c>
      <c r="G797" s="314"/>
      <c r="H797" s="314">
        <v>0</v>
      </c>
      <c r="I797" s="314"/>
      <c r="J797" s="314">
        <v>110797</v>
      </c>
      <c r="K797" s="314">
        <v>56202</v>
      </c>
      <c r="L797" s="314">
        <v>54594</v>
      </c>
      <c r="M797" s="314"/>
      <c r="N797" s="314"/>
      <c r="O797" s="314">
        <v>485130</v>
      </c>
      <c r="P797" s="314"/>
      <c r="Q797" s="314"/>
      <c r="R797" s="314"/>
      <c r="S797" s="314"/>
      <c r="T797" s="314"/>
      <c r="U797" s="320"/>
      <c r="V797" s="320"/>
      <c r="W797" s="320"/>
    </row>
    <row r="798" spans="1:25" x14ac:dyDescent="0.45">
      <c r="A798" s="313">
        <v>12</v>
      </c>
      <c r="B798" s="424" t="s">
        <v>17</v>
      </c>
      <c r="C798" s="45"/>
      <c r="D798" s="314">
        <v>453708934</v>
      </c>
      <c r="E798" s="45"/>
      <c r="F798" s="314">
        <v>425629704</v>
      </c>
      <c r="G798" s="314"/>
      <c r="H798" s="314">
        <v>19200190</v>
      </c>
      <c r="I798" s="314"/>
      <c r="J798" s="314">
        <v>8879040</v>
      </c>
      <c r="K798" s="314">
        <v>4503946</v>
      </c>
      <c r="L798" s="314">
        <v>4375094</v>
      </c>
      <c r="M798" s="314"/>
      <c r="N798" s="314"/>
      <c r="O798" s="314"/>
      <c r="P798" s="314" t="s">
        <v>556</v>
      </c>
      <c r="Q798" s="314"/>
      <c r="R798" s="314"/>
      <c r="S798" s="314"/>
      <c r="T798" s="314"/>
      <c r="U798" s="320"/>
      <c r="V798" s="320"/>
      <c r="W798" s="320"/>
    </row>
    <row r="799" spans="1:25" x14ac:dyDescent="0.45">
      <c r="A799" s="313"/>
      <c r="B799" s="424"/>
      <c r="C799" s="45"/>
      <c r="D799" s="314"/>
      <c r="E799" s="45"/>
      <c r="F799" s="314"/>
      <c r="G799" s="314"/>
      <c r="H799" s="314"/>
      <c r="I799" s="314"/>
      <c r="J799" s="314"/>
      <c r="K799" s="314"/>
      <c r="L799" s="314"/>
      <c r="M799" s="314"/>
      <c r="N799" s="314"/>
      <c r="O799" s="314"/>
      <c r="P799" s="314"/>
      <c r="Q799" s="314"/>
      <c r="R799" s="314"/>
      <c r="S799" s="314"/>
      <c r="T799" s="314"/>
      <c r="U799" s="320"/>
      <c r="V799" s="320"/>
      <c r="W799" s="320"/>
    </row>
    <row r="800" spans="1:25" x14ac:dyDescent="0.45">
      <c r="A800" s="313">
        <v>13</v>
      </c>
      <c r="B800" s="424" t="s">
        <v>18</v>
      </c>
      <c r="C800" s="45"/>
      <c r="D800" s="314">
        <v>2654342705</v>
      </c>
      <c r="E800" s="45"/>
      <c r="F800" s="314">
        <v>2485921428</v>
      </c>
      <c r="G800" s="314"/>
      <c r="H800" s="314">
        <v>115238039</v>
      </c>
      <c r="I800" s="314"/>
      <c r="J800" s="314">
        <v>53183238</v>
      </c>
      <c r="K800" s="314">
        <v>26977514</v>
      </c>
      <c r="L800" s="314">
        <v>26205724</v>
      </c>
      <c r="M800" s="314"/>
      <c r="N800" s="314"/>
      <c r="O800" s="314"/>
      <c r="P800" s="314"/>
      <c r="Q800" s="314"/>
      <c r="R800" s="314"/>
      <c r="S800" s="314"/>
      <c r="T800" s="314"/>
      <c r="V800" s="320"/>
      <c r="W800" s="320"/>
    </row>
    <row r="801" spans="1:25" x14ac:dyDescent="0.45">
      <c r="A801" s="45"/>
      <c r="B801" s="45"/>
      <c r="C801" s="312"/>
      <c r="D801" s="45"/>
      <c r="E801" s="45"/>
      <c r="F801" s="314"/>
      <c r="G801" s="314"/>
      <c r="H801" s="314"/>
      <c r="I801" s="314"/>
      <c r="J801" s="314"/>
      <c r="K801" s="314"/>
      <c r="L801" s="314"/>
      <c r="M801" s="314"/>
      <c r="N801" s="314"/>
      <c r="O801" s="314"/>
      <c r="P801" s="314"/>
      <c r="Q801" s="314"/>
      <c r="R801" s="314"/>
      <c r="S801" s="314"/>
      <c r="T801" s="314"/>
      <c r="V801" s="320"/>
      <c r="W801" s="320"/>
    </row>
    <row r="802" spans="1:25" x14ac:dyDescent="0.45">
      <c r="A802" s="45"/>
      <c r="B802" s="424" t="s">
        <v>19</v>
      </c>
      <c r="C802" s="45"/>
      <c r="D802" s="45"/>
      <c r="E802" s="45"/>
      <c r="F802" s="314"/>
      <c r="G802" s="314"/>
      <c r="H802" s="314"/>
      <c r="I802" s="314"/>
      <c r="J802" s="314"/>
      <c r="K802" s="314"/>
      <c r="L802" s="314"/>
      <c r="M802" s="314"/>
      <c r="N802" s="314"/>
      <c r="O802" s="314"/>
      <c r="P802" s="314"/>
      <c r="Q802" s="314"/>
      <c r="R802" s="314"/>
      <c r="S802" s="314"/>
      <c r="T802" s="314"/>
      <c r="V802" s="320"/>
      <c r="W802" s="320"/>
    </row>
    <row r="803" spans="1:25" x14ac:dyDescent="0.45">
      <c r="A803" s="313">
        <v>14</v>
      </c>
      <c r="B803" s="424" t="s">
        <v>1067</v>
      </c>
      <c r="C803" s="425" t="s">
        <v>2141</v>
      </c>
      <c r="D803" s="314">
        <v>355712970</v>
      </c>
      <c r="E803" s="45"/>
      <c r="F803" s="314">
        <v>340198668</v>
      </c>
      <c r="G803" s="314"/>
      <c r="H803" s="314">
        <v>15514302</v>
      </c>
      <c r="I803" s="314"/>
      <c r="J803" s="314">
        <v>0</v>
      </c>
      <c r="K803" s="314">
        <v>0</v>
      </c>
      <c r="L803" s="314">
        <v>0</v>
      </c>
      <c r="M803" s="314"/>
      <c r="N803" s="314"/>
      <c r="O803" s="314">
        <v>355712970</v>
      </c>
      <c r="P803" s="314"/>
      <c r="Q803" s="314" t="s">
        <v>10</v>
      </c>
      <c r="R803" s="314"/>
      <c r="S803" s="314"/>
      <c r="T803" s="314"/>
      <c r="U803" s="320"/>
      <c r="V803" s="325"/>
      <c r="W803" s="320"/>
      <c r="X803" s="320"/>
      <c r="Y803" s="320"/>
    </row>
    <row r="804" spans="1:25" x14ac:dyDescent="0.45">
      <c r="A804" s="313">
        <v>15</v>
      </c>
      <c r="B804" s="424" t="s">
        <v>1070</v>
      </c>
      <c r="C804" s="425" t="s">
        <v>1344</v>
      </c>
      <c r="D804" s="314">
        <v>32034764</v>
      </c>
      <c r="E804" s="45"/>
      <c r="F804" s="314">
        <v>2567091</v>
      </c>
      <c r="G804" s="314"/>
      <c r="H804" s="314">
        <v>29467673</v>
      </c>
      <c r="I804" s="314"/>
      <c r="J804" s="314">
        <v>0</v>
      </c>
      <c r="K804" s="314">
        <v>0</v>
      </c>
      <c r="L804" s="314">
        <v>0</v>
      </c>
      <c r="M804" s="314"/>
      <c r="N804" s="314"/>
      <c r="O804" s="314">
        <v>32034764</v>
      </c>
      <c r="P804" s="314"/>
      <c r="Q804" s="314"/>
      <c r="R804" s="314"/>
      <c r="S804" s="314"/>
      <c r="T804" s="314"/>
      <c r="U804" s="320"/>
      <c r="V804" s="320"/>
      <c r="W804" s="320"/>
      <c r="X804" s="320"/>
      <c r="Y804" s="320"/>
    </row>
    <row r="805" spans="1:25" x14ac:dyDescent="0.45">
      <c r="A805" s="313">
        <v>16</v>
      </c>
      <c r="B805" s="424" t="s">
        <v>1058</v>
      </c>
      <c r="C805" s="425" t="s">
        <v>1271</v>
      </c>
      <c r="D805" s="314">
        <v>1330437</v>
      </c>
      <c r="E805" s="45"/>
      <c r="F805" s="314">
        <v>684341</v>
      </c>
      <c r="G805" s="314"/>
      <c r="H805" s="314">
        <v>443541</v>
      </c>
      <c r="I805" s="314"/>
      <c r="J805" s="314">
        <v>202554</v>
      </c>
      <c r="K805" s="314">
        <v>102747</v>
      </c>
      <c r="L805" s="314">
        <v>99807</v>
      </c>
      <c r="M805" s="314"/>
      <c r="N805" s="314"/>
      <c r="O805" s="314">
        <v>1330437</v>
      </c>
      <c r="P805" s="314"/>
      <c r="Q805" s="314"/>
      <c r="R805" s="314"/>
      <c r="S805" s="314"/>
      <c r="T805" s="314"/>
      <c r="U805" s="320"/>
      <c r="V805" s="320"/>
      <c r="W805" s="320"/>
      <c r="X805" s="320"/>
      <c r="Y805" s="320"/>
    </row>
    <row r="806" spans="1:25" x14ac:dyDescent="0.45">
      <c r="A806" s="313">
        <v>17</v>
      </c>
      <c r="B806" s="424" t="s">
        <v>1059</v>
      </c>
      <c r="C806" s="425" t="s">
        <v>1277</v>
      </c>
      <c r="D806" s="314">
        <v>92253</v>
      </c>
      <c r="E806" s="45"/>
      <c r="F806" s="314">
        <v>71183</v>
      </c>
      <c r="G806" s="314"/>
      <c r="H806" s="314">
        <v>0</v>
      </c>
      <c r="I806" s="314"/>
      <c r="J806" s="314">
        <v>21069</v>
      </c>
      <c r="K806" s="314">
        <v>10687</v>
      </c>
      <c r="L806" s="314">
        <v>10382</v>
      </c>
      <c r="M806" s="314"/>
      <c r="N806" s="314"/>
      <c r="O806" s="314">
        <v>92253</v>
      </c>
      <c r="P806" s="314"/>
      <c r="Q806" s="314"/>
      <c r="R806" s="314"/>
      <c r="S806" s="314"/>
      <c r="T806" s="314"/>
      <c r="U806" s="320"/>
      <c r="V806" s="320"/>
      <c r="W806" s="320"/>
    </row>
    <row r="807" spans="1:25" x14ac:dyDescent="0.45">
      <c r="A807" s="313">
        <v>18</v>
      </c>
      <c r="B807" s="424" t="s">
        <v>20</v>
      </c>
      <c r="C807" s="45"/>
      <c r="D807" s="314">
        <v>389170423</v>
      </c>
      <c r="E807" s="45"/>
      <c r="F807" s="314">
        <v>343521283</v>
      </c>
      <c r="G807" s="314"/>
      <c r="H807" s="314">
        <v>45425517</v>
      </c>
      <c r="I807" s="314"/>
      <c r="J807" s="314">
        <v>223623</v>
      </c>
      <c r="K807" s="314">
        <v>113434</v>
      </c>
      <c r="L807" s="314">
        <v>110189</v>
      </c>
      <c r="M807" s="314"/>
      <c r="N807" s="314"/>
      <c r="O807" s="314"/>
      <c r="P807" s="314" t="s">
        <v>556</v>
      </c>
      <c r="Q807" s="314"/>
      <c r="R807" s="314"/>
      <c r="S807" s="314"/>
      <c r="T807" s="314"/>
      <c r="U807" s="320"/>
      <c r="V807" s="320"/>
      <c r="W807" s="320"/>
    </row>
    <row r="808" spans="1:25" x14ac:dyDescent="0.45">
      <c r="A808" s="45"/>
      <c r="B808" s="45"/>
      <c r="C808" s="312"/>
      <c r="D808" s="45"/>
      <c r="E808" s="45"/>
      <c r="F808" s="314"/>
      <c r="G808" s="314"/>
      <c r="H808" s="314"/>
      <c r="I808" s="314"/>
      <c r="J808" s="314"/>
      <c r="K808" s="314"/>
      <c r="L808" s="314"/>
      <c r="M808" s="314"/>
      <c r="N808" s="314"/>
      <c r="O808" s="314"/>
      <c r="P808" s="314"/>
      <c r="Q808" s="314"/>
      <c r="R808" s="314"/>
      <c r="S808" s="314"/>
      <c r="T808" s="314"/>
      <c r="V808" s="320"/>
      <c r="W808" s="320"/>
    </row>
    <row r="809" spans="1:25" x14ac:dyDescent="0.45">
      <c r="A809" s="313">
        <v>19</v>
      </c>
      <c r="B809" s="427" t="s">
        <v>2034</v>
      </c>
      <c r="C809" s="425" t="s">
        <v>1366</v>
      </c>
      <c r="D809" s="314">
        <v>43641211</v>
      </c>
      <c r="E809" s="45"/>
      <c r="F809" s="314">
        <v>19414</v>
      </c>
      <c r="G809" s="314"/>
      <c r="H809" s="314">
        <v>43621797</v>
      </c>
      <c r="I809" s="314"/>
      <c r="J809" s="314">
        <v>0</v>
      </c>
      <c r="K809" s="314">
        <v>0</v>
      </c>
      <c r="L809" s="314">
        <v>0</v>
      </c>
      <c r="M809" s="314"/>
      <c r="N809" s="314"/>
      <c r="O809" s="314">
        <v>43641211</v>
      </c>
      <c r="P809" s="314"/>
      <c r="Q809" s="314"/>
      <c r="R809" s="314"/>
      <c r="S809" s="314"/>
      <c r="T809" s="314"/>
      <c r="U809" s="320"/>
      <c r="V809" s="320"/>
      <c r="W809" s="320"/>
      <c r="X809" s="320"/>
      <c r="Y809" s="320"/>
    </row>
    <row r="810" spans="1:25" x14ac:dyDescent="0.45">
      <c r="A810" s="313">
        <v>20</v>
      </c>
      <c r="B810" s="427" t="s">
        <v>2035</v>
      </c>
      <c r="C810" s="425" t="s">
        <v>1444</v>
      </c>
      <c r="D810" s="314">
        <v>694577059</v>
      </c>
      <c r="E810" s="45"/>
      <c r="F810" s="314">
        <v>693456462</v>
      </c>
      <c r="G810" s="314"/>
      <c r="H810" s="314">
        <v>0</v>
      </c>
      <c r="I810" s="314"/>
      <c r="J810" s="314">
        <v>1120598</v>
      </c>
      <c r="K810" s="314">
        <v>1112070</v>
      </c>
      <c r="L810" s="314">
        <v>8528</v>
      </c>
      <c r="M810" s="314"/>
      <c r="N810" s="314"/>
      <c r="O810" s="314">
        <v>694577059</v>
      </c>
      <c r="P810" s="314"/>
      <c r="Q810" s="314" t="s">
        <v>10</v>
      </c>
      <c r="R810" s="314"/>
      <c r="S810" s="314"/>
      <c r="T810" s="314"/>
      <c r="U810" s="320"/>
      <c r="V810" s="325"/>
      <c r="W810" s="320"/>
      <c r="X810" s="320"/>
      <c r="Y810" s="320"/>
    </row>
    <row r="811" spans="1:25" x14ac:dyDescent="0.45">
      <c r="A811" s="313">
        <v>21</v>
      </c>
      <c r="B811" s="424" t="s">
        <v>21</v>
      </c>
      <c r="C811" s="45"/>
      <c r="D811" s="314">
        <v>738218270</v>
      </c>
      <c r="E811" s="45"/>
      <c r="F811" s="314">
        <v>693475875</v>
      </c>
      <c r="G811" s="314"/>
      <c r="H811" s="314">
        <v>43621797</v>
      </c>
      <c r="I811" s="314"/>
      <c r="J811" s="314">
        <v>1120598</v>
      </c>
      <c r="K811" s="314">
        <v>1112070</v>
      </c>
      <c r="L811" s="314">
        <v>8528</v>
      </c>
      <c r="M811" s="314"/>
      <c r="N811" s="314"/>
      <c r="O811" s="314"/>
      <c r="P811" s="314" t="s">
        <v>556</v>
      </c>
      <c r="Q811" s="314"/>
      <c r="R811" s="314"/>
      <c r="S811" s="314"/>
      <c r="T811" s="314"/>
      <c r="U811" s="320"/>
      <c r="V811" s="320"/>
      <c r="W811" s="320"/>
    </row>
    <row r="812" spans="1:25" x14ac:dyDescent="0.45">
      <c r="A812" s="45"/>
      <c r="B812" s="45"/>
      <c r="C812" s="45"/>
      <c r="D812" s="45"/>
      <c r="E812" s="45"/>
      <c r="F812" s="314"/>
      <c r="G812" s="314"/>
      <c r="H812" s="314"/>
      <c r="I812" s="314"/>
      <c r="J812" s="314"/>
      <c r="K812" s="314"/>
      <c r="L812" s="314"/>
      <c r="M812" s="314"/>
      <c r="N812" s="314"/>
      <c r="O812" s="314"/>
      <c r="P812" s="314"/>
      <c r="Q812" s="314"/>
      <c r="R812" s="314"/>
      <c r="S812" s="314"/>
      <c r="T812" s="314"/>
      <c r="V812" s="320"/>
      <c r="W812" s="320"/>
    </row>
    <row r="813" spans="1:25" x14ac:dyDescent="0.45">
      <c r="A813" s="313">
        <v>22</v>
      </c>
      <c r="B813" s="424" t="s">
        <v>22</v>
      </c>
      <c r="C813" s="425" t="s">
        <v>1446</v>
      </c>
      <c r="D813" s="314">
        <v>88363481</v>
      </c>
      <c r="E813" s="45"/>
      <c r="F813" s="314">
        <v>83296248</v>
      </c>
      <c r="G813" s="314"/>
      <c r="H813" s="314">
        <v>4084209</v>
      </c>
      <c r="I813" s="314"/>
      <c r="J813" s="314">
        <v>983024</v>
      </c>
      <c r="K813" s="314">
        <v>512560</v>
      </c>
      <c r="L813" s="314">
        <v>470464</v>
      </c>
      <c r="M813" s="314"/>
      <c r="N813" s="314"/>
      <c r="O813" s="314">
        <v>88363481</v>
      </c>
      <c r="P813" s="314"/>
      <c r="Q813" s="314" t="s">
        <v>10</v>
      </c>
      <c r="R813" s="314"/>
      <c r="S813" s="314"/>
      <c r="T813" s="314"/>
      <c r="U813" s="320"/>
      <c r="V813" s="325"/>
      <c r="W813" s="320"/>
      <c r="X813" s="320"/>
      <c r="Y813" s="320"/>
    </row>
    <row r="814" spans="1:25" x14ac:dyDescent="0.45">
      <c r="A814" s="45"/>
      <c r="B814" s="45"/>
      <c r="C814" s="45"/>
      <c r="D814" s="45"/>
      <c r="E814" s="45"/>
      <c r="F814" s="314"/>
      <c r="G814" s="314"/>
      <c r="H814" s="314"/>
      <c r="I814" s="314"/>
      <c r="J814" s="314"/>
      <c r="K814" s="314"/>
      <c r="L814" s="314"/>
      <c r="M814" s="314"/>
      <c r="N814" s="314"/>
      <c r="O814" s="314"/>
      <c r="P814" s="314"/>
      <c r="Q814" s="314"/>
      <c r="R814" s="314"/>
      <c r="S814" s="314"/>
      <c r="T814" s="314"/>
      <c r="V814" s="320"/>
      <c r="W814" s="320"/>
    </row>
    <row r="815" spans="1:25" x14ac:dyDescent="0.45">
      <c r="A815" s="313">
        <v>23</v>
      </c>
      <c r="B815" s="424" t="s">
        <v>23</v>
      </c>
      <c r="C815" s="428" t="s">
        <v>1915</v>
      </c>
      <c r="D815" s="314">
        <v>65014</v>
      </c>
      <c r="E815" s="45"/>
      <c r="F815" s="314">
        <v>65014</v>
      </c>
      <c r="G815" s="314"/>
      <c r="H815" s="314">
        <v>0</v>
      </c>
      <c r="I815" s="314"/>
      <c r="J815" s="314">
        <v>0</v>
      </c>
      <c r="K815" s="314">
        <v>0</v>
      </c>
      <c r="L815" s="314">
        <v>0</v>
      </c>
      <c r="M815" s="314"/>
      <c r="N815" s="314"/>
      <c r="O815" s="314">
        <v>65014</v>
      </c>
      <c r="P815" s="314"/>
      <c r="Q815" s="314" t="s">
        <v>2036</v>
      </c>
      <c r="R815" s="314"/>
      <c r="S815" s="314"/>
      <c r="T815" s="314"/>
      <c r="U815" s="320"/>
      <c r="V815" s="355"/>
      <c r="W815" s="320"/>
      <c r="X815" s="320"/>
      <c r="Y815" s="320"/>
    </row>
    <row r="816" spans="1:25" x14ac:dyDescent="0.45">
      <c r="A816" s="313">
        <v>24</v>
      </c>
      <c r="B816" s="424" t="s">
        <v>24</v>
      </c>
      <c r="C816" s="428" t="s">
        <v>1916</v>
      </c>
      <c r="D816" s="314">
        <v>52444816</v>
      </c>
      <c r="E816" s="45"/>
      <c r="F816" s="314">
        <v>49018865</v>
      </c>
      <c r="G816" s="314"/>
      <c r="H816" s="314">
        <v>2734005</v>
      </c>
      <c r="I816" s="314"/>
      <c r="J816" s="314">
        <v>691946</v>
      </c>
      <c r="K816" s="314">
        <v>362055</v>
      </c>
      <c r="L816" s="314">
        <v>329891</v>
      </c>
      <c r="M816" s="314"/>
      <c r="N816" s="314"/>
      <c r="O816" s="314">
        <v>52444816</v>
      </c>
      <c r="P816" s="314"/>
      <c r="Q816" s="314" t="s">
        <v>10</v>
      </c>
      <c r="R816" s="314"/>
      <c r="S816" s="314"/>
      <c r="T816" s="314"/>
      <c r="U816" s="320"/>
      <c r="V816" s="325"/>
      <c r="W816" s="320"/>
      <c r="X816" s="320"/>
      <c r="Y816" s="320"/>
    </row>
    <row r="817" spans="1:25" x14ac:dyDescent="0.45">
      <c r="A817" s="313"/>
      <c r="B817" s="424"/>
      <c r="C817" s="425"/>
      <c r="D817" s="314"/>
      <c r="E817" s="45"/>
      <c r="F817" s="314"/>
      <c r="G817" s="314"/>
      <c r="H817" s="314"/>
      <c r="I817" s="314"/>
      <c r="J817" s="314"/>
      <c r="K817" s="314"/>
      <c r="L817" s="314"/>
      <c r="M817" s="314"/>
      <c r="N817" s="314"/>
      <c r="O817" s="314"/>
      <c r="P817" s="314"/>
      <c r="Q817" s="314"/>
      <c r="R817" s="314"/>
      <c r="S817" s="314"/>
      <c r="T817" s="314"/>
      <c r="U817" s="320"/>
      <c r="V817" s="320"/>
      <c r="W817" s="320"/>
      <c r="X817" s="320"/>
      <c r="Y817" s="320"/>
    </row>
    <row r="818" spans="1:25" x14ac:dyDescent="0.45">
      <c r="A818" s="313">
        <v>25</v>
      </c>
      <c r="B818" s="424" t="s">
        <v>25</v>
      </c>
      <c r="C818" s="312"/>
      <c r="D818" s="314">
        <v>3922604709</v>
      </c>
      <c r="E818" s="45"/>
      <c r="F818" s="314">
        <v>3655298713</v>
      </c>
      <c r="G818" s="314"/>
      <c r="H818" s="314">
        <v>211103567</v>
      </c>
      <c r="I818" s="314"/>
      <c r="J818" s="314">
        <v>56202429</v>
      </c>
      <c r="K818" s="314">
        <v>29077633</v>
      </c>
      <c r="L818" s="314">
        <v>27124796</v>
      </c>
      <c r="M818" s="314"/>
      <c r="N818" s="314"/>
      <c r="O818" s="314"/>
      <c r="P818" s="314" t="s">
        <v>556</v>
      </c>
      <c r="Q818" s="314"/>
      <c r="R818" s="314"/>
      <c r="S818" s="314"/>
      <c r="T818" s="314"/>
      <c r="U818" s="320"/>
      <c r="W818" s="320"/>
    </row>
    <row r="819" spans="1:25" x14ac:dyDescent="0.45">
      <c r="A819" s="45"/>
      <c r="B819" s="45"/>
      <c r="C819" s="312"/>
      <c r="D819" s="45"/>
      <c r="E819" s="45"/>
      <c r="F819" s="314"/>
      <c r="G819" s="314"/>
      <c r="H819" s="314"/>
      <c r="I819" s="314"/>
      <c r="J819" s="314"/>
      <c r="K819" s="314"/>
      <c r="L819" s="314"/>
      <c r="M819" s="314"/>
      <c r="N819" s="314"/>
      <c r="O819" s="314"/>
      <c r="P819" s="314"/>
      <c r="Q819" s="314"/>
      <c r="R819" s="314"/>
      <c r="S819" s="314"/>
      <c r="T819" s="314"/>
      <c r="U819" s="320"/>
      <c r="V819" s="320"/>
      <c r="W819" s="320"/>
    </row>
    <row r="820" spans="1:25" x14ac:dyDescent="0.45">
      <c r="A820" s="313">
        <v>26</v>
      </c>
      <c r="B820" s="424" t="s">
        <v>31</v>
      </c>
      <c r="C820" s="312"/>
      <c r="D820" s="314">
        <v>6984839359</v>
      </c>
      <c r="E820" s="45"/>
      <c r="F820" s="314">
        <v>6539627357</v>
      </c>
      <c r="G820" s="314"/>
      <c r="H820" s="314">
        <v>357505782</v>
      </c>
      <c r="I820" s="314"/>
      <c r="J820" s="314">
        <v>87706220</v>
      </c>
      <c r="K820" s="314">
        <v>46221270</v>
      </c>
      <c r="L820" s="314">
        <v>41484949</v>
      </c>
      <c r="M820" s="314"/>
      <c r="N820" s="314"/>
      <c r="O820" s="314"/>
      <c r="P820" s="314"/>
      <c r="Q820" s="314"/>
      <c r="R820" s="314"/>
      <c r="S820" s="314"/>
      <c r="T820" s="314"/>
      <c r="U820" s="320"/>
      <c r="V820" s="320"/>
      <c r="W820" s="320"/>
    </row>
    <row r="821" spans="1:25" x14ac:dyDescent="0.45">
      <c r="A821" s="45"/>
      <c r="B821" s="45"/>
      <c r="C821" s="312"/>
      <c r="D821" s="45"/>
      <c r="E821" s="45"/>
      <c r="F821" s="314"/>
      <c r="G821" s="314"/>
      <c r="H821" s="314"/>
      <c r="I821" s="314"/>
      <c r="J821" s="314"/>
      <c r="K821" s="314"/>
      <c r="L821" s="314"/>
      <c r="M821" s="314"/>
      <c r="N821" s="314"/>
      <c r="O821" s="314"/>
      <c r="P821" s="314"/>
      <c r="Q821" s="314"/>
      <c r="R821" s="314"/>
      <c r="S821" s="314"/>
      <c r="T821" s="314"/>
      <c r="U821" s="320"/>
      <c r="W821" s="320"/>
    </row>
    <row r="822" spans="1:25" x14ac:dyDescent="0.45">
      <c r="A822" s="45"/>
      <c r="B822" s="45"/>
      <c r="C822" s="312"/>
      <c r="D822" s="45"/>
      <c r="E822" s="45"/>
      <c r="F822" s="314"/>
      <c r="G822" s="314"/>
      <c r="H822" s="314"/>
      <c r="I822" s="314"/>
      <c r="J822" s="314"/>
      <c r="K822" s="314"/>
      <c r="L822" s="314"/>
      <c r="M822" s="314"/>
      <c r="N822" s="314"/>
      <c r="O822" s="314"/>
      <c r="P822" s="314"/>
      <c r="Q822" s="314"/>
      <c r="R822" s="314"/>
      <c r="S822" s="314"/>
      <c r="T822" s="314"/>
      <c r="U822" s="320"/>
      <c r="W822" s="320"/>
    </row>
    <row r="823" spans="1:25" x14ac:dyDescent="0.45">
      <c r="A823" s="45"/>
      <c r="B823" s="426" t="s">
        <v>26</v>
      </c>
      <c r="C823" s="312"/>
      <c r="D823" s="45"/>
      <c r="E823" s="45"/>
      <c r="F823" s="314"/>
      <c r="G823" s="314"/>
      <c r="H823" s="314"/>
      <c r="I823" s="314"/>
      <c r="J823" s="314"/>
      <c r="K823" s="314"/>
      <c r="L823" s="314"/>
      <c r="M823" s="314"/>
      <c r="N823" s="314"/>
      <c r="O823" s="314"/>
      <c r="P823" s="314"/>
      <c r="Q823" s="314"/>
      <c r="R823" s="314"/>
      <c r="S823" s="314"/>
      <c r="T823" s="314"/>
      <c r="U823" s="320"/>
      <c r="W823" s="320"/>
    </row>
    <row r="824" spans="1:25" x14ac:dyDescent="0.45">
      <c r="A824" s="45"/>
      <c r="B824" s="45"/>
      <c r="C824" s="312"/>
      <c r="D824" s="45"/>
      <c r="E824" s="45"/>
      <c r="F824" s="314"/>
      <c r="G824" s="314"/>
      <c r="H824" s="314"/>
      <c r="I824" s="314"/>
      <c r="J824" s="314"/>
      <c r="K824" s="314"/>
      <c r="L824" s="314"/>
      <c r="M824" s="314"/>
      <c r="N824" s="314"/>
      <c r="O824" s="314"/>
      <c r="P824" s="314"/>
      <c r="Q824" s="314"/>
      <c r="R824" s="314"/>
      <c r="S824" s="314"/>
      <c r="T824" s="314"/>
      <c r="W824" s="320"/>
    </row>
    <row r="825" spans="1:25" x14ac:dyDescent="0.45">
      <c r="A825" s="45"/>
      <c r="B825" s="435" t="s">
        <v>1113</v>
      </c>
      <c r="C825" s="312"/>
      <c r="D825" s="45"/>
      <c r="E825" s="45"/>
      <c r="F825" s="314"/>
      <c r="G825" s="314"/>
      <c r="H825" s="314"/>
      <c r="I825" s="314"/>
      <c r="J825" s="314"/>
      <c r="K825" s="314"/>
      <c r="L825" s="314"/>
      <c r="M825" s="314"/>
      <c r="N825" s="314"/>
      <c r="O825" s="314"/>
      <c r="P825" s="314"/>
      <c r="Q825" s="314"/>
      <c r="R825" s="314"/>
      <c r="S825" s="314"/>
      <c r="T825" s="314"/>
      <c r="W825" s="320"/>
    </row>
    <row r="826" spans="1:25" x14ac:dyDescent="0.45">
      <c r="A826" s="45"/>
      <c r="B826" s="435"/>
      <c r="C826" s="312"/>
      <c r="D826" s="45"/>
      <c r="E826" s="45"/>
      <c r="F826" s="314"/>
      <c r="G826" s="314"/>
      <c r="H826" s="314"/>
      <c r="I826" s="314"/>
      <c r="J826" s="314"/>
      <c r="K826" s="314"/>
      <c r="L826" s="314"/>
      <c r="M826" s="314"/>
      <c r="N826" s="314"/>
      <c r="O826" s="314"/>
      <c r="P826" s="314"/>
      <c r="Q826" s="314"/>
      <c r="R826" s="314"/>
      <c r="S826" s="314"/>
      <c r="T826" s="314"/>
      <c r="W826" s="320"/>
    </row>
    <row r="827" spans="1:25" x14ac:dyDescent="0.45">
      <c r="A827" s="45"/>
      <c r="B827" s="424" t="s">
        <v>7</v>
      </c>
      <c r="C827" s="45"/>
      <c r="D827" s="45"/>
      <c r="E827" s="45"/>
      <c r="F827" s="314"/>
      <c r="G827" s="314"/>
      <c r="H827" s="314"/>
      <c r="I827" s="314"/>
      <c r="J827" s="314"/>
      <c r="K827" s="314"/>
      <c r="L827" s="314"/>
      <c r="M827" s="314"/>
      <c r="N827" s="314"/>
      <c r="O827" s="314"/>
      <c r="P827" s="314"/>
      <c r="Q827" s="314"/>
      <c r="R827" s="314"/>
      <c r="S827" s="314"/>
      <c r="T827" s="314"/>
      <c r="W827" s="320"/>
    </row>
    <row r="828" spans="1:25" x14ac:dyDescent="0.45">
      <c r="A828" s="313">
        <v>1</v>
      </c>
      <c r="B828" s="424" t="s">
        <v>1114</v>
      </c>
      <c r="C828" s="425" t="s">
        <v>487</v>
      </c>
      <c r="D828" s="314">
        <v>133733623</v>
      </c>
      <c r="E828" s="45"/>
      <c r="F828" s="314">
        <v>125461145</v>
      </c>
      <c r="G828" s="314"/>
      <c r="H828" s="314">
        <v>5679015</v>
      </c>
      <c r="I828" s="314"/>
      <c r="J828" s="314">
        <v>2593463</v>
      </c>
      <c r="K828" s="314">
        <v>1315550</v>
      </c>
      <c r="L828" s="314">
        <v>1277914</v>
      </c>
      <c r="M828" s="314"/>
      <c r="N828" s="314"/>
      <c r="O828" s="314">
        <v>133733623</v>
      </c>
      <c r="P828" s="314"/>
      <c r="Q828" s="314"/>
      <c r="R828" s="314"/>
      <c r="S828" s="314"/>
      <c r="T828" s="314"/>
      <c r="U828" s="320"/>
      <c r="V828" s="320"/>
      <c r="W828" s="320"/>
      <c r="X828" s="320"/>
      <c r="Y828" s="320"/>
    </row>
    <row r="829" spans="1:25" x14ac:dyDescent="0.45">
      <c r="A829" s="313">
        <v>2</v>
      </c>
      <c r="B829" s="424" t="s">
        <v>1115</v>
      </c>
      <c r="C829" s="425" t="s">
        <v>1271</v>
      </c>
      <c r="D829" s="314">
        <v>0</v>
      </c>
      <c r="E829" s="45"/>
      <c r="F829" s="314">
        <v>0</v>
      </c>
      <c r="G829" s="314"/>
      <c r="H829" s="314">
        <v>0</v>
      </c>
      <c r="I829" s="314"/>
      <c r="J829" s="314">
        <v>0</v>
      </c>
      <c r="K829" s="314">
        <v>0</v>
      </c>
      <c r="L829" s="314">
        <v>0</v>
      </c>
      <c r="M829" s="314"/>
      <c r="N829" s="314"/>
      <c r="O829" s="314">
        <v>0</v>
      </c>
      <c r="P829" s="314"/>
      <c r="Q829" s="314"/>
      <c r="R829" s="314"/>
      <c r="S829" s="314"/>
      <c r="T829" s="314"/>
      <c r="U829" s="320"/>
      <c r="V829" s="320"/>
      <c r="W829" s="320"/>
      <c r="X829" s="320"/>
      <c r="Y829" s="320"/>
    </row>
    <row r="830" spans="1:25" x14ac:dyDescent="0.45">
      <c r="A830" s="313">
        <v>3</v>
      </c>
      <c r="B830" s="424" t="s">
        <v>1116</v>
      </c>
      <c r="C830" s="425" t="s">
        <v>1277</v>
      </c>
      <c r="D830" s="314">
        <v>336337</v>
      </c>
      <c r="E830" s="45"/>
      <c r="F830" s="314">
        <v>259523</v>
      </c>
      <c r="G830" s="314"/>
      <c r="H830" s="314">
        <v>0</v>
      </c>
      <c r="I830" s="314"/>
      <c r="J830" s="314">
        <v>76815</v>
      </c>
      <c r="K830" s="314">
        <v>38965</v>
      </c>
      <c r="L830" s="314">
        <v>37850</v>
      </c>
      <c r="M830" s="314"/>
      <c r="N830" s="314"/>
      <c r="O830" s="314">
        <v>336337</v>
      </c>
      <c r="P830" s="314"/>
      <c r="Q830" s="314"/>
      <c r="R830" s="314"/>
      <c r="S830" s="314"/>
      <c r="T830" s="314"/>
      <c r="U830" s="333"/>
      <c r="V830" s="320"/>
      <c r="W830" s="320"/>
      <c r="X830" s="320"/>
      <c r="Y830" s="320"/>
    </row>
    <row r="831" spans="1:25" x14ac:dyDescent="0.45">
      <c r="A831" s="313">
        <v>4</v>
      </c>
      <c r="B831" s="424" t="s">
        <v>1117</v>
      </c>
      <c r="C831" s="45"/>
      <c r="D831" s="314">
        <v>134069960</v>
      </c>
      <c r="E831" s="45"/>
      <c r="F831" s="314">
        <v>125720667</v>
      </c>
      <c r="G831" s="314"/>
      <c r="H831" s="314">
        <v>5679015</v>
      </c>
      <c r="I831" s="314"/>
      <c r="J831" s="314">
        <v>2670278</v>
      </c>
      <c r="K831" s="314">
        <v>1354514</v>
      </c>
      <c r="L831" s="314">
        <v>1315763</v>
      </c>
      <c r="M831" s="314"/>
      <c r="N831" s="314"/>
      <c r="O831" s="314"/>
      <c r="P831" s="314">
        <v>1.992E-2</v>
      </c>
      <c r="Q831" s="314"/>
      <c r="R831" s="314"/>
      <c r="S831" s="314"/>
      <c r="T831" s="314"/>
      <c r="U831" s="333"/>
      <c r="W831" s="320"/>
    </row>
    <row r="832" spans="1:25" x14ac:dyDescent="0.45">
      <c r="A832" s="45"/>
      <c r="B832" s="45"/>
      <c r="C832" s="45"/>
      <c r="D832" s="45"/>
      <c r="E832" s="45"/>
      <c r="F832" s="314"/>
      <c r="G832" s="314"/>
      <c r="H832" s="314"/>
      <c r="I832" s="314"/>
      <c r="J832" s="314"/>
      <c r="K832" s="314"/>
      <c r="L832" s="314"/>
      <c r="M832" s="314"/>
      <c r="N832" s="314"/>
      <c r="O832" s="314"/>
      <c r="P832" s="314"/>
      <c r="Q832" s="314"/>
      <c r="R832" s="314"/>
      <c r="S832" s="314"/>
      <c r="T832" s="314"/>
      <c r="W832" s="320"/>
    </row>
    <row r="833" spans="1:25" x14ac:dyDescent="0.45">
      <c r="A833" s="45"/>
      <c r="B833" s="424" t="s">
        <v>19</v>
      </c>
      <c r="C833" s="312"/>
      <c r="D833" s="45"/>
      <c r="E833" s="45"/>
      <c r="F833" s="314"/>
      <c r="G833" s="314"/>
      <c r="H833" s="314"/>
      <c r="I833" s="314"/>
      <c r="J833" s="314"/>
      <c r="K833" s="314"/>
      <c r="L833" s="314"/>
      <c r="M833" s="314"/>
      <c r="N833" s="314"/>
      <c r="O833" s="314"/>
      <c r="P833" s="314"/>
      <c r="Q833" s="314"/>
      <c r="R833" s="314"/>
      <c r="S833" s="314"/>
      <c r="T833" s="314"/>
      <c r="W833" s="320"/>
    </row>
    <row r="834" spans="1:25" x14ac:dyDescent="0.45">
      <c r="A834" s="313">
        <v>5</v>
      </c>
      <c r="B834" s="424" t="s">
        <v>1114</v>
      </c>
      <c r="C834" s="425" t="s">
        <v>2141</v>
      </c>
      <c r="D834" s="314">
        <v>82559459</v>
      </c>
      <c r="E834" s="45"/>
      <c r="F834" s="314">
        <v>78958656</v>
      </c>
      <c r="G834" s="314"/>
      <c r="H834" s="314">
        <v>3600803</v>
      </c>
      <c r="I834" s="314"/>
      <c r="J834" s="314">
        <v>0</v>
      </c>
      <c r="K834" s="314">
        <v>0</v>
      </c>
      <c r="L834" s="314">
        <v>0</v>
      </c>
      <c r="M834" s="314"/>
      <c r="N834" s="314"/>
      <c r="O834" s="314">
        <v>82559459</v>
      </c>
      <c r="P834" s="314"/>
      <c r="Q834" s="314"/>
      <c r="R834" s="314"/>
      <c r="S834" s="314"/>
      <c r="T834" s="314"/>
      <c r="U834" s="320"/>
      <c r="V834" s="320"/>
      <c r="W834" s="320"/>
      <c r="X834" s="320"/>
      <c r="Y834" s="320"/>
    </row>
    <row r="835" spans="1:25" x14ac:dyDescent="0.45">
      <c r="A835" s="313">
        <v>6</v>
      </c>
      <c r="B835" s="424" t="s">
        <v>1118</v>
      </c>
      <c r="C835" s="425" t="s">
        <v>2141</v>
      </c>
      <c r="D835" s="314">
        <v>0</v>
      </c>
      <c r="E835" s="45"/>
      <c r="F835" s="314">
        <v>0</v>
      </c>
      <c r="G835" s="314"/>
      <c r="H835" s="314">
        <v>0</v>
      </c>
      <c r="I835" s="314"/>
      <c r="J835" s="314">
        <v>0</v>
      </c>
      <c r="K835" s="314">
        <v>0</v>
      </c>
      <c r="L835" s="314">
        <v>0</v>
      </c>
      <c r="M835" s="314"/>
      <c r="N835" s="314"/>
      <c r="O835" s="314">
        <v>0</v>
      </c>
      <c r="P835" s="314"/>
      <c r="Q835" s="314"/>
      <c r="R835" s="314"/>
      <c r="S835" s="314"/>
      <c r="T835" s="314"/>
      <c r="U835" s="320"/>
      <c r="V835" s="320"/>
      <c r="W835" s="320"/>
      <c r="X835" s="320"/>
      <c r="Y835" s="320"/>
    </row>
    <row r="836" spans="1:25" x14ac:dyDescent="0.45">
      <c r="A836" s="313">
        <v>7</v>
      </c>
      <c r="B836" s="424" t="s">
        <v>1119</v>
      </c>
      <c r="C836" s="425" t="s">
        <v>1438</v>
      </c>
      <c r="D836" s="314">
        <v>11949942</v>
      </c>
      <c r="E836" s="45"/>
      <c r="F836" s="314">
        <v>0</v>
      </c>
      <c r="G836" s="314"/>
      <c r="H836" s="314">
        <v>11949942</v>
      </c>
      <c r="I836" s="314"/>
      <c r="J836" s="314">
        <v>0</v>
      </c>
      <c r="K836" s="314">
        <v>0</v>
      </c>
      <c r="L836" s="314">
        <v>0</v>
      </c>
      <c r="M836" s="314"/>
      <c r="N836" s="314"/>
      <c r="O836" s="314">
        <v>11949942</v>
      </c>
      <c r="P836" s="314"/>
      <c r="Q836" s="314"/>
      <c r="R836" s="314"/>
      <c r="S836" s="314"/>
      <c r="T836" s="314"/>
      <c r="U836" s="320"/>
      <c r="V836" s="320"/>
      <c r="W836" s="320"/>
      <c r="X836" s="320"/>
      <c r="Y836" s="320"/>
    </row>
    <row r="837" spans="1:25" x14ac:dyDescent="0.45">
      <c r="A837" s="313">
        <v>8</v>
      </c>
      <c r="B837" s="424" t="s">
        <v>1115</v>
      </c>
      <c r="C837" s="425" t="s">
        <v>1271</v>
      </c>
      <c r="D837" s="314">
        <v>0</v>
      </c>
      <c r="E837" s="45"/>
      <c r="F837" s="314">
        <v>0</v>
      </c>
      <c r="G837" s="314"/>
      <c r="H837" s="314">
        <v>0</v>
      </c>
      <c r="I837" s="314"/>
      <c r="J837" s="314">
        <v>0</v>
      </c>
      <c r="K837" s="314">
        <v>0</v>
      </c>
      <c r="L837" s="314">
        <v>0</v>
      </c>
      <c r="M837" s="314"/>
      <c r="N837" s="314"/>
      <c r="O837" s="314">
        <v>0</v>
      </c>
      <c r="P837" s="314"/>
      <c r="Q837" s="314"/>
      <c r="R837" s="314"/>
      <c r="S837" s="314"/>
      <c r="T837" s="314"/>
      <c r="U837" s="320"/>
      <c r="V837" s="320"/>
      <c r="W837" s="320"/>
      <c r="X837" s="320"/>
      <c r="Y837" s="320"/>
    </row>
    <row r="838" spans="1:25" x14ac:dyDescent="0.45">
      <c r="A838" s="313">
        <v>9</v>
      </c>
      <c r="B838" s="424" t="s">
        <v>1116</v>
      </c>
      <c r="C838" s="425" t="s">
        <v>1277</v>
      </c>
      <c r="D838" s="314">
        <v>0</v>
      </c>
      <c r="E838" s="45"/>
      <c r="F838" s="314">
        <v>0</v>
      </c>
      <c r="G838" s="314"/>
      <c r="H838" s="314">
        <v>0</v>
      </c>
      <c r="I838" s="314"/>
      <c r="J838" s="314">
        <v>0</v>
      </c>
      <c r="K838" s="314">
        <v>0</v>
      </c>
      <c r="L838" s="314">
        <v>0</v>
      </c>
      <c r="M838" s="314"/>
      <c r="N838" s="314"/>
      <c r="O838" s="314">
        <v>0</v>
      </c>
      <c r="P838" s="314"/>
      <c r="Q838" s="314"/>
      <c r="R838" s="314"/>
      <c r="S838" s="314"/>
      <c r="T838" s="314"/>
      <c r="U838" s="320"/>
      <c r="V838" s="320"/>
      <c r="W838" s="320"/>
      <c r="X838" s="320"/>
      <c r="Y838" s="320"/>
    </row>
    <row r="839" spans="1:25" x14ac:dyDescent="0.45">
      <c r="A839" s="313">
        <v>10</v>
      </c>
      <c r="B839" s="424" t="s">
        <v>1120</v>
      </c>
      <c r="C839" s="45"/>
      <c r="D839" s="314">
        <v>94509402</v>
      </c>
      <c r="E839" s="45"/>
      <c r="F839" s="314">
        <v>78958656</v>
      </c>
      <c r="G839" s="314"/>
      <c r="H839" s="314">
        <v>15550745</v>
      </c>
      <c r="I839" s="314"/>
      <c r="J839" s="314">
        <v>0</v>
      </c>
      <c r="K839" s="314">
        <v>0</v>
      </c>
      <c r="L839" s="314">
        <v>0</v>
      </c>
      <c r="M839" s="314"/>
      <c r="N839" s="314"/>
      <c r="O839" s="314"/>
      <c r="P839" s="314"/>
      <c r="Q839" s="314"/>
      <c r="R839" s="314"/>
      <c r="S839" s="314"/>
      <c r="T839" s="314"/>
      <c r="W839" s="320"/>
    </row>
    <row r="840" spans="1:25" x14ac:dyDescent="0.45">
      <c r="A840" s="326"/>
      <c r="B840" s="326"/>
      <c r="C840" s="326"/>
      <c r="D840" s="326"/>
      <c r="E840" s="326"/>
      <c r="F840" s="314"/>
      <c r="G840" s="314"/>
      <c r="H840" s="314"/>
      <c r="I840" s="314"/>
      <c r="J840" s="314"/>
      <c r="K840" s="314"/>
      <c r="L840" s="314"/>
      <c r="M840" s="314"/>
      <c r="N840" s="314"/>
      <c r="O840" s="314"/>
      <c r="P840" s="314"/>
      <c r="Q840" s="314"/>
      <c r="R840" s="314"/>
      <c r="S840" s="314"/>
      <c r="T840" s="314"/>
      <c r="U840" s="333"/>
      <c r="W840" s="320"/>
    </row>
    <row r="841" spans="1:25" x14ac:dyDescent="0.45">
      <c r="A841" s="313">
        <v>11</v>
      </c>
      <c r="B841" s="427" t="s">
        <v>1121</v>
      </c>
      <c r="C841" s="425" t="s">
        <v>1368</v>
      </c>
      <c r="D841" s="314">
        <v>625806</v>
      </c>
      <c r="E841" s="45"/>
      <c r="F841" s="314">
        <v>0</v>
      </c>
      <c r="G841" s="314"/>
      <c r="H841" s="314">
        <v>625806</v>
      </c>
      <c r="I841" s="314"/>
      <c r="J841" s="314">
        <v>0</v>
      </c>
      <c r="K841" s="314">
        <v>0</v>
      </c>
      <c r="L841" s="314">
        <v>0</v>
      </c>
      <c r="M841" s="314"/>
      <c r="N841" s="314"/>
      <c r="O841" s="314">
        <v>625806</v>
      </c>
      <c r="P841" s="314"/>
      <c r="Q841" s="314"/>
      <c r="R841" s="314"/>
      <c r="S841" s="314"/>
      <c r="T841" s="314"/>
      <c r="U841" s="320"/>
      <c r="V841" s="320"/>
      <c r="W841" s="320"/>
      <c r="X841" s="320"/>
      <c r="Y841" s="320"/>
    </row>
    <row r="842" spans="1:25" x14ac:dyDescent="0.45">
      <c r="A842" s="313">
        <v>12</v>
      </c>
      <c r="B842" s="427" t="s">
        <v>2037</v>
      </c>
      <c r="C842" s="425" t="s">
        <v>1349</v>
      </c>
      <c r="D842" s="314">
        <v>26142701</v>
      </c>
      <c r="E842" s="45"/>
      <c r="F842" s="314">
        <v>26142701</v>
      </c>
      <c r="G842" s="314"/>
      <c r="H842" s="314">
        <v>0</v>
      </c>
      <c r="I842" s="314"/>
      <c r="J842" s="314">
        <v>0</v>
      </c>
      <c r="K842" s="314">
        <v>0</v>
      </c>
      <c r="L842" s="314">
        <v>0</v>
      </c>
      <c r="M842" s="314"/>
      <c r="N842" s="314"/>
      <c r="O842" s="314">
        <v>26142701</v>
      </c>
      <c r="P842" s="314"/>
      <c r="Q842" s="314" t="s">
        <v>2145</v>
      </c>
      <c r="R842" s="314"/>
      <c r="S842" s="314"/>
      <c r="T842" s="314"/>
      <c r="U842" s="320"/>
      <c r="V842" s="317"/>
      <c r="X842" s="320"/>
      <c r="Y842" s="320"/>
    </row>
    <row r="843" spans="1:25" x14ac:dyDescent="0.45">
      <c r="A843" s="313">
        <v>13</v>
      </c>
      <c r="B843" s="427" t="s">
        <v>2532</v>
      </c>
      <c r="C843" s="425" t="s">
        <v>2527</v>
      </c>
      <c r="D843" s="458">
        <v>1748318</v>
      </c>
      <c r="E843" s="45"/>
      <c r="F843" s="314">
        <v>1640394</v>
      </c>
      <c r="G843" s="314"/>
      <c r="H843" s="314">
        <v>87494</v>
      </c>
      <c r="I843" s="314"/>
      <c r="J843" s="314">
        <v>20430</v>
      </c>
      <c r="K843" s="314">
        <v>20430</v>
      </c>
      <c r="L843" s="314">
        <v>0</v>
      </c>
      <c r="M843" s="314"/>
      <c r="N843" s="314"/>
      <c r="O843" s="314">
        <v>1748318</v>
      </c>
      <c r="P843" s="314"/>
      <c r="Q843" s="314"/>
      <c r="R843" s="314" t="s">
        <v>2289</v>
      </c>
      <c r="S843" s="314" t="s">
        <v>2290</v>
      </c>
      <c r="T843" s="314" t="s">
        <v>2533</v>
      </c>
      <c r="U843" s="320" t="s">
        <v>2534</v>
      </c>
      <c r="V843" s="317"/>
      <c r="X843" s="320"/>
      <c r="Y843" s="320"/>
    </row>
    <row r="844" spans="1:25" x14ac:dyDescent="0.45">
      <c r="A844" s="313">
        <v>14</v>
      </c>
      <c r="B844" s="424" t="s">
        <v>2535</v>
      </c>
      <c r="C844" s="45" t="s">
        <v>2064</v>
      </c>
      <c r="D844" s="314">
        <v>24594</v>
      </c>
      <c r="E844" s="45"/>
      <c r="F844" s="314">
        <v>23417</v>
      </c>
      <c r="G844" s="314"/>
      <c r="H844" s="314">
        <v>1178</v>
      </c>
      <c r="I844" s="314"/>
      <c r="J844" s="314">
        <v>0</v>
      </c>
      <c r="K844" s="314">
        <v>0</v>
      </c>
      <c r="L844" s="314" t="s">
        <v>2536</v>
      </c>
      <c r="M844" s="314"/>
      <c r="N844" s="314"/>
      <c r="O844" s="314">
        <v>24594</v>
      </c>
      <c r="P844" s="314"/>
      <c r="Q844" s="314" t="s">
        <v>2537</v>
      </c>
      <c r="R844" s="314">
        <v>23417</v>
      </c>
      <c r="S844" s="314">
        <v>1178</v>
      </c>
      <c r="T844" s="314">
        <v>0</v>
      </c>
      <c r="U844" s="320" t="s">
        <v>2536</v>
      </c>
      <c r="W844" s="320"/>
    </row>
    <row r="845" spans="1:25" x14ac:dyDescent="0.45">
      <c r="A845" s="45">
        <v>15</v>
      </c>
      <c r="B845" s="45" t="s">
        <v>1122</v>
      </c>
      <c r="C845" s="45"/>
      <c r="D845" s="492">
        <v>28541419</v>
      </c>
      <c r="E845" s="45"/>
      <c r="F845" s="314">
        <v>27806511</v>
      </c>
      <c r="G845" s="314"/>
      <c r="H845" s="314">
        <v>714477</v>
      </c>
      <c r="I845" s="314"/>
      <c r="J845" s="314">
        <v>20430</v>
      </c>
      <c r="K845" s="314">
        <v>20430</v>
      </c>
      <c r="L845" s="314">
        <v>0</v>
      </c>
      <c r="M845" s="314"/>
      <c r="N845" s="314"/>
      <c r="O845" s="314"/>
      <c r="P845" s="314"/>
      <c r="Q845" s="314" t="s">
        <v>2538</v>
      </c>
      <c r="R845" s="314">
        <v>134527</v>
      </c>
      <c r="S845" s="314">
        <v>7277</v>
      </c>
      <c r="T845" s="314">
        <v>2054</v>
      </c>
      <c r="U845" s="53" t="s">
        <v>2536</v>
      </c>
      <c r="W845" s="320"/>
    </row>
    <row r="846" spans="1:25" x14ac:dyDescent="0.45">
      <c r="A846" s="313"/>
      <c r="B846" s="424"/>
      <c r="C846" s="425"/>
      <c r="D846" s="458"/>
      <c r="E846" s="45"/>
      <c r="F846" s="314"/>
      <c r="G846" s="314"/>
      <c r="H846" s="314"/>
      <c r="I846" s="314"/>
      <c r="J846" s="314"/>
      <c r="K846" s="314"/>
      <c r="L846" s="314"/>
      <c r="M846" s="314"/>
      <c r="N846" s="314"/>
      <c r="O846" s="314"/>
      <c r="P846" s="314"/>
      <c r="Q846" s="314"/>
      <c r="R846" s="314"/>
      <c r="S846" s="314"/>
      <c r="T846" s="314"/>
      <c r="U846" s="320"/>
      <c r="V846" s="320"/>
      <c r="W846" s="327"/>
      <c r="X846" s="327"/>
      <c r="Y846" s="328"/>
    </row>
    <row r="847" spans="1:25" x14ac:dyDescent="0.45">
      <c r="A847" s="313">
        <v>16</v>
      </c>
      <c r="B847" s="424" t="s">
        <v>2507</v>
      </c>
      <c r="C847" s="425" t="s">
        <v>2527</v>
      </c>
      <c r="D847" s="314">
        <v>8031795</v>
      </c>
      <c r="E847" s="45"/>
      <c r="F847" s="314">
        <v>7535990</v>
      </c>
      <c r="G847" s="314"/>
      <c r="H847" s="314">
        <v>401950</v>
      </c>
      <c r="I847" s="314"/>
      <c r="J847" s="314">
        <v>93855</v>
      </c>
      <c r="K847" s="314">
        <v>93855</v>
      </c>
      <c r="L847" s="314">
        <v>0</v>
      </c>
      <c r="M847" s="314"/>
      <c r="N847" s="314"/>
      <c r="O847" s="314">
        <v>8031795</v>
      </c>
      <c r="P847" s="314"/>
      <c r="Q847" s="314"/>
      <c r="R847" s="314"/>
      <c r="S847" s="314"/>
      <c r="T847" s="314"/>
      <c r="U847" s="320"/>
      <c r="V847" s="320"/>
      <c r="W847" s="327"/>
      <c r="X847" s="327"/>
      <c r="Y847" s="328"/>
    </row>
    <row r="848" spans="1:25" x14ac:dyDescent="0.45">
      <c r="A848" s="313">
        <v>17</v>
      </c>
      <c r="B848" s="424" t="s">
        <v>2539</v>
      </c>
      <c r="C848" s="425" t="s">
        <v>2064</v>
      </c>
      <c r="D848" s="314">
        <v>143857</v>
      </c>
      <c r="E848" s="45"/>
      <c r="F848" s="314">
        <v>134527</v>
      </c>
      <c r="G848" s="314"/>
      <c r="H848" s="314">
        <v>7277</v>
      </c>
      <c r="I848" s="314"/>
      <c r="J848" s="314">
        <v>2054</v>
      </c>
      <c r="K848" s="314">
        <v>2054</v>
      </c>
      <c r="L848" s="314" t="s">
        <v>2536</v>
      </c>
      <c r="M848" s="314"/>
      <c r="N848" s="314"/>
      <c r="O848" s="314">
        <v>143857</v>
      </c>
      <c r="P848" s="314"/>
      <c r="Q848" s="314"/>
      <c r="R848" s="314"/>
      <c r="S848" s="314"/>
      <c r="T848" s="314"/>
      <c r="U848" s="320"/>
      <c r="V848" s="320"/>
      <c r="W848" s="327"/>
      <c r="X848" s="327"/>
      <c r="Y848" s="342"/>
    </row>
    <row r="849" spans="1:26" x14ac:dyDescent="0.45">
      <c r="A849" s="45">
        <v>18</v>
      </c>
      <c r="B849" s="45" t="s">
        <v>1123</v>
      </c>
      <c r="C849" s="45" t="s">
        <v>1446</v>
      </c>
      <c r="D849" s="492">
        <v>31538421</v>
      </c>
      <c r="E849" s="45"/>
      <c r="F849" s="314">
        <v>29729840</v>
      </c>
      <c r="G849" s="314"/>
      <c r="H849" s="314">
        <v>1457723</v>
      </c>
      <c r="I849" s="314"/>
      <c r="J849" s="314">
        <v>350858</v>
      </c>
      <c r="K849" s="314">
        <v>182941</v>
      </c>
      <c r="L849" s="314">
        <v>167916</v>
      </c>
      <c r="M849" s="314"/>
      <c r="N849" s="314"/>
      <c r="O849" s="314">
        <v>31538421</v>
      </c>
      <c r="P849" s="314"/>
      <c r="Q849" s="314"/>
      <c r="R849" s="314">
        <v>296834854</v>
      </c>
      <c r="S849" s="314">
        <v>296834854</v>
      </c>
      <c r="T849" s="314">
        <v>0</v>
      </c>
      <c r="U849" s="320"/>
      <c r="W849" s="320"/>
    </row>
    <row r="850" spans="1:26" x14ac:dyDescent="0.45">
      <c r="A850" s="313">
        <v>19</v>
      </c>
      <c r="B850" s="424" t="s">
        <v>2508</v>
      </c>
      <c r="C850" s="312"/>
      <c r="D850" s="314">
        <v>39714073</v>
      </c>
      <c r="E850" s="45"/>
      <c r="F850" s="314">
        <v>37400357</v>
      </c>
      <c r="G850" s="314"/>
      <c r="H850" s="314">
        <v>1866949</v>
      </c>
      <c r="I850" s="314"/>
      <c r="J850" s="314">
        <v>446767</v>
      </c>
      <c r="K850" s="314">
        <v>278850</v>
      </c>
      <c r="L850" s="314">
        <v>167916</v>
      </c>
      <c r="M850" s="314"/>
      <c r="N850" s="314"/>
      <c r="O850" s="314"/>
      <c r="P850" s="314"/>
      <c r="Q850" s="314"/>
      <c r="R850" s="314"/>
      <c r="S850" s="314"/>
      <c r="T850" s="314"/>
      <c r="W850" s="320"/>
    </row>
    <row r="851" spans="1:26" x14ac:dyDescent="0.45">
      <c r="A851" s="45"/>
      <c r="B851" s="45"/>
      <c r="C851" s="312"/>
      <c r="D851" s="45"/>
      <c r="E851" s="45"/>
      <c r="F851" s="314"/>
      <c r="G851" s="314"/>
      <c r="H851" s="314"/>
      <c r="I851" s="314"/>
      <c r="J851" s="314"/>
      <c r="K851" s="314"/>
      <c r="L851" s="314"/>
      <c r="M851" s="314"/>
      <c r="N851" s="314"/>
      <c r="O851" s="314"/>
      <c r="P851" s="314"/>
      <c r="Q851" s="314"/>
      <c r="R851" s="314"/>
      <c r="S851" s="314"/>
      <c r="T851" s="314"/>
      <c r="W851" s="320"/>
    </row>
    <row r="852" spans="1:26" x14ac:dyDescent="0.45">
      <c r="A852" s="45">
        <v>20</v>
      </c>
      <c r="B852" s="424" t="s">
        <v>1124</v>
      </c>
      <c r="C852" s="312"/>
      <c r="D852" s="492">
        <v>296834854</v>
      </c>
      <c r="E852" s="45"/>
      <c r="F852" s="314">
        <v>269886192</v>
      </c>
      <c r="G852" s="314"/>
      <c r="H852" s="314">
        <v>23811187</v>
      </c>
      <c r="I852" s="314"/>
      <c r="J852" s="314">
        <v>3137474</v>
      </c>
      <c r="K852" s="314">
        <v>1653794</v>
      </c>
      <c r="L852" s="314">
        <v>1483680</v>
      </c>
      <c r="M852" s="314"/>
      <c r="N852" s="314"/>
      <c r="O852" s="314"/>
      <c r="P852" s="314" t="s">
        <v>556</v>
      </c>
      <c r="Q852" s="314"/>
      <c r="R852" s="314"/>
      <c r="S852" s="314"/>
      <c r="T852" s="314"/>
      <c r="W852" s="320"/>
    </row>
    <row r="853" spans="1:26" x14ac:dyDescent="0.45">
      <c r="A853" s="45"/>
      <c r="B853" s="424"/>
      <c r="C853" s="312"/>
      <c r="D853" s="45"/>
      <c r="E853" s="45"/>
      <c r="F853" s="314"/>
      <c r="G853" s="314"/>
      <c r="H853" s="314"/>
      <c r="I853" s="314"/>
      <c r="J853" s="314"/>
      <c r="K853" s="314"/>
      <c r="L853" s="314"/>
      <c r="M853" s="314"/>
      <c r="N853" s="314"/>
      <c r="O853" s="314"/>
      <c r="P853" s="314"/>
      <c r="Q853" s="314"/>
      <c r="R853" s="314"/>
      <c r="S853" s="314"/>
      <c r="T853" s="314"/>
      <c r="W853" s="320"/>
    </row>
    <row r="854" spans="1:26" x14ac:dyDescent="0.45">
      <c r="A854" s="313"/>
      <c r="B854" s="424" t="s">
        <v>1125</v>
      </c>
      <c r="C854" s="425"/>
      <c r="D854" s="314"/>
      <c r="E854" s="45"/>
      <c r="F854" s="314"/>
      <c r="G854" s="314"/>
      <c r="H854" s="314"/>
      <c r="I854" s="314"/>
      <c r="J854" s="314"/>
      <c r="K854" s="314"/>
      <c r="L854" s="314"/>
      <c r="M854" s="314"/>
      <c r="N854" s="314"/>
      <c r="O854" s="314"/>
      <c r="P854" s="314"/>
      <c r="Q854" s="314"/>
      <c r="R854" s="314"/>
      <c r="S854" s="314"/>
      <c r="T854" s="314"/>
      <c r="U854" s="320"/>
      <c r="V854" s="320"/>
      <c r="W854" s="320"/>
      <c r="X854" s="320"/>
      <c r="Y854" s="355"/>
      <c r="Z854" s="320"/>
    </row>
    <row r="855" spans="1:26" x14ac:dyDescent="0.45">
      <c r="A855" s="45"/>
      <c r="B855" s="424" t="s">
        <v>563</v>
      </c>
      <c r="C855" s="312"/>
      <c r="D855" s="45"/>
      <c r="E855" s="45"/>
      <c r="F855" s="314"/>
      <c r="G855" s="314"/>
      <c r="H855" s="314"/>
      <c r="I855" s="314"/>
      <c r="J855" s="314"/>
      <c r="K855" s="314"/>
      <c r="L855" s="314"/>
      <c r="M855" s="314"/>
      <c r="N855" s="314"/>
      <c r="O855" s="314"/>
      <c r="P855" s="314"/>
      <c r="Q855" s="314"/>
      <c r="R855" s="314"/>
      <c r="S855" s="314"/>
      <c r="T855" s="314"/>
      <c r="W855" s="320"/>
    </row>
    <row r="856" spans="1:26" x14ac:dyDescent="0.45">
      <c r="A856" s="313">
        <v>21</v>
      </c>
      <c r="B856" s="424" t="s">
        <v>564</v>
      </c>
      <c r="C856" s="425" t="s">
        <v>1377</v>
      </c>
      <c r="D856" s="314">
        <v>66398898</v>
      </c>
      <c r="E856" s="45"/>
      <c r="F856" s="314">
        <v>62536188</v>
      </c>
      <c r="G856" s="314"/>
      <c r="H856" s="314">
        <v>2511431</v>
      </c>
      <c r="I856" s="314"/>
      <c r="J856" s="314">
        <v>1351279</v>
      </c>
      <c r="K856" s="314">
        <v>693576</v>
      </c>
      <c r="L856" s="314">
        <v>657702</v>
      </c>
      <c r="M856" s="314"/>
      <c r="N856" s="314"/>
      <c r="O856" s="314">
        <v>66398898</v>
      </c>
      <c r="P856" s="314"/>
      <c r="Q856" s="314" t="s">
        <v>565</v>
      </c>
      <c r="R856" s="314"/>
      <c r="S856" s="314">
        <v>69649757</v>
      </c>
      <c r="T856" s="314" t="s">
        <v>2509</v>
      </c>
      <c r="U856" s="320" t="s">
        <v>1770</v>
      </c>
      <c r="V856" s="320"/>
      <c r="W856" s="320"/>
      <c r="X856" s="314"/>
      <c r="Y856" s="355"/>
      <c r="Z856" s="320"/>
    </row>
    <row r="857" spans="1:26" x14ac:dyDescent="0.45">
      <c r="A857" s="313"/>
      <c r="B857" s="424" t="s">
        <v>566</v>
      </c>
      <c r="C857" s="425"/>
      <c r="D857" s="314"/>
      <c r="E857" s="45"/>
      <c r="F857" s="314"/>
      <c r="G857" s="314"/>
      <c r="H857" s="314"/>
      <c r="I857" s="314"/>
      <c r="J857" s="314"/>
      <c r="K857" s="314"/>
      <c r="L857" s="314"/>
      <c r="M857" s="314"/>
      <c r="N857" s="314"/>
      <c r="O857" s="314"/>
      <c r="P857" s="314"/>
      <c r="Q857" s="314"/>
      <c r="R857" s="314"/>
      <c r="S857" s="314"/>
      <c r="T857" s="314"/>
      <c r="U857" s="320"/>
      <c r="V857" s="320"/>
      <c r="W857" s="320"/>
      <c r="X857" s="314"/>
      <c r="Y857" s="355"/>
      <c r="Z857" s="320"/>
    </row>
    <row r="858" spans="1:26" x14ac:dyDescent="0.45">
      <c r="A858" s="313">
        <v>22</v>
      </c>
      <c r="B858" s="424" t="s">
        <v>567</v>
      </c>
      <c r="C858" s="425" t="s">
        <v>912</v>
      </c>
      <c r="D858" s="314">
        <v>34928289</v>
      </c>
      <c r="E858" s="45"/>
      <c r="F858" s="314">
        <v>32744834</v>
      </c>
      <c r="G858" s="314"/>
      <c r="H858" s="314">
        <v>1493303</v>
      </c>
      <c r="I858" s="314"/>
      <c r="J858" s="314">
        <v>690152</v>
      </c>
      <c r="K858" s="314">
        <v>350084</v>
      </c>
      <c r="L858" s="314">
        <v>340068</v>
      </c>
      <c r="M858" s="314"/>
      <c r="N858" s="314"/>
      <c r="O858" s="314">
        <v>34928289</v>
      </c>
      <c r="P858" s="314"/>
      <c r="Q858" s="314" t="s">
        <v>565</v>
      </c>
      <c r="R858" s="314"/>
      <c r="S858" s="314">
        <v>34467861</v>
      </c>
      <c r="T858" s="314" t="s">
        <v>2509</v>
      </c>
      <c r="U858" s="320" t="s">
        <v>1770</v>
      </c>
      <c r="V858" s="320"/>
      <c r="W858" s="320"/>
      <c r="X858" s="314"/>
      <c r="Y858" s="355"/>
      <c r="Z858" s="320"/>
    </row>
    <row r="859" spans="1:26" x14ac:dyDescent="0.45">
      <c r="A859" s="313">
        <v>23</v>
      </c>
      <c r="B859" s="424" t="s">
        <v>568</v>
      </c>
      <c r="C859" s="425" t="s">
        <v>2134</v>
      </c>
      <c r="D859" s="314">
        <v>15886349</v>
      </c>
      <c r="E859" s="45"/>
      <c r="F859" s="314">
        <v>14185824</v>
      </c>
      <c r="G859" s="314"/>
      <c r="H859" s="314">
        <v>1700524</v>
      </c>
      <c r="I859" s="314"/>
      <c r="J859" s="314">
        <v>0</v>
      </c>
      <c r="K859" s="314">
        <v>0</v>
      </c>
      <c r="L859" s="314">
        <v>0</v>
      </c>
      <c r="M859" s="314"/>
      <c r="N859" s="314"/>
      <c r="O859" s="314">
        <v>15886349</v>
      </c>
      <c r="P859" s="314"/>
      <c r="Q859" s="314" t="s">
        <v>565</v>
      </c>
      <c r="R859" s="314"/>
      <c r="S859" s="314">
        <v>15676662</v>
      </c>
      <c r="T859" s="314" t="s">
        <v>2509</v>
      </c>
      <c r="U859" s="320" t="s">
        <v>1770</v>
      </c>
      <c r="V859" s="320"/>
      <c r="W859" s="320"/>
      <c r="X859" s="314"/>
      <c r="Y859" s="355"/>
      <c r="Z859" s="320"/>
    </row>
    <row r="860" spans="1:26" x14ac:dyDescent="0.45">
      <c r="A860" s="313">
        <v>24</v>
      </c>
      <c r="B860" s="424" t="s">
        <v>0</v>
      </c>
      <c r="C860" s="428" t="s">
        <v>1442</v>
      </c>
      <c r="D860" s="314">
        <v>10423311</v>
      </c>
      <c r="E860" s="45"/>
      <c r="F860" s="314">
        <v>9922422</v>
      </c>
      <c r="G860" s="314"/>
      <c r="H860" s="314">
        <v>484856</v>
      </c>
      <c r="I860" s="314"/>
      <c r="J860" s="314">
        <v>16033</v>
      </c>
      <c r="K860" s="314">
        <v>15911</v>
      </c>
      <c r="L860" s="314">
        <v>122</v>
      </c>
      <c r="M860" s="314"/>
      <c r="N860" s="314"/>
      <c r="O860" s="314">
        <v>10423311</v>
      </c>
      <c r="P860" s="314"/>
      <c r="Q860" s="314" t="s">
        <v>565</v>
      </c>
      <c r="R860" s="314"/>
      <c r="S860" s="314">
        <v>10286096</v>
      </c>
      <c r="T860" s="314" t="s">
        <v>2509</v>
      </c>
      <c r="U860" s="320" t="s">
        <v>1770</v>
      </c>
      <c r="V860" s="320"/>
      <c r="W860" s="320"/>
      <c r="X860" s="314"/>
      <c r="Y860" s="355"/>
      <c r="Z860" s="320"/>
    </row>
    <row r="861" spans="1:26" x14ac:dyDescent="0.45">
      <c r="A861" s="313">
        <v>25</v>
      </c>
      <c r="B861" s="424" t="s">
        <v>569</v>
      </c>
      <c r="C861" s="312" t="s">
        <v>1446</v>
      </c>
      <c r="D861" s="314">
        <v>0</v>
      </c>
      <c r="E861" s="45"/>
      <c r="F861" s="314">
        <v>0</v>
      </c>
      <c r="G861" s="314"/>
      <c r="H861" s="314">
        <v>0</v>
      </c>
      <c r="I861" s="314"/>
      <c r="J861" s="314">
        <v>0</v>
      </c>
      <c r="K861" s="314">
        <v>0</v>
      </c>
      <c r="L861" s="314">
        <v>0</v>
      </c>
      <c r="M861" s="314"/>
      <c r="N861" s="314"/>
      <c r="O861" s="314">
        <v>0</v>
      </c>
      <c r="P861" s="314"/>
      <c r="Q861" s="314" t="s">
        <v>565</v>
      </c>
      <c r="R861" s="314"/>
      <c r="S861" s="314">
        <v>0</v>
      </c>
      <c r="T861" s="314" t="s">
        <v>2509</v>
      </c>
      <c r="U861" s="53" t="s">
        <v>1770</v>
      </c>
      <c r="W861" s="320"/>
      <c r="X861" s="314"/>
    </row>
    <row r="862" spans="1:26" x14ac:dyDescent="0.45">
      <c r="A862" s="313">
        <v>26</v>
      </c>
      <c r="B862" s="424" t="s">
        <v>570</v>
      </c>
      <c r="C862" s="312" t="s">
        <v>916</v>
      </c>
      <c r="D862" s="314">
        <v>3271987</v>
      </c>
      <c r="E862" s="45"/>
      <c r="F862" s="314">
        <v>3037700</v>
      </c>
      <c r="G862" s="314"/>
      <c r="H862" s="314">
        <v>196555</v>
      </c>
      <c r="I862" s="314"/>
      <c r="J862" s="314">
        <v>37732</v>
      </c>
      <c r="K862" s="314">
        <v>19555</v>
      </c>
      <c r="L862" s="314">
        <v>18177</v>
      </c>
      <c r="M862" s="314"/>
      <c r="N862" s="314"/>
      <c r="O862" s="314">
        <v>3271987</v>
      </c>
      <c r="P862" s="314"/>
      <c r="Q862" s="314" t="s">
        <v>565</v>
      </c>
      <c r="R862" s="314"/>
      <c r="S862" s="314">
        <v>3271987</v>
      </c>
      <c r="T862" s="314" t="s">
        <v>2509</v>
      </c>
      <c r="U862" s="53" t="s">
        <v>1770</v>
      </c>
      <c r="W862" s="320"/>
      <c r="X862" s="314"/>
    </row>
    <row r="863" spans="1:26" x14ac:dyDescent="0.45">
      <c r="A863" s="45">
        <v>27</v>
      </c>
      <c r="B863" s="45" t="s">
        <v>571</v>
      </c>
      <c r="C863" s="312"/>
      <c r="D863" s="492">
        <v>64509936</v>
      </c>
      <c r="E863" s="45"/>
      <c r="F863" s="314">
        <v>59890781</v>
      </c>
      <c r="G863" s="314"/>
      <c r="H863" s="314">
        <v>3875238</v>
      </c>
      <c r="I863" s="314"/>
      <c r="J863" s="314">
        <v>743918</v>
      </c>
      <c r="K863" s="314">
        <v>385551</v>
      </c>
      <c r="L863" s="314">
        <v>358367</v>
      </c>
      <c r="M863" s="314"/>
      <c r="N863" s="314"/>
      <c r="O863" s="314"/>
      <c r="P863" s="314"/>
      <c r="Q863" s="314"/>
      <c r="R863" s="314"/>
      <c r="S863" s="314">
        <v>63702607</v>
      </c>
      <c r="T863" s="314"/>
      <c r="W863" s="320"/>
      <c r="X863" s="314"/>
    </row>
    <row r="864" spans="1:26" x14ac:dyDescent="0.45">
      <c r="A864" s="45">
        <v>28</v>
      </c>
      <c r="B864" s="424" t="s">
        <v>572</v>
      </c>
      <c r="C864" s="312"/>
      <c r="D864" s="492">
        <v>130908834</v>
      </c>
      <c r="E864" s="45"/>
      <c r="F864" s="314">
        <v>122426969</v>
      </c>
      <c r="G864" s="314"/>
      <c r="H864" s="314">
        <v>6386669</v>
      </c>
      <c r="I864" s="314"/>
      <c r="J864" s="314">
        <v>2095196</v>
      </c>
      <c r="K864" s="314">
        <v>1079127</v>
      </c>
      <c r="L864" s="314">
        <v>1016069</v>
      </c>
      <c r="M864" s="314"/>
      <c r="N864" s="314"/>
      <c r="O864" s="314"/>
      <c r="P864" s="314"/>
      <c r="Q864" s="314"/>
      <c r="R864" s="314"/>
      <c r="S864" s="314"/>
      <c r="T864" s="314"/>
      <c r="W864" s="320"/>
    </row>
    <row r="865" spans="1:26" x14ac:dyDescent="0.45">
      <c r="A865" s="313"/>
      <c r="B865" s="427"/>
      <c r="C865" s="428"/>
      <c r="D865" s="314"/>
      <c r="E865" s="45"/>
      <c r="F865" s="314"/>
      <c r="G865" s="314"/>
      <c r="H865" s="314"/>
      <c r="I865" s="314"/>
      <c r="J865" s="314"/>
      <c r="K865" s="314"/>
      <c r="L865" s="314"/>
      <c r="M865" s="314"/>
      <c r="N865" s="314"/>
      <c r="O865" s="314"/>
      <c r="P865" s="314"/>
      <c r="Q865" s="314"/>
      <c r="R865" s="314"/>
      <c r="S865" s="314"/>
      <c r="T865" s="314"/>
      <c r="U865" s="320"/>
      <c r="V865" s="320"/>
      <c r="W865" s="320"/>
      <c r="X865" s="320"/>
      <c r="Y865" s="355"/>
      <c r="Z865" s="320"/>
    </row>
    <row r="866" spans="1:26" x14ac:dyDescent="0.45">
      <c r="A866" s="313"/>
      <c r="B866" s="424" t="s">
        <v>573</v>
      </c>
      <c r="C866" s="428"/>
      <c r="D866" s="314"/>
      <c r="E866" s="45"/>
      <c r="F866" s="314"/>
      <c r="G866" s="314"/>
      <c r="H866" s="314"/>
      <c r="I866" s="314"/>
      <c r="J866" s="314"/>
      <c r="K866" s="314"/>
      <c r="L866" s="314"/>
      <c r="M866" s="314"/>
      <c r="N866" s="314"/>
      <c r="O866" s="314"/>
      <c r="P866" s="314"/>
      <c r="Q866" s="314"/>
      <c r="R866" s="314"/>
      <c r="S866" s="314"/>
      <c r="T866" s="314"/>
      <c r="U866" s="320"/>
      <c r="V866" s="320"/>
      <c r="W866" s="320"/>
      <c r="X866" s="320"/>
      <c r="Y866" s="355"/>
      <c r="Z866" s="320"/>
    </row>
    <row r="867" spans="1:26" x14ac:dyDescent="0.45">
      <c r="A867" s="313">
        <v>29</v>
      </c>
      <c r="B867" s="424" t="s">
        <v>2038</v>
      </c>
      <c r="C867" s="312" t="s">
        <v>1917</v>
      </c>
      <c r="D867" s="314">
        <v>19279557</v>
      </c>
      <c r="E867" s="45"/>
      <c r="F867" s="314">
        <v>19024116</v>
      </c>
      <c r="G867" s="314"/>
      <c r="H867" s="314">
        <v>0</v>
      </c>
      <c r="I867" s="314"/>
      <c r="J867" s="314">
        <v>255440</v>
      </c>
      <c r="K867" s="314">
        <v>133507</v>
      </c>
      <c r="L867" s="314">
        <v>121933</v>
      </c>
      <c r="M867" s="314"/>
      <c r="N867" s="314"/>
      <c r="O867" s="314">
        <v>20305521</v>
      </c>
      <c r="P867" s="314"/>
      <c r="Q867" s="314" t="s">
        <v>565</v>
      </c>
      <c r="R867" s="314"/>
      <c r="S867" s="314">
        <v>22059959</v>
      </c>
      <c r="T867" s="314" t="s">
        <v>2509</v>
      </c>
      <c r="U867" s="53" t="s">
        <v>1770</v>
      </c>
      <c r="V867" s="355"/>
      <c r="W867" s="320"/>
      <c r="X867" s="314"/>
    </row>
    <row r="868" spans="1:26" x14ac:dyDescent="0.45">
      <c r="A868" s="45">
        <v>30</v>
      </c>
      <c r="B868" s="45" t="s">
        <v>574</v>
      </c>
      <c r="C868" s="312" t="s">
        <v>1918</v>
      </c>
      <c r="D868" s="45">
        <v>0</v>
      </c>
      <c r="E868" s="45"/>
      <c r="F868" s="314">
        <v>0</v>
      </c>
      <c r="G868" s="314"/>
      <c r="H868" s="314">
        <v>0</v>
      </c>
      <c r="I868" s="314"/>
      <c r="J868" s="314">
        <v>0</v>
      </c>
      <c r="K868" s="314">
        <v>0</v>
      </c>
      <c r="L868" s="314">
        <v>0</v>
      </c>
      <c r="M868" s="314"/>
      <c r="N868" s="314"/>
      <c r="O868" s="314">
        <v>0</v>
      </c>
      <c r="P868" s="314" t="s">
        <v>2194</v>
      </c>
      <c r="Q868" s="314"/>
      <c r="R868" s="314"/>
      <c r="S868" s="314">
        <v>0</v>
      </c>
      <c r="T868" s="314" t="s">
        <v>2509</v>
      </c>
      <c r="U868" s="53" t="s">
        <v>1770</v>
      </c>
      <c r="W868" s="320"/>
      <c r="X868" s="314"/>
    </row>
    <row r="869" spans="1:26" x14ac:dyDescent="0.45">
      <c r="A869" s="313">
        <v>31</v>
      </c>
      <c r="B869" s="424" t="s">
        <v>575</v>
      </c>
      <c r="C869" s="45"/>
      <c r="D869" s="314">
        <v>19279557</v>
      </c>
      <c r="E869" s="45"/>
      <c r="F869" s="314">
        <v>19024116</v>
      </c>
      <c r="G869" s="314"/>
      <c r="H869" s="314">
        <v>0</v>
      </c>
      <c r="I869" s="314"/>
      <c r="J869" s="314">
        <v>255440</v>
      </c>
      <c r="K869" s="314">
        <v>133507</v>
      </c>
      <c r="L869" s="314">
        <v>121933</v>
      </c>
      <c r="M869" s="314"/>
      <c r="N869" s="314"/>
      <c r="O869" s="314"/>
      <c r="P869" s="314"/>
      <c r="Q869" s="314" t="s">
        <v>2227</v>
      </c>
      <c r="R869" s="314"/>
      <c r="S869" s="314"/>
      <c r="T869" s="314"/>
      <c r="U869" s="320"/>
      <c r="V869" s="355"/>
      <c r="W869" s="320"/>
    </row>
    <row r="870" spans="1:26" x14ac:dyDescent="0.45">
      <c r="A870" s="45"/>
      <c r="B870" s="45"/>
      <c r="C870" s="312"/>
      <c r="D870" s="45"/>
      <c r="E870" s="45"/>
      <c r="F870" s="314"/>
      <c r="G870" s="314"/>
      <c r="H870" s="314"/>
      <c r="I870" s="314"/>
      <c r="J870" s="314"/>
      <c r="K870" s="314"/>
      <c r="L870" s="314"/>
      <c r="M870" s="314"/>
      <c r="N870" s="314"/>
      <c r="O870" s="314"/>
      <c r="P870" s="314"/>
      <c r="Q870" s="314"/>
      <c r="R870" s="314"/>
      <c r="S870" s="314"/>
      <c r="T870" s="314"/>
      <c r="V870" s="318"/>
      <c r="W870" s="320"/>
    </row>
    <row r="871" spans="1:26" x14ac:dyDescent="0.45">
      <c r="A871" s="313">
        <v>32</v>
      </c>
      <c r="B871" s="424" t="s">
        <v>576</v>
      </c>
      <c r="C871" s="312"/>
      <c r="D871" s="314">
        <v>141138202</v>
      </c>
      <c r="E871" s="45"/>
      <c r="F871" s="314">
        <v>129933875</v>
      </c>
      <c r="G871" s="314"/>
      <c r="H871" s="314">
        <v>9535669</v>
      </c>
      <c r="I871" s="314"/>
      <c r="J871" s="314">
        <v>1668658</v>
      </c>
      <c r="K871" s="314">
        <v>859437</v>
      </c>
      <c r="L871" s="314">
        <v>809220</v>
      </c>
      <c r="M871" s="314"/>
      <c r="N871" s="314"/>
      <c r="O871" s="314">
        <v>139469544</v>
      </c>
      <c r="P871" s="314" t="s">
        <v>2280</v>
      </c>
      <c r="Q871" s="314" t="s">
        <v>1771</v>
      </c>
      <c r="R871" s="314"/>
      <c r="S871" s="314"/>
      <c r="T871" s="314"/>
      <c r="V871" s="318"/>
      <c r="W871" s="320"/>
    </row>
    <row r="872" spans="1:26" x14ac:dyDescent="0.45">
      <c r="A872" s="45"/>
      <c r="B872" s="45"/>
      <c r="C872" s="312"/>
      <c r="D872" s="45"/>
      <c r="E872" s="45"/>
      <c r="F872" s="314"/>
      <c r="G872" s="314"/>
      <c r="H872" s="314"/>
      <c r="I872" s="314"/>
      <c r="J872" s="314"/>
      <c r="K872" s="314"/>
      <c r="L872" s="314"/>
      <c r="M872" s="314"/>
      <c r="N872" s="314"/>
      <c r="O872" s="314">
        <v>2783274</v>
      </c>
      <c r="P872" s="314"/>
      <c r="Q872" s="314" t="s">
        <v>2281</v>
      </c>
      <c r="R872" s="314"/>
      <c r="S872" s="314"/>
      <c r="T872" s="314"/>
      <c r="W872" s="320"/>
    </row>
    <row r="873" spans="1:26" x14ac:dyDescent="0.45">
      <c r="A873" s="313">
        <v>33</v>
      </c>
      <c r="B873" s="424" t="s">
        <v>577</v>
      </c>
      <c r="C873" s="425"/>
      <c r="D873" s="314">
        <v>291326593</v>
      </c>
      <c r="E873" s="45"/>
      <c r="F873" s="314">
        <v>271384960</v>
      </c>
      <c r="G873" s="314"/>
      <c r="H873" s="314">
        <v>15922338</v>
      </c>
      <c r="I873" s="314"/>
      <c r="J873" s="314">
        <v>4019294</v>
      </c>
      <c r="K873" s="314">
        <v>2072071</v>
      </c>
      <c r="L873" s="314">
        <v>1947223</v>
      </c>
      <c r="M873" s="314"/>
      <c r="N873" s="314"/>
      <c r="O873" s="314">
        <v>103796993</v>
      </c>
      <c r="P873" s="314"/>
      <c r="Q873" s="314" t="s">
        <v>2282</v>
      </c>
      <c r="R873" s="314"/>
      <c r="S873" s="314"/>
      <c r="T873" s="314"/>
      <c r="U873" s="320"/>
      <c r="V873" s="320"/>
      <c r="W873" s="320"/>
      <c r="X873" s="320"/>
      <c r="Y873" s="355"/>
      <c r="Z873" s="320"/>
    </row>
    <row r="874" spans="1:26" x14ac:dyDescent="0.45">
      <c r="A874" s="45"/>
      <c r="B874" s="45"/>
      <c r="C874" s="312"/>
      <c r="D874" s="45"/>
      <c r="E874" s="45"/>
      <c r="F874" s="314"/>
      <c r="G874" s="314"/>
      <c r="H874" s="314"/>
      <c r="I874" s="314"/>
      <c r="J874" s="314"/>
      <c r="K874" s="314"/>
      <c r="L874" s="314"/>
      <c r="M874" s="314"/>
      <c r="N874" s="314"/>
      <c r="O874" s="314"/>
      <c r="P874" s="314"/>
      <c r="Q874" s="314"/>
      <c r="R874" s="314"/>
      <c r="S874" s="314"/>
      <c r="T874" s="314"/>
      <c r="W874" s="320"/>
    </row>
    <row r="875" spans="1:26" x14ac:dyDescent="0.45">
      <c r="A875" s="313">
        <v>34</v>
      </c>
      <c r="B875" s="424" t="s">
        <v>578</v>
      </c>
      <c r="C875" s="425" t="s">
        <v>1269</v>
      </c>
      <c r="D875" s="314">
        <v>124310</v>
      </c>
      <c r="E875" s="45"/>
      <c r="F875" s="314">
        <v>116617</v>
      </c>
      <c r="G875" s="314"/>
      <c r="H875" s="314">
        <v>5281</v>
      </c>
      <c r="I875" s="314"/>
      <c r="J875" s="314">
        <v>2412</v>
      </c>
      <c r="K875" s="314">
        <v>1223</v>
      </c>
      <c r="L875" s="314">
        <v>1188</v>
      </c>
      <c r="M875" s="314"/>
      <c r="N875" s="314"/>
      <c r="O875" s="314">
        <v>124310</v>
      </c>
      <c r="P875" s="314"/>
      <c r="Q875" s="314" t="s">
        <v>565</v>
      </c>
      <c r="R875" s="314"/>
      <c r="S875" s="314">
        <v>124310</v>
      </c>
      <c r="T875" s="314" t="s">
        <v>2509</v>
      </c>
      <c r="U875" s="320" t="s">
        <v>1770</v>
      </c>
      <c r="V875" s="320"/>
      <c r="W875" s="320"/>
      <c r="X875" s="314"/>
      <c r="Y875" s="355"/>
      <c r="Z875" s="325"/>
    </row>
    <row r="876" spans="1:26" x14ac:dyDescent="0.45">
      <c r="A876" s="45"/>
      <c r="B876" s="45"/>
      <c r="C876" s="45"/>
      <c r="D876" s="45"/>
      <c r="E876" s="45"/>
      <c r="F876" s="314"/>
      <c r="G876" s="314"/>
      <c r="H876" s="314"/>
      <c r="I876" s="314"/>
      <c r="J876" s="314"/>
      <c r="K876" s="314"/>
      <c r="L876" s="314"/>
      <c r="M876" s="314"/>
      <c r="N876" s="314"/>
      <c r="O876" s="314"/>
      <c r="P876" s="314"/>
      <c r="Q876" s="314"/>
      <c r="R876" s="314"/>
      <c r="S876" s="314"/>
      <c r="T876" s="314"/>
      <c r="U876" s="320"/>
      <c r="V876" s="320"/>
      <c r="W876" s="320"/>
      <c r="Z876" s="358"/>
    </row>
    <row r="877" spans="1:26" x14ac:dyDescent="0.45">
      <c r="A877" s="313">
        <v>35</v>
      </c>
      <c r="B877" s="424" t="s">
        <v>2283</v>
      </c>
      <c r="C877" s="312" t="s">
        <v>1269</v>
      </c>
      <c r="D877" s="314">
        <v>183002470</v>
      </c>
      <c r="E877" s="45"/>
      <c r="F877" s="314">
        <v>174570689</v>
      </c>
      <c r="G877" s="314"/>
      <c r="H877" s="314">
        <v>6196953</v>
      </c>
      <c r="I877" s="314"/>
      <c r="J877" s="314">
        <v>2234828</v>
      </c>
      <c r="K877" s="314">
        <v>1133630</v>
      </c>
      <c r="L877" s="314">
        <v>1101198</v>
      </c>
      <c r="M877" s="314"/>
      <c r="N877" s="314"/>
      <c r="O877" s="314">
        <v>221435060</v>
      </c>
      <c r="P877" s="314" t="s">
        <v>2473</v>
      </c>
      <c r="Q877" s="314">
        <v>174570689</v>
      </c>
      <c r="R877" s="314" t="s">
        <v>2474</v>
      </c>
      <c r="S877" s="314"/>
      <c r="T877" s="314" t="s">
        <v>2475</v>
      </c>
      <c r="U877" s="320"/>
      <c r="V877" s="314"/>
      <c r="W877" s="320"/>
      <c r="X877" s="320"/>
    </row>
    <row r="878" spans="1:26" x14ac:dyDescent="0.45">
      <c r="A878" s="45"/>
      <c r="B878" s="45"/>
      <c r="C878" s="312"/>
      <c r="D878" s="45"/>
      <c r="E878" s="45"/>
      <c r="F878" s="314"/>
      <c r="G878" s="314"/>
      <c r="H878" s="314"/>
      <c r="I878" s="314"/>
      <c r="J878" s="314"/>
      <c r="K878" s="314"/>
      <c r="L878" s="314"/>
      <c r="M878" s="314"/>
      <c r="N878" s="314"/>
      <c r="O878" s="314"/>
      <c r="P878" s="314" t="s">
        <v>2284</v>
      </c>
      <c r="Q878" s="314">
        <v>-3210743</v>
      </c>
      <c r="R878" s="314"/>
      <c r="S878" s="314"/>
      <c r="T878" s="314"/>
      <c r="V878" s="314"/>
      <c r="W878" s="320"/>
      <c r="X878" s="320"/>
    </row>
    <row r="879" spans="1:26" x14ac:dyDescent="0.45">
      <c r="A879" s="45">
        <v>36</v>
      </c>
      <c r="B879" s="45" t="s">
        <v>579</v>
      </c>
      <c r="C879" s="312"/>
      <c r="D879" s="492">
        <v>771288227</v>
      </c>
      <c r="E879" s="45"/>
      <c r="F879" s="314">
        <v>715958458</v>
      </c>
      <c r="G879" s="314"/>
      <c r="H879" s="314">
        <v>45935760</v>
      </c>
      <c r="I879" s="314"/>
      <c r="J879" s="314">
        <v>9394009</v>
      </c>
      <c r="K879" s="314">
        <v>4860719</v>
      </c>
      <c r="L879" s="314">
        <v>4533290</v>
      </c>
      <c r="M879" s="314"/>
      <c r="N879" s="314"/>
      <c r="O879" s="314"/>
      <c r="P879" s="314" t="s">
        <v>2285</v>
      </c>
      <c r="Q879" s="314">
        <v>-2061430</v>
      </c>
      <c r="R879" s="314">
        <v>-1045673</v>
      </c>
      <c r="S879" s="314">
        <v>-1015757</v>
      </c>
      <c r="T879" s="314"/>
      <c r="V879" s="314"/>
      <c r="W879" s="314"/>
      <c r="X879" s="314"/>
    </row>
    <row r="880" spans="1:26" x14ac:dyDescent="0.45">
      <c r="A880" s="45"/>
      <c r="B880" s="45"/>
      <c r="C880" s="312"/>
      <c r="D880" s="45"/>
      <c r="E880" s="45"/>
      <c r="F880" s="314"/>
      <c r="G880" s="314"/>
      <c r="H880" s="314"/>
      <c r="I880" s="314"/>
      <c r="J880" s="314"/>
      <c r="K880" s="314"/>
      <c r="L880" s="314"/>
      <c r="M880" s="314"/>
      <c r="N880" s="314"/>
      <c r="O880" s="314"/>
      <c r="P880" s="314"/>
      <c r="Q880" s="314"/>
      <c r="R880" s="314" t="s">
        <v>2057</v>
      </c>
      <c r="S880" s="314" t="s">
        <v>439</v>
      </c>
      <c r="T880" s="314"/>
      <c r="W880" s="320"/>
    </row>
    <row r="881" spans="1:25" x14ac:dyDescent="0.45">
      <c r="A881" s="45"/>
      <c r="B881" s="45"/>
      <c r="C881" s="312"/>
      <c r="D881" s="45"/>
      <c r="E881" s="45"/>
      <c r="F881" s="314"/>
      <c r="G881" s="314"/>
      <c r="H881" s="314"/>
      <c r="I881" s="314"/>
      <c r="J881" s="314"/>
      <c r="K881" s="314"/>
      <c r="L881" s="314"/>
      <c r="M881" s="314"/>
      <c r="N881" s="314"/>
      <c r="O881" s="314"/>
      <c r="P881" s="314"/>
      <c r="Q881" s="314"/>
      <c r="R881" s="314"/>
      <c r="S881" s="314"/>
      <c r="T881" s="314"/>
      <c r="W881" s="320"/>
    </row>
    <row r="882" spans="1:25" x14ac:dyDescent="0.45">
      <c r="A882" s="45"/>
      <c r="B882" s="426" t="s">
        <v>580</v>
      </c>
      <c r="C882" s="312"/>
      <c r="D882" s="45"/>
      <c r="E882" s="45"/>
      <c r="F882" s="314"/>
      <c r="G882" s="314"/>
      <c r="H882" s="314"/>
      <c r="I882" s="314"/>
      <c r="J882" s="314"/>
      <c r="K882" s="314"/>
      <c r="L882" s="314"/>
      <c r="M882" s="314"/>
      <c r="N882" s="314"/>
      <c r="O882" s="314"/>
      <c r="P882" s="314"/>
      <c r="Q882" s="314"/>
      <c r="R882" s="314"/>
      <c r="S882" s="314"/>
      <c r="T882" s="314"/>
      <c r="W882" s="320"/>
    </row>
    <row r="883" spans="1:25" x14ac:dyDescent="0.45">
      <c r="A883" s="45"/>
      <c r="B883" s="45"/>
      <c r="C883" s="312"/>
      <c r="D883" s="45"/>
      <c r="E883" s="45"/>
      <c r="F883" s="314"/>
      <c r="G883" s="314"/>
      <c r="H883" s="314"/>
      <c r="I883" s="314"/>
      <c r="J883" s="314"/>
      <c r="K883" s="314"/>
      <c r="L883" s="314"/>
      <c r="M883" s="314"/>
      <c r="N883" s="314"/>
      <c r="O883" s="314"/>
      <c r="P883" s="314"/>
      <c r="Q883" s="314"/>
      <c r="R883" s="314"/>
      <c r="S883" s="314"/>
      <c r="T883" s="314"/>
      <c r="W883" s="320"/>
    </row>
    <row r="884" spans="1:25" x14ac:dyDescent="0.45">
      <c r="A884" s="312"/>
      <c r="B884" s="424" t="s">
        <v>581</v>
      </c>
      <c r="C884" s="312"/>
      <c r="D884" s="45"/>
      <c r="E884" s="45"/>
      <c r="F884" s="314"/>
      <c r="G884" s="314"/>
      <c r="H884" s="314"/>
      <c r="I884" s="314"/>
      <c r="J884" s="314"/>
      <c r="K884" s="314"/>
      <c r="L884" s="314"/>
      <c r="M884" s="314"/>
      <c r="N884" s="314"/>
      <c r="O884" s="314"/>
      <c r="P884" s="314"/>
      <c r="Q884" s="314"/>
      <c r="R884" s="314"/>
      <c r="S884" s="314"/>
      <c r="T884" s="314"/>
      <c r="W884" s="320"/>
    </row>
    <row r="885" spans="1:25" x14ac:dyDescent="0.45">
      <c r="A885" s="312"/>
      <c r="B885" s="424"/>
      <c r="C885" s="312"/>
      <c r="D885" s="45"/>
      <c r="E885" s="45"/>
      <c r="F885" s="314"/>
      <c r="G885" s="314"/>
      <c r="H885" s="314"/>
      <c r="I885" s="314"/>
      <c r="J885" s="314"/>
      <c r="K885" s="314"/>
      <c r="L885" s="314"/>
      <c r="M885" s="314"/>
      <c r="N885" s="314"/>
      <c r="O885" s="314"/>
      <c r="P885" s="314"/>
      <c r="Q885" s="314"/>
      <c r="R885" s="314"/>
      <c r="S885" s="314"/>
      <c r="T885" s="314"/>
      <c r="W885" s="320"/>
    </row>
    <row r="886" spans="1:25" x14ac:dyDescent="0.45">
      <c r="A886" s="312"/>
      <c r="B886" s="424" t="s">
        <v>7</v>
      </c>
      <c r="C886" s="312"/>
      <c r="D886" s="45"/>
      <c r="E886" s="45"/>
      <c r="F886" s="314"/>
      <c r="G886" s="314"/>
      <c r="H886" s="314"/>
      <c r="I886" s="314"/>
      <c r="J886" s="314"/>
      <c r="K886" s="314"/>
      <c r="L886" s="314"/>
      <c r="M886" s="314"/>
      <c r="N886" s="314"/>
      <c r="O886" s="314"/>
      <c r="P886" s="314"/>
      <c r="Q886" s="314"/>
      <c r="R886" s="314"/>
      <c r="S886" s="314"/>
      <c r="T886" s="314"/>
      <c r="W886" s="320"/>
    </row>
    <row r="887" spans="1:25" x14ac:dyDescent="0.45">
      <c r="A887" s="313">
        <v>1</v>
      </c>
      <c r="B887" s="424" t="s">
        <v>1114</v>
      </c>
      <c r="C887" s="425" t="s">
        <v>487</v>
      </c>
      <c r="D887" s="314">
        <v>843246490</v>
      </c>
      <c r="E887" s="45"/>
      <c r="F887" s="314">
        <v>791085052</v>
      </c>
      <c r="G887" s="314"/>
      <c r="H887" s="314">
        <v>35808566</v>
      </c>
      <c r="I887" s="314"/>
      <c r="J887" s="314">
        <v>16352871</v>
      </c>
      <c r="K887" s="314">
        <v>8295091</v>
      </c>
      <c r="L887" s="314">
        <v>8057780</v>
      </c>
      <c r="M887" s="314"/>
      <c r="N887" s="314"/>
      <c r="O887" s="314">
        <v>843246490</v>
      </c>
      <c r="P887" s="314"/>
      <c r="Q887" s="314" t="s">
        <v>582</v>
      </c>
      <c r="R887" s="314"/>
      <c r="S887" s="314"/>
      <c r="T887" s="314"/>
      <c r="U887" s="320"/>
      <c r="V887" s="320"/>
      <c r="W887" s="320"/>
      <c r="X887" s="320"/>
      <c r="Y887" s="320"/>
    </row>
    <row r="888" spans="1:25" x14ac:dyDescent="0.45">
      <c r="A888" s="313">
        <v>2</v>
      </c>
      <c r="B888" s="424" t="s">
        <v>1115</v>
      </c>
      <c r="C888" s="425" t="s">
        <v>1271</v>
      </c>
      <c r="D888" s="314">
        <v>9721</v>
      </c>
      <c r="E888" s="45"/>
      <c r="F888" s="314">
        <v>5000</v>
      </c>
      <c r="G888" s="314"/>
      <c r="H888" s="314">
        <v>3241</v>
      </c>
      <c r="I888" s="314"/>
      <c r="J888" s="314">
        <v>1480</v>
      </c>
      <c r="K888" s="314">
        <v>751</v>
      </c>
      <c r="L888" s="314">
        <v>729</v>
      </c>
      <c r="M888" s="314"/>
      <c r="N888" s="314"/>
      <c r="O888" s="314">
        <v>9721</v>
      </c>
      <c r="P888" s="314"/>
      <c r="Q888" s="314" t="s">
        <v>582</v>
      </c>
      <c r="R888" s="314"/>
      <c r="S888" s="314"/>
      <c r="T888" s="314"/>
      <c r="U888" s="320"/>
      <c r="V888" s="320"/>
      <c r="W888" s="320"/>
      <c r="X888" s="320"/>
      <c r="Y888" s="320"/>
    </row>
    <row r="889" spans="1:25" x14ac:dyDescent="0.45">
      <c r="A889" s="313">
        <v>3</v>
      </c>
      <c r="B889" s="424" t="s">
        <v>1116</v>
      </c>
      <c r="C889" s="425" t="s">
        <v>1277</v>
      </c>
      <c r="D889" s="314">
        <v>256865</v>
      </c>
      <c r="E889" s="45"/>
      <c r="F889" s="314">
        <v>198200</v>
      </c>
      <c r="G889" s="314"/>
      <c r="H889" s="314">
        <v>0</v>
      </c>
      <c r="I889" s="314"/>
      <c r="J889" s="314">
        <v>58664</v>
      </c>
      <c r="K889" s="314">
        <v>29758</v>
      </c>
      <c r="L889" s="314">
        <v>28906</v>
      </c>
      <c r="M889" s="314"/>
      <c r="N889" s="314"/>
      <c r="O889" s="314">
        <v>256865</v>
      </c>
      <c r="P889" s="314"/>
      <c r="Q889" s="314" t="s">
        <v>582</v>
      </c>
      <c r="R889" s="314"/>
      <c r="S889" s="314"/>
      <c r="T889" s="314"/>
      <c r="U889" s="320"/>
      <c r="V889" s="320"/>
      <c r="W889" s="320"/>
      <c r="X889" s="320"/>
      <c r="Y889" s="320"/>
    </row>
    <row r="890" spans="1:25" x14ac:dyDescent="0.45">
      <c r="A890" s="313">
        <v>4</v>
      </c>
      <c r="B890" s="424" t="s">
        <v>1117</v>
      </c>
      <c r="C890" s="45"/>
      <c r="D890" s="314">
        <v>843513075</v>
      </c>
      <c r="E890" s="45"/>
      <c r="F890" s="314">
        <v>791288252</v>
      </c>
      <c r="G890" s="314"/>
      <c r="H890" s="314">
        <v>35811807</v>
      </c>
      <c r="I890" s="314"/>
      <c r="J890" s="314">
        <v>16413016</v>
      </c>
      <c r="K890" s="314">
        <v>8325600</v>
      </c>
      <c r="L890" s="314">
        <v>8087416</v>
      </c>
      <c r="M890" s="314"/>
      <c r="N890" s="314"/>
      <c r="O890" s="314"/>
      <c r="P890" s="314"/>
      <c r="Q890" s="314"/>
      <c r="R890" s="314"/>
      <c r="S890" s="314"/>
      <c r="T890" s="314"/>
      <c r="W890" s="320"/>
    </row>
    <row r="891" spans="1:25" x14ac:dyDescent="0.45">
      <c r="A891" s="45"/>
      <c r="B891" s="45"/>
      <c r="C891" s="45"/>
      <c r="D891" s="45"/>
      <c r="E891" s="45"/>
      <c r="F891" s="314"/>
      <c r="G891" s="314"/>
      <c r="H891" s="314"/>
      <c r="I891" s="314"/>
      <c r="J891" s="314"/>
      <c r="K891" s="314"/>
      <c r="L891" s="314"/>
      <c r="M891" s="314"/>
      <c r="N891" s="314"/>
      <c r="O891" s="314"/>
      <c r="P891" s="314"/>
      <c r="Q891" s="314"/>
      <c r="R891" s="314"/>
      <c r="S891" s="314"/>
      <c r="T891" s="314"/>
      <c r="W891" s="320"/>
    </row>
    <row r="892" spans="1:25" x14ac:dyDescent="0.45">
      <c r="A892" s="45"/>
      <c r="B892" s="424" t="s">
        <v>19</v>
      </c>
      <c r="C892" s="45"/>
      <c r="D892" s="45"/>
      <c r="E892" s="45"/>
      <c r="F892" s="314"/>
      <c r="G892" s="314"/>
      <c r="H892" s="314"/>
      <c r="I892" s="314"/>
      <c r="J892" s="314"/>
      <c r="K892" s="314"/>
      <c r="L892" s="314"/>
      <c r="M892" s="314"/>
      <c r="N892" s="314"/>
      <c r="O892" s="314"/>
      <c r="P892" s="314"/>
      <c r="Q892" s="314"/>
      <c r="R892" s="314"/>
      <c r="S892" s="314"/>
      <c r="T892" s="314"/>
      <c r="W892" s="320"/>
    </row>
    <row r="893" spans="1:25" x14ac:dyDescent="0.45">
      <c r="A893" s="313">
        <v>5</v>
      </c>
      <c r="B893" s="424" t="s">
        <v>1067</v>
      </c>
      <c r="C893" s="425" t="s">
        <v>2141</v>
      </c>
      <c r="D893" s="314">
        <v>207645636</v>
      </c>
      <c r="E893" s="45"/>
      <c r="F893" s="314">
        <v>198589241</v>
      </c>
      <c r="G893" s="314"/>
      <c r="H893" s="314">
        <v>9056395</v>
      </c>
      <c r="I893" s="314"/>
      <c r="J893" s="314">
        <v>0</v>
      </c>
      <c r="K893" s="314">
        <v>0</v>
      </c>
      <c r="L893" s="314">
        <v>0</v>
      </c>
      <c r="M893" s="314"/>
      <c r="N893" s="314"/>
      <c r="O893" s="314">
        <v>207645636</v>
      </c>
      <c r="P893" s="314"/>
      <c r="Q893" s="314" t="s">
        <v>582</v>
      </c>
      <c r="R893" s="314"/>
      <c r="S893" s="314"/>
      <c r="T893" s="314"/>
      <c r="U893" s="320"/>
      <c r="V893" s="320"/>
      <c r="W893" s="320"/>
      <c r="X893" s="320"/>
      <c r="Y893" s="320"/>
    </row>
    <row r="894" spans="1:25" x14ac:dyDescent="0.45">
      <c r="A894" s="313">
        <v>6</v>
      </c>
      <c r="B894" s="424" t="s">
        <v>1068</v>
      </c>
      <c r="C894" s="425" t="s">
        <v>2132</v>
      </c>
      <c r="D894" s="314">
        <v>0</v>
      </c>
      <c r="E894" s="45"/>
      <c r="F894" s="314">
        <v>0</v>
      </c>
      <c r="G894" s="314"/>
      <c r="H894" s="314">
        <v>0</v>
      </c>
      <c r="I894" s="314"/>
      <c r="J894" s="314">
        <v>0</v>
      </c>
      <c r="K894" s="314">
        <v>0</v>
      </c>
      <c r="L894" s="314">
        <v>0</v>
      </c>
      <c r="M894" s="314"/>
      <c r="N894" s="314"/>
      <c r="O894" s="314">
        <v>0</v>
      </c>
      <c r="P894" s="314"/>
      <c r="Q894" s="314" t="s">
        <v>582</v>
      </c>
      <c r="R894" s="314"/>
      <c r="S894" s="314"/>
      <c r="T894" s="314"/>
      <c r="U894" s="320"/>
      <c r="V894" s="320"/>
      <c r="W894" s="320"/>
      <c r="X894" s="320"/>
      <c r="Y894" s="320"/>
    </row>
    <row r="895" spans="1:25" x14ac:dyDescent="0.45">
      <c r="A895" s="313">
        <v>7</v>
      </c>
      <c r="B895" s="424" t="s">
        <v>583</v>
      </c>
      <c r="C895" s="425" t="s">
        <v>1438</v>
      </c>
      <c r="D895" s="314">
        <v>19080233</v>
      </c>
      <c r="E895" s="45"/>
      <c r="F895" s="314">
        <v>0</v>
      </c>
      <c r="G895" s="314"/>
      <c r="H895" s="314">
        <v>19080233</v>
      </c>
      <c r="I895" s="314"/>
      <c r="J895" s="314">
        <v>0</v>
      </c>
      <c r="K895" s="314">
        <v>0</v>
      </c>
      <c r="L895" s="314">
        <v>0</v>
      </c>
      <c r="M895" s="314"/>
      <c r="N895" s="314"/>
      <c r="O895" s="314">
        <v>19080233</v>
      </c>
      <c r="P895" s="314"/>
      <c r="Q895" s="314" t="s">
        <v>582</v>
      </c>
      <c r="R895" s="314"/>
      <c r="S895" s="314"/>
      <c r="T895" s="314"/>
      <c r="U895" s="320"/>
      <c r="V895" s="320"/>
      <c r="W895" s="320"/>
      <c r="X895" s="320"/>
      <c r="Y895" s="320"/>
    </row>
    <row r="896" spans="1:25" x14ac:dyDescent="0.45">
      <c r="A896" s="313">
        <v>8</v>
      </c>
      <c r="B896" s="424" t="s">
        <v>1058</v>
      </c>
      <c r="C896" s="425" t="s">
        <v>1271</v>
      </c>
      <c r="D896" s="314">
        <v>1715</v>
      </c>
      <c r="E896" s="45"/>
      <c r="F896" s="314">
        <v>882</v>
      </c>
      <c r="G896" s="314"/>
      <c r="H896" s="314">
        <v>572</v>
      </c>
      <c r="I896" s="314"/>
      <c r="J896" s="314">
        <v>261</v>
      </c>
      <c r="K896" s="314">
        <v>132</v>
      </c>
      <c r="L896" s="314">
        <v>129</v>
      </c>
      <c r="M896" s="314"/>
      <c r="N896" s="314"/>
      <c r="O896" s="314">
        <v>1715</v>
      </c>
      <c r="P896" s="314"/>
      <c r="Q896" s="314" t="s">
        <v>582</v>
      </c>
      <c r="R896" s="314"/>
      <c r="S896" s="314"/>
      <c r="T896" s="314"/>
      <c r="U896" s="320"/>
      <c r="V896" s="320"/>
      <c r="W896" s="320"/>
      <c r="X896" s="320"/>
      <c r="Y896" s="320"/>
    </row>
    <row r="897" spans="1:25" x14ac:dyDescent="0.45">
      <c r="A897" s="313">
        <v>9</v>
      </c>
      <c r="B897" s="424" t="s">
        <v>1059</v>
      </c>
      <c r="C897" s="425" t="s">
        <v>1277</v>
      </c>
      <c r="D897" s="314">
        <v>45329</v>
      </c>
      <c r="E897" s="45"/>
      <c r="F897" s="314">
        <v>34977</v>
      </c>
      <c r="G897" s="314"/>
      <c r="H897" s="314">
        <v>0</v>
      </c>
      <c r="I897" s="314"/>
      <c r="J897" s="314">
        <v>10353</v>
      </c>
      <c r="K897" s="314">
        <v>5251</v>
      </c>
      <c r="L897" s="314">
        <v>5101</v>
      </c>
      <c r="M897" s="314"/>
      <c r="N897" s="314"/>
      <c r="O897" s="314">
        <v>45329</v>
      </c>
      <c r="P897" s="314"/>
      <c r="Q897" s="314" t="s">
        <v>582</v>
      </c>
      <c r="R897" s="314"/>
      <c r="S897" s="314"/>
      <c r="T897" s="314"/>
      <c r="U897" s="320"/>
      <c r="V897" s="320"/>
      <c r="W897" s="320"/>
      <c r="X897" s="320"/>
      <c r="Y897" s="320"/>
    </row>
    <row r="898" spans="1:25" x14ac:dyDescent="0.45">
      <c r="A898" s="313">
        <v>10</v>
      </c>
      <c r="B898" s="424" t="s">
        <v>20</v>
      </c>
      <c r="C898" s="45"/>
      <c r="D898" s="314">
        <v>226772913</v>
      </c>
      <c r="E898" s="45"/>
      <c r="F898" s="314">
        <v>198625100</v>
      </c>
      <c r="G898" s="314"/>
      <c r="H898" s="314">
        <v>28137200</v>
      </c>
      <c r="I898" s="314"/>
      <c r="J898" s="314">
        <v>10614</v>
      </c>
      <c r="K898" s="314">
        <v>5384</v>
      </c>
      <c r="L898" s="314">
        <v>5230</v>
      </c>
      <c r="M898" s="314"/>
      <c r="N898" s="314"/>
      <c r="O898" s="314"/>
      <c r="P898" s="314"/>
      <c r="Q898" s="314"/>
      <c r="R898" s="314"/>
      <c r="S898" s="314"/>
      <c r="T898" s="314"/>
      <c r="W898" s="320"/>
    </row>
    <row r="899" spans="1:25" x14ac:dyDescent="0.45">
      <c r="A899" s="45"/>
      <c r="B899" s="45"/>
      <c r="C899" s="45"/>
      <c r="D899" s="45"/>
      <c r="E899" s="45"/>
      <c r="F899" s="314"/>
      <c r="G899" s="314"/>
      <c r="H899" s="314"/>
      <c r="I899" s="314"/>
      <c r="J899" s="314"/>
      <c r="K899" s="314"/>
      <c r="L899" s="314"/>
      <c r="M899" s="314"/>
      <c r="N899" s="314"/>
      <c r="O899" s="314"/>
      <c r="P899" s="314"/>
      <c r="Q899" s="314"/>
      <c r="R899" s="314"/>
      <c r="S899" s="314"/>
      <c r="T899" s="314"/>
      <c r="W899" s="320"/>
    </row>
    <row r="900" spans="1:25" x14ac:dyDescent="0.45">
      <c r="A900" s="313">
        <v>11</v>
      </c>
      <c r="B900" s="424" t="s">
        <v>584</v>
      </c>
      <c r="C900" s="425" t="s">
        <v>1369</v>
      </c>
      <c r="D900" s="314">
        <v>13190046</v>
      </c>
      <c r="E900" s="45"/>
      <c r="F900" s="314">
        <v>0</v>
      </c>
      <c r="G900" s="314"/>
      <c r="H900" s="314">
        <v>13190046</v>
      </c>
      <c r="I900" s="314"/>
      <c r="J900" s="314">
        <v>0</v>
      </c>
      <c r="K900" s="314">
        <v>0</v>
      </c>
      <c r="L900" s="314">
        <v>0</v>
      </c>
      <c r="M900" s="314"/>
      <c r="N900" s="314"/>
      <c r="O900" s="314">
        <v>13190046</v>
      </c>
      <c r="P900" s="314"/>
      <c r="Q900" s="314" t="s">
        <v>582</v>
      </c>
      <c r="R900" s="314"/>
      <c r="S900" s="314"/>
      <c r="T900" s="314"/>
      <c r="U900" s="320"/>
      <c r="V900" s="320"/>
      <c r="W900" s="320"/>
      <c r="X900" s="320"/>
      <c r="Y900" s="320"/>
    </row>
    <row r="901" spans="1:25" x14ac:dyDescent="0.45">
      <c r="A901" s="313">
        <v>12</v>
      </c>
      <c r="B901" s="424" t="s">
        <v>585</v>
      </c>
      <c r="C901" s="425" t="s">
        <v>938</v>
      </c>
      <c r="D901" s="314">
        <v>316962059</v>
      </c>
      <c r="E901" s="45"/>
      <c r="F901" s="314">
        <v>316450713</v>
      </c>
      <c r="G901" s="314"/>
      <c r="H901" s="314">
        <v>0</v>
      </c>
      <c r="I901" s="314"/>
      <c r="J901" s="314">
        <v>511346</v>
      </c>
      <c r="K901" s="314">
        <v>507455</v>
      </c>
      <c r="L901" s="314">
        <v>3891</v>
      </c>
      <c r="M901" s="314"/>
      <c r="N901" s="314"/>
      <c r="O901" s="314">
        <v>316962059</v>
      </c>
      <c r="P901" s="314"/>
      <c r="Q901" s="314" t="s">
        <v>582</v>
      </c>
      <c r="R901" s="314"/>
      <c r="S901" s="314"/>
      <c r="T901" s="314"/>
      <c r="U901" s="320"/>
      <c r="V901" s="320"/>
      <c r="W901" s="320"/>
      <c r="X901" s="320"/>
      <c r="Y901" s="320"/>
    </row>
    <row r="902" spans="1:25" x14ac:dyDescent="0.45">
      <c r="A902" s="313">
        <v>13</v>
      </c>
      <c r="B902" s="424" t="s">
        <v>2540</v>
      </c>
      <c r="C902" s="425" t="s">
        <v>2527</v>
      </c>
      <c r="D902" s="314">
        <v>6682</v>
      </c>
      <c r="E902" s="45"/>
      <c r="F902" s="314">
        <v>6269</v>
      </c>
      <c r="G902" s="314"/>
      <c r="H902" s="314">
        <v>334</v>
      </c>
      <c r="I902" s="314"/>
      <c r="J902" s="314">
        <v>78</v>
      </c>
      <c r="K902" s="314">
        <v>78</v>
      </c>
      <c r="L902" s="314">
        <v>0</v>
      </c>
      <c r="M902" s="314"/>
      <c r="N902" s="314"/>
      <c r="O902" s="314">
        <v>6682</v>
      </c>
      <c r="P902" s="314"/>
      <c r="Q902" s="314"/>
      <c r="R902" s="314"/>
      <c r="S902" s="314" t="s">
        <v>2541</v>
      </c>
      <c r="T902" s="314"/>
      <c r="U902" s="320"/>
      <c r="V902" s="320"/>
      <c r="W902" s="320"/>
      <c r="X902" s="320"/>
      <c r="Y902" s="320"/>
    </row>
    <row r="903" spans="1:25" x14ac:dyDescent="0.45">
      <c r="A903" s="313">
        <v>14</v>
      </c>
      <c r="B903" s="424" t="s">
        <v>21</v>
      </c>
      <c r="C903" s="45"/>
      <c r="D903" s="314">
        <v>330158787</v>
      </c>
      <c r="E903" s="45"/>
      <c r="F903" s="314">
        <v>316456982</v>
      </c>
      <c r="G903" s="314"/>
      <c r="H903" s="314">
        <v>13190381</v>
      </c>
      <c r="I903" s="314"/>
      <c r="J903" s="314">
        <v>511424</v>
      </c>
      <c r="K903" s="314">
        <v>507533</v>
      </c>
      <c r="L903" s="314">
        <v>3891</v>
      </c>
      <c r="M903" s="314"/>
      <c r="N903" s="314"/>
      <c r="O903" s="314"/>
      <c r="P903" s="314"/>
      <c r="Q903" s="314"/>
      <c r="R903" s="314"/>
      <c r="S903" s="314">
        <v>183431</v>
      </c>
      <c r="T903" s="314">
        <v>0.2495</v>
      </c>
      <c r="W903" s="320"/>
    </row>
    <row r="904" spans="1:25" x14ac:dyDescent="0.45">
      <c r="A904" s="45"/>
      <c r="B904" s="45"/>
      <c r="C904" s="45"/>
      <c r="D904" s="45"/>
      <c r="E904" s="45"/>
      <c r="F904" s="314"/>
      <c r="G904" s="314"/>
      <c r="H904" s="314"/>
      <c r="I904" s="314"/>
      <c r="J904" s="314"/>
      <c r="K904" s="314"/>
      <c r="L904" s="314"/>
      <c r="M904" s="314"/>
      <c r="N904" s="314"/>
      <c r="O904" s="314"/>
      <c r="P904" s="314"/>
      <c r="Q904" s="314"/>
      <c r="R904" s="314"/>
      <c r="S904" s="314">
        <v>45766</v>
      </c>
      <c r="T904" s="314"/>
      <c r="W904" s="320"/>
    </row>
    <row r="905" spans="1:25" x14ac:dyDescent="0.45">
      <c r="A905" s="313">
        <v>15</v>
      </c>
      <c r="B905" s="424" t="s">
        <v>1123</v>
      </c>
      <c r="C905" s="425" t="s">
        <v>1446</v>
      </c>
      <c r="D905" s="314">
        <v>38034530</v>
      </c>
      <c r="E905" s="45"/>
      <c r="F905" s="314">
        <v>35853428</v>
      </c>
      <c r="G905" s="314"/>
      <c r="H905" s="314">
        <v>1757977</v>
      </c>
      <c r="I905" s="314"/>
      <c r="J905" s="314">
        <v>423126</v>
      </c>
      <c r="K905" s="314">
        <v>220623</v>
      </c>
      <c r="L905" s="314">
        <v>202503</v>
      </c>
      <c r="M905" s="314"/>
      <c r="N905" s="314"/>
      <c r="O905" s="314">
        <v>38034530</v>
      </c>
      <c r="P905" s="314"/>
      <c r="Q905" s="314" t="s">
        <v>582</v>
      </c>
      <c r="R905" s="314"/>
      <c r="S905" s="314">
        <v>0.14599999999999999</v>
      </c>
      <c r="T905" s="314" t="s">
        <v>2542</v>
      </c>
      <c r="U905" s="320"/>
      <c r="V905" s="320"/>
      <c r="W905" s="320"/>
      <c r="X905" s="320"/>
      <c r="Y905" s="320"/>
    </row>
    <row r="906" spans="1:25" x14ac:dyDescent="0.45">
      <c r="A906" s="313">
        <v>16</v>
      </c>
      <c r="B906" s="424" t="s">
        <v>2543</v>
      </c>
      <c r="C906" s="425" t="s">
        <v>2527</v>
      </c>
      <c r="D906" s="314">
        <v>39084</v>
      </c>
      <c r="E906" s="45"/>
      <c r="F906" s="314">
        <v>36671</v>
      </c>
      <c r="G906" s="314"/>
      <c r="H906" s="314">
        <v>1956</v>
      </c>
      <c r="I906" s="314"/>
      <c r="J906" s="314">
        <v>457</v>
      </c>
      <c r="K906" s="314">
        <v>457</v>
      </c>
      <c r="L906" s="314">
        <v>0</v>
      </c>
      <c r="M906" s="314"/>
      <c r="N906" s="314"/>
      <c r="O906" s="314">
        <v>39084</v>
      </c>
      <c r="P906" s="314"/>
      <c r="Q906" s="314"/>
      <c r="R906" s="314"/>
      <c r="S906" s="314">
        <v>0.85399999999999998</v>
      </c>
      <c r="T906" s="314" t="s">
        <v>2544</v>
      </c>
      <c r="U906" s="320"/>
      <c r="V906" s="320"/>
      <c r="W906" s="320"/>
      <c r="X906" s="320"/>
      <c r="Y906" s="320"/>
    </row>
    <row r="907" spans="1:25" x14ac:dyDescent="0.45">
      <c r="A907" s="313"/>
      <c r="B907" s="424" t="s">
        <v>1445</v>
      </c>
      <c r="C907" s="425"/>
      <c r="D907" s="314">
        <v>38073614</v>
      </c>
      <c r="E907" s="45"/>
      <c r="F907" s="314">
        <v>35890099</v>
      </c>
      <c r="G907" s="314"/>
      <c r="H907" s="314">
        <v>1759933</v>
      </c>
      <c r="I907" s="314"/>
      <c r="J907" s="314">
        <v>423582</v>
      </c>
      <c r="K907" s="314">
        <v>221079</v>
      </c>
      <c r="L907" s="314">
        <v>202503</v>
      </c>
      <c r="M907" s="314"/>
      <c r="N907" s="314"/>
      <c r="O907" s="314"/>
      <c r="P907" s="314"/>
      <c r="Q907" s="314"/>
      <c r="R907" s="314"/>
      <c r="S907" s="314"/>
      <c r="T907" s="314"/>
      <c r="U907" s="320"/>
      <c r="V907" s="320"/>
      <c r="W907" s="320"/>
      <c r="X907" s="320"/>
      <c r="Y907" s="320"/>
    </row>
    <row r="908" spans="1:25" x14ac:dyDescent="0.45">
      <c r="A908" s="45"/>
      <c r="B908" s="45"/>
      <c r="C908" s="45"/>
      <c r="D908" s="45"/>
      <c r="E908" s="45"/>
      <c r="F908" s="314"/>
      <c r="G908" s="314"/>
      <c r="H908" s="314"/>
      <c r="I908" s="314"/>
      <c r="J908" s="314"/>
      <c r="K908" s="314"/>
      <c r="L908" s="314"/>
      <c r="M908" s="314"/>
      <c r="N908" s="314"/>
      <c r="O908" s="314"/>
      <c r="P908" s="314"/>
      <c r="Q908" s="314"/>
      <c r="R908" s="314"/>
      <c r="S908" s="314"/>
      <c r="T908" s="314"/>
      <c r="W908" s="320"/>
    </row>
    <row r="909" spans="1:25" x14ac:dyDescent="0.45">
      <c r="A909" s="313">
        <v>17</v>
      </c>
      <c r="B909" s="424" t="s">
        <v>586</v>
      </c>
      <c r="C909" s="312"/>
      <c r="D909" s="314">
        <v>1438518390</v>
      </c>
      <c r="E909" s="45"/>
      <c r="F909" s="314">
        <v>1342260433</v>
      </c>
      <c r="G909" s="314"/>
      <c r="H909" s="314">
        <v>78899320</v>
      </c>
      <c r="I909" s="314"/>
      <c r="J909" s="314">
        <v>17358636</v>
      </c>
      <c r="K909" s="314">
        <v>9059596</v>
      </c>
      <c r="L909" s="314">
        <v>8299040</v>
      </c>
      <c r="M909" s="314"/>
      <c r="N909" s="314"/>
      <c r="O909" s="314"/>
      <c r="P909" s="314"/>
      <c r="Q909" s="314"/>
      <c r="R909" s="314"/>
      <c r="S909" s="314"/>
      <c r="T909" s="314"/>
      <c r="W909" s="320"/>
    </row>
    <row r="910" spans="1:25" x14ac:dyDescent="0.45">
      <c r="A910" s="312"/>
      <c r="B910" s="312"/>
      <c r="C910" s="312"/>
      <c r="D910" s="45"/>
      <c r="E910" s="45"/>
      <c r="F910" s="314"/>
      <c r="G910" s="314"/>
      <c r="H910" s="314"/>
      <c r="I910" s="314"/>
      <c r="J910" s="314"/>
      <c r="K910" s="314"/>
      <c r="L910" s="314"/>
      <c r="M910" s="314"/>
      <c r="N910" s="314"/>
      <c r="O910" s="314"/>
      <c r="P910" s="314"/>
      <c r="Q910" s="314"/>
      <c r="R910" s="314"/>
      <c r="S910" s="314"/>
      <c r="T910" s="314"/>
      <c r="W910" s="320"/>
    </row>
    <row r="911" spans="1:25" x14ac:dyDescent="0.45">
      <c r="A911" s="312"/>
      <c r="B911" s="424" t="s">
        <v>587</v>
      </c>
      <c r="C911" s="312"/>
      <c r="D911" s="45"/>
      <c r="E911" s="45"/>
      <c r="F911" s="314"/>
      <c r="G911" s="314"/>
      <c r="H911" s="314"/>
      <c r="I911" s="314"/>
      <c r="J911" s="314"/>
      <c r="K911" s="314"/>
      <c r="L911" s="314"/>
      <c r="M911" s="314"/>
      <c r="N911" s="314"/>
      <c r="O911" s="314"/>
      <c r="P911" s="314"/>
      <c r="Q911" s="314"/>
      <c r="R911" s="314"/>
      <c r="S911" s="314"/>
      <c r="T911" s="314"/>
      <c r="W911" s="320"/>
    </row>
    <row r="912" spans="1:25" x14ac:dyDescent="0.45">
      <c r="A912" s="313">
        <v>18</v>
      </c>
      <c r="B912" s="424" t="s">
        <v>588</v>
      </c>
      <c r="C912" s="425" t="s">
        <v>912</v>
      </c>
      <c r="D912" s="314">
        <v>86323268</v>
      </c>
      <c r="E912" s="45"/>
      <c r="F912" s="314">
        <v>80926985</v>
      </c>
      <c r="G912" s="314"/>
      <c r="H912" s="314">
        <v>3690612</v>
      </c>
      <c r="I912" s="314"/>
      <c r="J912" s="314">
        <v>1705672</v>
      </c>
      <c r="K912" s="314">
        <v>865212</v>
      </c>
      <c r="L912" s="314">
        <v>840459</v>
      </c>
      <c r="M912" s="314"/>
      <c r="N912" s="314"/>
      <c r="O912" s="314">
        <v>86323268</v>
      </c>
      <c r="P912" s="314"/>
      <c r="Q912" s="314" t="s">
        <v>582</v>
      </c>
      <c r="R912" s="314"/>
      <c r="S912" s="314"/>
      <c r="T912" s="314"/>
      <c r="U912" s="320"/>
      <c r="V912" s="320"/>
      <c r="W912" s="320"/>
      <c r="X912" s="320"/>
      <c r="Y912" s="320"/>
    </row>
    <row r="913" spans="1:25" x14ac:dyDescent="0.45">
      <c r="A913" s="313">
        <v>19</v>
      </c>
      <c r="B913" s="424" t="s">
        <v>589</v>
      </c>
      <c r="C913" s="425" t="s">
        <v>2134</v>
      </c>
      <c r="D913" s="314">
        <v>0</v>
      </c>
      <c r="E913" s="45"/>
      <c r="F913" s="314">
        <v>0</v>
      </c>
      <c r="G913" s="314"/>
      <c r="H913" s="314">
        <v>0</v>
      </c>
      <c r="I913" s="314"/>
      <c r="J913" s="314">
        <v>0</v>
      </c>
      <c r="K913" s="314">
        <v>0</v>
      </c>
      <c r="L913" s="314">
        <v>0</v>
      </c>
      <c r="M913" s="314"/>
      <c r="N913" s="314"/>
      <c r="O913" s="314">
        <v>0</v>
      </c>
      <c r="P913" s="314"/>
      <c r="Q913" s="314" t="s">
        <v>582</v>
      </c>
      <c r="R913" s="314"/>
      <c r="S913" s="314"/>
      <c r="T913" s="314"/>
      <c r="U913" s="320"/>
      <c r="V913" s="320"/>
      <c r="W913" s="320"/>
      <c r="X913" s="320"/>
      <c r="Y913" s="320"/>
    </row>
    <row r="914" spans="1:25" x14ac:dyDescent="0.45">
      <c r="A914" s="313">
        <v>20</v>
      </c>
      <c r="B914" s="427" t="s">
        <v>2039</v>
      </c>
      <c r="C914" s="425" t="s">
        <v>1344</v>
      </c>
      <c r="D914" s="314">
        <v>0</v>
      </c>
      <c r="E914" s="45"/>
      <c r="F914" s="314">
        <v>0</v>
      </c>
      <c r="G914" s="314"/>
      <c r="H914" s="314">
        <v>0</v>
      </c>
      <c r="I914" s="314"/>
      <c r="J914" s="314">
        <v>0</v>
      </c>
      <c r="K914" s="314">
        <v>0</v>
      </c>
      <c r="L914" s="314">
        <v>0</v>
      </c>
      <c r="M914" s="314"/>
      <c r="N914" s="314"/>
      <c r="O914" s="314">
        <v>0</v>
      </c>
      <c r="P914" s="314"/>
      <c r="Q914" s="314" t="s">
        <v>582</v>
      </c>
      <c r="R914" s="314"/>
      <c r="S914" s="314"/>
      <c r="T914" s="314"/>
      <c r="U914" s="320"/>
      <c r="V914" s="320"/>
      <c r="W914" s="320"/>
      <c r="X914" s="320"/>
      <c r="Y914" s="320"/>
    </row>
    <row r="915" spans="1:25" x14ac:dyDescent="0.45">
      <c r="A915" s="313">
        <v>21</v>
      </c>
      <c r="B915" s="424" t="s">
        <v>591</v>
      </c>
      <c r="C915" s="425" t="s">
        <v>1370</v>
      </c>
      <c r="D915" s="314">
        <v>0</v>
      </c>
      <c r="E915" s="45"/>
      <c r="F915" s="314">
        <v>0</v>
      </c>
      <c r="G915" s="314"/>
      <c r="H915" s="314">
        <v>0</v>
      </c>
      <c r="I915" s="314"/>
      <c r="J915" s="314">
        <v>0</v>
      </c>
      <c r="K915" s="314">
        <v>0</v>
      </c>
      <c r="L915" s="314">
        <v>0</v>
      </c>
      <c r="M915" s="314"/>
      <c r="N915" s="314"/>
      <c r="O915" s="314">
        <v>0</v>
      </c>
      <c r="P915" s="314"/>
      <c r="Q915" s="314" t="s">
        <v>582</v>
      </c>
      <c r="R915" s="314"/>
      <c r="S915" s="314"/>
      <c r="T915" s="314"/>
      <c r="U915" s="320"/>
      <c r="V915" s="320"/>
      <c r="W915" s="320"/>
      <c r="X915" s="320"/>
      <c r="Y915" s="320"/>
    </row>
    <row r="916" spans="1:25" x14ac:dyDescent="0.45">
      <c r="A916" s="313">
        <v>22</v>
      </c>
      <c r="B916" s="424" t="s">
        <v>592</v>
      </c>
      <c r="C916" s="425" t="s">
        <v>938</v>
      </c>
      <c r="D916" s="314">
        <v>0</v>
      </c>
      <c r="E916" s="45"/>
      <c r="F916" s="314">
        <v>0</v>
      </c>
      <c r="G916" s="314"/>
      <c r="H916" s="314">
        <v>0</v>
      </c>
      <c r="I916" s="314"/>
      <c r="J916" s="314">
        <v>0</v>
      </c>
      <c r="K916" s="314">
        <v>0</v>
      </c>
      <c r="L916" s="314">
        <v>0</v>
      </c>
      <c r="M916" s="314"/>
      <c r="N916" s="314"/>
      <c r="O916" s="314">
        <v>0</v>
      </c>
      <c r="P916" s="314"/>
      <c r="Q916" s="314" t="s">
        <v>582</v>
      </c>
      <c r="R916" s="314"/>
      <c r="S916" s="314"/>
      <c r="T916" s="314"/>
      <c r="U916" s="320"/>
      <c r="V916" s="320"/>
      <c r="W916" s="320"/>
      <c r="X916" s="320"/>
      <c r="Y916" s="320"/>
    </row>
    <row r="917" spans="1:25" x14ac:dyDescent="0.45">
      <c r="A917" s="313">
        <v>23</v>
      </c>
      <c r="B917" s="424" t="s">
        <v>593</v>
      </c>
      <c r="C917" s="425" t="s">
        <v>1446</v>
      </c>
      <c r="D917" s="314">
        <v>0</v>
      </c>
      <c r="E917" s="45"/>
      <c r="F917" s="314">
        <v>0</v>
      </c>
      <c r="G917" s="314"/>
      <c r="H917" s="314">
        <v>0</v>
      </c>
      <c r="I917" s="314"/>
      <c r="J917" s="314" t="s">
        <v>2286</v>
      </c>
      <c r="K917" s="314">
        <v>0</v>
      </c>
      <c r="L917" s="314">
        <v>0</v>
      </c>
      <c r="M917" s="314"/>
      <c r="N917" s="314"/>
      <c r="O917" s="314">
        <v>0</v>
      </c>
      <c r="P917" s="314"/>
      <c r="Q917" s="314" t="s">
        <v>582</v>
      </c>
      <c r="R917" s="314"/>
      <c r="S917" s="314"/>
      <c r="T917" s="314"/>
      <c r="U917" s="320"/>
      <c r="V917" s="320"/>
      <c r="W917" s="320"/>
      <c r="X917" s="320"/>
      <c r="Y917" s="320"/>
    </row>
    <row r="918" spans="1:25" x14ac:dyDescent="0.45">
      <c r="A918" s="313">
        <v>24</v>
      </c>
      <c r="B918" s="424" t="s">
        <v>594</v>
      </c>
      <c r="C918" s="312"/>
      <c r="D918" s="314">
        <v>86323268</v>
      </c>
      <c r="E918" s="45"/>
      <c r="F918" s="314">
        <v>80926985</v>
      </c>
      <c r="G918" s="314"/>
      <c r="H918" s="314">
        <v>3690612</v>
      </c>
      <c r="I918" s="314"/>
      <c r="J918" s="314">
        <v>1705672</v>
      </c>
      <c r="K918" s="314">
        <v>865212</v>
      </c>
      <c r="L918" s="314">
        <v>840459</v>
      </c>
      <c r="M918" s="314"/>
      <c r="N918" s="314"/>
      <c r="O918" s="314"/>
      <c r="P918" s="314"/>
      <c r="Q918" s="314"/>
      <c r="R918" s="314"/>
      <c r="S918" s="314"/>
      <c r="T918" s="314"/>
      <c r="W918" s="320"/>
    </row>
    <row r="919" spans="1:25" x14ac:dyDescent="0.45">
      <c r="A919" s="45"/>
      <c r="B919" s="45"/>
      <c r="C919" s="312"/>
      <c r="D919" s="45"/>
      <c r="E919" s="45"/>
      <c r="F919" s="314"/>
      <c r="G919" s="314"/>
      <c r="H919" s="314"/>
      <c r="I919" s="314"/>
      <c r="J919" s="314"/>
      <c r="K919" s="314"/>
      <c r="L919" s="314"/>
      <c r="M919" s="314"/>
      <c r="N919" s="314"/>
      <c r="O919" s="314"/>
      <c r="P919" s="314"/>
      <c r="Q919" s="314"/>
      <c r="R919" s="314"/>
      <c r="S919" s="314"/>
      <c r="T919" s="314"/>
      <c r="W919" s="320"/>
    </row>
    <row r="920" spans="1:25" x14ac:dyDescent="0.45">
      <c r="A920" s="313">
        <v>25</v>
      </c>
      <c r="B920" s="424" t="s">
        <v>1390</v>
      </c>
      <c r="C920" s="425" t="s">
        <v>1391</v>
      </c>
      <c r="D920" s="314">
        <v>1719772</v>
      </c>
      <c r="E920" s="45"/>
      <c r="F920" s="314">
        <v>1712216</v>
      </c>
      <c r="G920" s="314"/>
      <c r="H920" s="314">
        <v>7556</v>
      </c>
      <c r="I920" s="314"/>
      <c r="J920" s="314">
        <v>0</v>
      </c>
      <c r="K920" s="314">
        <v>0</v>
      </c>
      <c r="L920" s="314">
        <v>0</v>
      </c>
      <c r="M920" s="314"/>
      <c r="N920" s="314"/>
      <c r="O920" s="314">
        <v>1719772</v>
      </c>
      <c r="P920" s="314"/>
      <c r="Q920" s="314" t="s">
        <v>2228</v>
      </c>
      <c r="R920" s="314"/>
      <c r="S920" s="314"/>
      <c r="T920" s="314"/>
      <c r="U920" s="320"/>
      <c r="V920" s="320"/>
      <c r="W920" s="320"/>
      <c r="X920" s="320"/>
      <c r="Y920" s="320"/>
    </row>
    <row r="921" spans="1:25" x14ac:dyDescent="0.45">
      <c r="A921" s="313">
        <v>26</v>
      </c>
      <c r="B921" s="427" t="s">
        <v>2040</v>
      </c>
      <c r="C921" s="425" t="s">
        <v>1393</v>
      </c>
      <c r="D921" s="314">
        <v>31620707</v>
      </c>
      <c r="E921" s="45"/>
      <c r="F921" s="314">
        <v>0</v>
      </c>
      <c r="G921" s="314"/>
      <c r="H921" s="314">
        <v>1227530</v>
      </c>
      <c r="I921" s="314"/>
      <c r="J921" s="314">
        <v>0</v>
      </c>
      <c r="K921" s="314">
        <v>0</v>
      </c>
      <c r="L921" s="314">
        <v>0</v>
      </c>
      <c r="M921" s="314"/>
      <c r="N921" s="314"/>
      <c r="O921" s="314">
        <v>31620707</v>
      </c>
      <c r="P921" s="314"/>
      <c r="Q921" s="314" t="s">
        <v>2287</v>
      </c>
      <c r="R921" s="314"/>
      <c r="S921" s="314"/>
      <c r="T921" s="314"/>
      <c r="U921" s="320"/>
      <c r="V921" s="320"/>
      <c r="W921" s="320"/>
      <c r="X921" s="320"/>
      <c r="Y921" s="320"/>
    </row>
    <row r="922" spans="1:25" x14ac:dyDescent="0.45">
      <c r="A922" s="313">
        <v>27</v>
      </c>
      <c r="B922" s="424" t="s">
        <v>595</v>
      </c>
      <c r="C922" s="425" t="s">
        <v>1376</v>
      </c>
      <c r="D922" s="314">
        <v>237184</v>
      </c>
      <c r="E922" s="45"/>
      <c r="F922" s="314">
        <v>0</v>
      </c>
      <c r="G922" s="314"/>
      <c r="H922" s="314">
        <v>237184</v>
      </c>
      <c r="I922" s="314"/>
      <c r="J922" s="314">
        <v>0</v>
      </c>
      <c r="K922" s="314">
        <v>0</v>
      </c>
      <c r="L922" s="314">
        <v>0</v>
      </c>
      <c r="M922" s="314"/>
      <c r="N922" s="314"/>
      <c r="O922" s="314">
        <v>237184</v>
      </c>
      <c r="P922" s="314"/>
      <c r="Q922" s="314" t="s">
        <v>2229</v>
      </c>
      <c r="R922" s="314"/>
      <c r="S922" s="314"/>
      <c r="T922" s="314"/>
      <c r="U922" s="320"/>
      <c r="V922" s="320"/>
      <c r="W922" s="320"/>
      <c r="X922" s="320"/>
      <c r="Y922" s="320"/>
    </row>
    <row r="923" spans="1:25" x14ac:dyDescent="0.45">
      <c r="A923" s="313">
        <v>28</v>
      </c>
      <c r="B923" s="427" t="s">
        <v>2041</v>
      </c>
      <c r="C923" s="425" t="s">
        <v>1426</v>
      </c>
      <c r="D923" s="314">
        <v>15691507</v>
      </c>
      <c r="E923" s="45"/>
      <c r="F923" s="314">
        <v>0</v>
      </c>
      <c r="G923" s="314"/>
      <c r="H923" s="314">
        <v>746553</v>
      </c>
      <c r="I923" s="314"/>
      <c r="J923" s="314">
        <v>0</v>
      </c>
      <c r="K923" s="314">
        <v>0</v>
      </c>
      <c r="L923" s="314">
        <v>0</v>
      </c>
      <c r="M923" s="314"/>
      <c r="N923" s="314"/>
      <c r="O923" s="314">
        <v>15691507</v>
      </c>
      <c r="P923" s="314"/>
      <c r="Q923" s="314" t="s">
        <v>2230</v>
      </c>
      <c r="R923" s="314"/>
      <c r="S923" s="314"/>
      <c r="T923" s="314"/>
      <c r="U923" s="320"/>
      <c r="V923" s="355"/>
      <c r="W923" s="320"/>
      <c r="X923" s="320"/>
      <c r="Y923" s="320"/>
    </row>
    <row r="924" spans="1:25" x14ac:dyDescent="0.45">
      <c r="A924" s="313">
        <v>29</v>
      </c>
      <c r="B924" s="427" t="s">
        <v>2146</v>
      </c>
      <c r="C924" s="425" t="s">
        <v>1426</v>
      </c>
      <c r="D924" s="314">
        <v>4697653</v>
      </c>
      <c r="E924" s="45"/>
      <c r="F924" s="314">
        <v>0</v>
      </c>
      <c r="G924" s="314"/>
      <c r="H924" s="314">
        <v>0</v>
      </c>
      <c r="I924" s="314"/>
      <c r="J924" s="314">
        <v>53794</v>
      </c>
      <c r="K924" s="314">
        <v>28049</v>
      </c>
      <c r="L924" s="314">
        <v>25745</v>
      </c>
      <c r="M924" s="314"/>
      <c r="N924" s="314"/>
      <c r="O924" s="314">
        <v>4697653</v>
      </c>
      <c r="P924" s="314"/>
      <c r="Q924" s="314" t="s">
        <v>2147</v>
      </c>
      <c r="R924" s="314"/>
      <c r="S924" s="314"/>
      <c r="T924" s="314"/>
      <c r="U924" s="320"/>
      <c r="V924" s="355"/>
      <c r="W924" s="320"/>
      <c r="X924" s="320"/>
      <c r="Y924" s="320"/>
    </row>
    <row r="925" spans="1:25" x14ac:dyDescent="0.45">
      <c r="A925" s="313">
        <v>30</v>
      </c>
      <c r="B925" s="427" t="s">
        <v>2148</v>
      </c>
      <c r="C925" s="425" t="s">
        <v>1426</v>
      </c>
      <c r="D925" s="314">
        <v>6765972</v>
      </c>
      <c r="E925" s="45"/>
      <c r="F925" s="314">
        <v>0</v>
      </c>
      <c r="G925" s="314"/>
      <c r="H925" s="314">
        <v>0</v>
      </c>
      <c r="I925" s="314"/>
      <c r="J925" s="314">
        <v>77479</v>
      </c>
      <c r="K925" s="314">
        <v>40398</v>
      </c>
      <c r="L925" s="314">
        <v>37080</v>
      </c>
      <c r="M925" s="314"/>
      <c r="N925" s="314"/>
      <c r="O925" s="314">
        <v>6765972</v>
      </c>
      <c r="P925" s="314"/>
      <c r="Q925" s="314" t="s">
        <v>2149</v>
      </c>
      <c r="R925" s="314"/>
      <c r="S925" s="314"/>
      <c r="T925" s="314"/>
      <c r="U925" s="320"/>
      <c r="V925" s="355"/>
      <c r="W925" s="320"/>
      <c r="X925" s="320"/>
      <c r="Y925" s="320"/>
    </row>
    <row r="926" spans="1:25" x14ac:dyDescent="0.45">
      <c r="A926" s="313">
        <v>31</v>
      </c>
      <c r="B926" s="427" t="s">
        <v>2150</v>
      </c>
      <c r="C926" s="425" t="s">
        <v>1426</v>
      </c>
      <c r="D926" s="314">
        <v>1236415</v>
      </c>
      <c r="E926" s="45"/>
      <c r="F926" s="314">
        <v>0</v>
      </c>
      <c r="G926" s="314"/>
      <c r="H926" s="314">
        <v>0</v>
      </c>
      <c r="I926" s="314"/>
      <c r="J926" s="314">
        <v>14158</v>
      </c>
      <c r="K926" s="314">
        <v>7382</v>
      </c>
      <c r="L926" s="314">
        <v>6776</v>
      </c>
      <c r="M926" s="314"/>
      <c r="N926" s="314"/>
      <c r="O926" s="314">
        <v>1236415</v>
      </c>
      <c r="P926" s="314"/>
      <c r="Q926" s="314" t="s">
        <v>2151</v>
      </c>
      <c r="R926" s="314"/>
      <c r="S926" s="314"/>
      <c r="T926" s="314"/>
      <c r="U926" s="320"/>
      <c r="V926" s="355"/>
      <c r="W926" s="320"/>
      <c r="X926" s="320"/>
      <c r="Y926" s="320"/>
    </row>
    <row r="927" spans="1:25" x14ac:dyDescent="0.45">
      <c r="A927" s="313">
        <v>32</v>
      </c>
      <c r="B927" s="424" t="s">
        <v>596</v>
      </c>
      <c r="C927" s="312"/>
      <c r="D927" s="314">
        <v>1586810867</v>
      </c>
      <c r="E927" s="45"/>
      <c r="F927" s="314">
        <v>1424899634</v>
      </c>
      <c r="G927" s="314"/>
      <c r="H927" s="314">
        <v>84808755</v>
      </c>
      <c r="I927" s="314"/>
      <c r="J927" s="314">
        <v>19209739</v>
      </c>
      <c r="K927" s="314">
        <v>10000638</v>
      </c>
      <c r="L927" s="314">
        <v>9209101</v>
      </c>
      <c r="M927" s="314"/>
      <c r="N927" s="314"/>
      <c r="O927" s="314"/>
      <c r="P927" s="314"/>
      <c r="Q927" s="314"/>
      <c r="R927" s="314"/>
      <c r="S927" s="314"/>
      <c r="T927" s="314"/>
      <c r="V927" s="355"/>
      <c r="W927" s="320"/>
    </row>
    <row r="928" spans="1:25" x14ac:dyDescent="0.45">
      <c r="A928" s="45"/>
      <c r="B928" s="45"/>
      <c r="C928" s="312"/>
      <c r="D928" s="45"/>
      <c r="E928" s="45"/>
      <c r="F928" s="314"/>
      <c r="G928" s="314"/>
      <c r="H928" s="314"/>
      <c r="I928" s="314"/>
      <c r="J928" s="314"/>
      <c r="K928" s="314"/>
      <c r="L928" s="314"/>
      <c r="M928" s="314"/>
      <c r="N928" s="314"/>
      <c r="O928" s="314"/>
      <c r="P928" s="314"/>
      <c r="Q928" s="314"/>
      <c r="R928" s="314"/>
      <c r="S928" s="314"/>
      <c r="T928" s="314"/>
      <c r="W928" s="320"/>
    </row>
    <row r="929" spans="1:25" x14ac:dyDescent="0.45">
      <c r="A929" s="313">
        <v>33</v>
      </c>
      <c r="B929" s="424" t="s">
        <v>33</v>
      </c>
      <c r="C929" s="312"/>
      <c r="D929" s="314">
        <v>6169316718</v>
      </c>
      <c r="E929" s="45"/>
      <c r="F929" s="314">
        <v>5830686181</v>
      </c>
      <c r="G929" s="314"/>
      <c r="H929" s="314">
        <v>318632787</v>
      </c>
      <c r="I929" s="314"/>
      <c r="J929" s="314">
        <v>77890490</v>
      </c>
      <c r="K929" s="314">
        <v>41081352</v>
      </c>
      <c r="L929" s="314">
        <v>36809138</v>
      </c>
      <c r="M929" s="314"/>
      <c r="N929" s="314"/>
      <c r="O929" s="314"/>
      <c r="P929" s="314"/>
      <c r="Q929" s="314"/>
      <c r="R929" s="314"/>
      <c r="S929" s="314"/>
      <c r="T929" s="314"/>
      <c r="W929" s="320"/>
    </row>
    <row r="930" spans="1:25" x14ac:dyDescent="0.45">
      <c r="A930" s="45"/>
      <c r="B930" s="45"/>
      <c r="C930" s="312"/>
      <c r="D930" s="45"/>
      <c r="E930" s="45"/>
      <c r="F930" s="314"/>
      <c r="G930" s="314"/>
      <c r="H930" s="314"/>
      <c r="I930" s="314"/>
      <c r="J930" s="314"/>
      <c r="K930" s="314"/>
      <c r="L930" s="314"/>
      <c r="M930" s="314"/>
      <c r="N930" s="314"/>
      <c r="O930" s="314"/>
      <c r="P930" s="314"/>
      <c r="Q930" s="314"/>
      <c r="R930" s="314"/>
      <c r="S930" s="314"/>
      <c r="T930" s="314"/>
      <c r="W930" s="320"/>
    </row>
    <row r="931" spans="1:25" x14ac:dyDescent="0.45">
      <c r="A931" s="45"/>
      <c r="B931" s="45"/>
      <c r="C931" s="312"/>
      <c r="D931" s="45"/>
      <c r="E931" s="45"/>
      <c r="F931" s="314"/>
      <c r="G931" s="314"/>
      <c r="H931" s="314"/>
      <c r="I931" s="314"/>
      <c r="J931" s="314"/>
      <c r="K931" s="314"/>
      <c r="L931" s="314"/>
      <c r="M931" s="314"/>
      <c r="N931" s="314"/>
      <c r="O931" s="314"/>
      <c r="P931" s="314"/>
      <c r="Q931" s="314"/>
      <c r="R931" s="314"/>
      <c r="S931" s="314"/>
      <c r="T931" s="314"/>
      <c r="W931" s="320"/>
    </row>
    <row r="932" spans="1:25" x14ac:dyDescent="0.45">
      <c r="A932" s="45"/>
      <c r="B932" s="426" t="s">
        <v>1044</v>
      </c>
      <c r="C932" s="312"/>
      <c r="D932" s="45"/>
      <c r="E932" s="45"/>
      <c r="F932" s="314"/>
      <c r="G932" s="314"/>
      <c r="H932" s="314"/>
      <c r="I932" s="314"/>
      <c r="J932" s="314"/>
      <c r="K932" s="314"/>
      <c r="L932" s="314"/>
      <c r="M932" s="314"/>
      <c r="N932" s="314"/>
      <c r="O932" s="314"/>
      <c r="P932" s="314"/>
      <c r="Q932" s="314"/>
      <c r="R932" s="314"/>
      <c r="S932" s="314"/>
      <c r="T932" s="314"/>
      <c r="W932" s="320"/>
    </row>
    <row r="933" spans="1:25" x14ac:dyDescent="0.45">
      <c r="A933" s="45"/>
      <c r="B933" s="45"/>
      <c r="C933" s="312"/>
      <c r="D933" s="45"/>
      <c r="E933" s="45"/>
      <c r="F933" s="314"/>
      <c r="G933" s="314"/>
      <c r="H933" s="314"/>
      <c r="I933" s="314"/>
      <c r="J933" s="314"/>
      <c r="K933" s="314"/>
      <c r="L933" s="314"/>
      <c r="M933" s="314"/>
      <c r="N933" s="314"/>
      <c r="O933" s="314"/>
      <c r="P933" s="314"/>
      <c r="Q933" s="314"/>
      <c r="R933" s="314"/>
      <c r="S933" s="314"/>
      <c r="T933" s="314"/>
      <c r="W933" s="320"/>
    </row>
    <row r="934" spans="1:25" x14ac:dyDescent="0.45">
      <c r="A934" s="45"/>
      <c r="B934" s="424" t="s">
        <v>597</v>
      </c>
      <c r="C934" s="45"/>
      <c r="D934" s="45"/>
      <c r="E934" s="45"/>
      <c r="F934" s="314"/>
      <c r="G934" s="314"/>
      <c r="H934" s="314"/>
      <c r="I934" s="314"/>
      <c r="J934" s="314"/>
      <c r="K934" s="314"/>
      <c r="L934" s="314"/>
      <c r="M934" s="314"/>
      <c r="N934" s="314"/>
      <c r="O934" s="314"/>
      <c r="P934" s="314"/>
      <c r="Q934" s="314"/>
      <c r="R934" s="314"/>
      <c r="S934" s="314"/>
      <c r="T934" s="314"/>
      <c r="W934" s="320"/>
    </row>
    <row r="935" spans="1:25" x14ac:dyDescent="0.45">
      <c r="A935" s="313">
        <v>1</v>
      </c>
      <c r="B935" s="316" t="s">
        <v>2042</v>
      </c>
      <c r="C935" s="312"/>
      <c r="D935" s="314">
        <v>681840252</v>
      </c>
      <c r="E935" s="45"/>
      <c r="F935" s="314">
        <v>640474467</v>
      </c>
      <c r="G935" s="314"/>
      <c r="H935" s="314">
        <v>41365784</v>
      </c>
      <c r="I935" s="314"/>
      <c r="J935" s="314">
        <v>0</v>
      </c>
      <c r="K935" s="314">
        <v>0</v>
      </c>
      <c r="L935" s="314">
        <v>0</v>
      </c>
      <c r="M935" s="314"/>
      <c r="N935" s="314"/>
      <c r="O935" s="314"/>
      <c r="P935" s="314"/>
      <c r="Q935" s="314"/>
      <c r="R935" s="314"/>
      <c r="S935" s="314"/>
      <c r="T935" s="314"/>
      <c r="W935" s="320"/>
    </row>
    <row r="936" spans="1:25" x14ac:dyDescent="0.45">
      <c r="A936" s="313">
        <v>2</v>
      </c>
      <c r="B936" s="316" t="s">
        <v>2152</v>
      </c>
      <c r="C936" s="312"/>
      <c r="D936" s="314">
        <v>445420512</v>
      </c>
      <c r="E936" s="45"/>
      <c r="F936" s="314">
        <v>426915076</v>
      </c>
      <c r="G936" s="314"/>
      <c r="H936" s="314">
        <v>18505436</v>
      </c>
      <c r="I936" s="314"/>
      <c r="J936" s="314">
        <v>0</v>
      </c>
      <c r="K936" s="314">
        <v>0</v>
      </c>
      <c r="L936" s="314">
        <v>0</v>
      </c>
      <c r="M936" s="314"/>
      <c r="N936" s="314"/>
      <c r="O936" s="314"/>
      <c r="P936" s="314"/>
      <c r="Q936" s="314"/>
      <c r="R936" s="314"/>
      <c r="S936" s="314"/>
      <c r="T936" s="314"/>
      <c r="W936" s="320"/>
    </row>
    <row r="937" spans="1:25" x14ac:dyDescent="0.45">
      <c r="A937" s="313">
        <v>3</v>
      </c>
      <c r="B937" s="316" t="s">
        <v>2043</v>
      </c>
      <c r="C937" s="312"/>
      <c r="D937" s="314">
        <v>391032442</v>
      </c>
      <c r="E937" s="45"/>
      <c r="F937" s="314">
        <v>382727598</v>
      </c>
      <c r="G937" s="314"/>
      <c r="H937" s="314">
        <v>8304845</v>
      </c>
      <c r="I937" s="314"/>
      <c r="J937" s="314">
        <v>0</v>
      </c>
      <c r="K937" s="314">
        <v>0</v>
      </c>
      <c r="L937" s="314">
        <v>0</v>
      </c>
      <c r="M937" s="314"/>
      <c r="N937" s="314"/>
      <c r="O937" s="314"/>
      <c r="P937" s="314"/>
      <c r="Q937" s="314"/>
      <c r="R937" s="314"/>
      <c r="S937" s="314"/>
      <c r="T937" s="314"/>
      <c r="W937" s="320"/>
    </row>
    <row r="938" spans="1:25" x14ac:dyDescent="0.45">
      <c r="A938" s="313">
        <v>4</v>
      </c>
      <c r="B938" s="316" t="s">
        <v>2044</v>
      </c>
      <c r="C938" s="312"/>
      <c r="D938" s="314">
        <v>13155302</v>
      </c>
      <c r="E938" s="45"/>
      <c r="F938" s="314">
        <v>12736465</v>
      </c>
      <c r="G938" s="314"/>
      <c r="H938" s="314">
        <v>418837</v>
      </c>
      <c r="I938" s="314"/>
      <c r="J938" s="314">
        <v>0</v>
      </c>
      <c r="K938" s="314">
        <v>0</v>
      </c>
      <c r="L938" s="314">
        <v>0</v>
      </c>
      <c r="M938" s="314"/>
      <c r="N938" s="314"/>
      <c r="O938" s="314"/>
      <c r="P938" s="314"/>
      <c r="Q938" s="314"/>
      <c r="R938" s="314"/>
      <c r="S938" s="314"/>
      <c r="T938" s="314"/>
      <c r="W938" s="320"/>
    </row>
    <row r="939" spans="1:25" x14ac:dyDescent="0.45">
      <c r="A939" s="313">
        <v>5</v>
      </c>
      <c r="B939" s="316" t="s">
        <v>2045</v>
      </c>
      <c r="C939" s="312"/>
      <c r="D939" s="314">
        <v>138862829</v>
      </c>
      <c r="E939" s="45"/>
      <c r="F939" s="314">
        <v>131716194</v>
      </c>
      <c r="G939" s="314"/>
      <c r="H939" s="314">
        <v>7146634</v>
      </c>
      <c r="I939" s="314"/>
      <c r="J939" s="314">
        <v>0</v>
      </c>
      <c r="K939" s="314">
        <v>0</v>
      </c>
      <c r="L939" s="314">
        <v>0</v>
      </c>
      <c r="M939" s="314"/>
      <c r="N939" s="314"/>
      <c r="O939" s="314"/>
      <c r="P939" s="314"/>
      <c r="Q939" s="314"/>
      <c r="R939" s="314"/>
      <c r="S939" s="314"/>
      <c r="T939" s="314"/>
      <c r="W939" s="320"/>
    </row>
    <row r="940" spans="1:25" x14ac:dyDescent="0.45">
      <c r="A940" s="313">
        <v>6</v>
      </c>
      <c r="B940" s="316" t="s">
        <v>2046</v>
      </c>
      <c r="C940" s="312"/>
      <c r="D940" s="314">
        <v>23936454</v>
      </c>
      <c r="E940" s="314"/>
      <c r="F940" s="314">
        <v>0</v>
      </c>
      <c r="G940" s="314"/>
      <c r="H940" s="314">
        <v>0</v>
      </c>
      <c r="I940" s="314"/>
      <c r="J940" s="314">
        <v>23936454</v>
      </c>
      <c r="K940" s="314">
        <v>12216381</v>
      </c>
      <c r="L940" s="314">
        <v>11720073</v>
      </c>
      <c r="M940" s="314"/>
      <c r="N940" s="314"/>
      <c r="O940" s="314"/>
      <c r="P940" s="314"/>
      <c r="Q940" s="314"/>
      <c r="R940" s="314"/>
      <c r="S940" s="314"/>
      <c r="T940" s="314"/>
      <c r="W940" s="320"/>
    </row>
    <row r="941" spans="1:25" x14ac:dyDescent="0.45">
      <c r="A941" s="313">
        <v>7</v>
      </c>
      <c r="B941" s="427" t="s">
        <v>2195</v>
      </c>
      <c r="C941" s="425"/>
      <c r="D941" s="314">
        <v>2017</v>
      </c>
      <c r="E941" s="314"/>
      <c r="F941" s="314">
        <v>0</v>
      </c>
      <c r="G941" s="314"/>
      <c r="H941" s="314">
        <v>2017</v>
      </c>
      <c r="I941" s="314"/>
      <c r="J941" s="314">
        <v>0</v>
      </c>
      <c r="K941" s="314">
        <v>0</v>
      </c>
      <c r="L941" s="314">
        <v>0</v>
      </c>
      <c r="M941" s="314"/>
      <c r="N941" s="314"/>
      <c r="O941" s="314">
        <v>2017</v>
      </c>
      <c r="P941" s="314"/>
      <c r="Q941" s="314"/>
      <c r="R941" s="314" t="s">
        <v>2231</v>
      </c>
      <c r="S941" s="314"/>
      <c r="T941" s="314"/>
      <c r="U941" s="320"/>
      <c r="V941" s="320"/>
      <c r="W941" s="355"/>
      <c r="X941" s="320"/>
      <c r="Y941" s="320"/>
    </row>
    <row r="942" spans="1:25" x14ac:dyDescent="0.45">
      <c r="A942" s="45">
        <v>8</v>
      </c>
      <c r="B942" s="427" t="s">
        <v>2047</v>
      </c>
      <c r="C942" s="312"/>
      <c r="D942" s="314"/>
      <c r="E942" s="314"/>
      <c r="F942" s="314"/>
      <c r="G942" s="314"/>
      <c r="H942" s="314"/>
      <c r="I942" s="314"/>
      <c r="J942" s="314"/>
      <c r="K942" s="314"/>
      <c r="L942" s="314"/>
      <c r="M942" s="314"/>
      <c r="N942" s="314"/>
      <c r="O942" s="314"/>
      <c r="P942" s="314"/>
      <c r="Q942" s="314"/>
      <c r="R942" s="314"/>
      <c r="S942" s="314"/>
      <c r="T942" s="314"/>
      <c r="W942" s="320"/>
    </row>
    <row r="943" spans="1:25" x14ac:dyDescent="0.45">
      <c r="A943" s="313">
        <v>9</v>
      </c>
      <c r="B943" s="427" t="s">
        <v>2048</v>
      </c>
      <c r="C943" s="425" t="s">
        <v>1269</v>
      </c>
      <c r="D943" s="314">
        <v>0</v>
      </c>
      <c r="E943" s="314"/>
      <c r="F943" s="314">
        <v>0</v>
      </c>
      <c r="G943" s="314"/>
      <c r="H943" s="314">
        <v>0</v>
      </c>
      <c r="I943" s="314"/>
      <c r="J943" s="314">
        <v>0</v>
      </c>
      <c r="K943" s="314">
        <v>0</v>
      </c>
      <c r="L943" s="314">
        <v>0</v>
      </c>
      <c r="M943" s="314"/>
      <c r="N943" s="314"/>
      <c r="O943" s="314">
        <v>0</v>
      </c>
      <c r="P943" s="314"/>
      <c r="Q943" s="314"/>
      <c r="R943" s="314"/>
      <c r="S943" s="314"/>
      <c r="T943" s="314"/>
      <c r="U943" s="320"/>
      <c r="V943" s="320"/>
      <c r="W943" s="320"/>
      <c r="X943" s="320"/>
      <c r="Y943" s="320"/>
    </row>
    <row r="944" spans="1:25" x14ac:dyDescent="0.45">
      <c r="A944" s="313">
        <v>10</v>
      </c>
      <c r="B944" s="427" t="s">
        <v>2049</v>
      </c>
      <c r="C944" s="425" t="s">
        <v>1377</v>
      </c>
      <c r="D944" s="314">
        <v>12810236</v>
      </c>
      <c r="E944" s="314"/>
      <c r="F944" s="314">
        <v>12065009</v>
      </c>
      <c r="G944" s="314"/>
      <c r="H944" s="314">
        <v>484527</v>
      </c>
      <c r="I944" s="314"/>
      <c r="J944" s="314">
        <v>260700</v>
      </c>
      <c r="K944" s="314">
        <v>133811</v>
      </c>
      <c r="L944" s="314">
        <v>126889</v>
      </c>
      <c r="M944" s="314"/>
      <c r="N944" s="314"/>
      <c r="O944" s="314">
        <v>12810236</v>
      </c>
      <c r="P944" s="314"/>
      <c r="Q944" s="314"/>
      <c r="R944" s="314"/>
      <c r="S944" s="314"/>
      <c r="T944" s="314"/>
      <c r="U944" s="320"/>
      <c r="V944" s="320"/>
      <c r="W944" s="320"/>
      <c r="X944" s="320"/>
      <c r="Y944" s="320"/>
    </row>
    <row r="945" spans="1:29" x14ac:dyDescent="0.45">
      <c r="A945" s="313">
        <v>11</v>
      </c>
      <c r="B945" s="427" t="s">
        <v>2050</v>
      </c>
      <c r="C945" s="312"/>
      <c r="D945" s="314">
        <v>12810236</v>
      </c>
      <c r="E945" s="314"/>
      <c r="F945" s="314">
        <v>12065009</v>
      </c>
      <c r="G945" s="314"/>
      <c r="H945" s="314">
        <v>484527</v>
      </c>
      <c r="I945" s="314"/>
      <c r="J945" s="314">
        <v>260700</v>
      </c>
      <c r="K945" s="314">
        <v>133811</v>
      </c>
      <c r="L945" s="314">
        <v>126889</v>
      </c>
      <c r="M945" s="314"/>
      <c r="N945" s="314"/>
      <c r="O945" s="314"/>
      <c r="P945" s="314"/>
      <c r="Q945" s="314"/>
      <c r="R945" s="314"/>
      <c r="S945" s="314"/>
      <c r="T945" s="314"/>
      <c r="W945" s="320"/>
    </row>
    <row r="946" spans="1:29" x14ac:dyDescent="0.45">
      <c r="A946" s="45"/>
      <c r="B946" s="45"/>
      <c r="C946" s="312"/>
      <c r="D946" s="314"/>
      <c r="E946" s="314"/>
      <c r="F946" s="314"/>
      <c r="G946" s="314"/>
      <c r="H946" s="314"/>
      <c r="I946" s="314"/>
      <c r="J946" s="314"/>
      <c r="K946" s="314"/>
      <c r="L946" s="314"/>
      <c r="M946" s="314"/>
      <c r="N946" s="314"/>
      <c r="O946" s="314"/>
      <c r="P946" s="314"/>
      <c r="Q946" s="314"/>
      <c r="R946" s="314"/>
      <c r="S946" s="314"/>
      <c r="T946" s="314"/>
      <c r="W946" s="320"/>
    </row>
    <row r="947" spans="1:29" x14ac:dyDescent="0.45">
      <c r="A947" s="313">
        <v>12</v>
      </c>
      <c r="B947" s="433" t="s">
        <v>2051</v>
      </c>
      <c r="C947" s="312"/>
      <c r="D947" s="314">
        <v>0</v>
      </c>
      <c r="E947" s="314"/>
      <c r="F947" s="314">
        <v>0</v>
      </c>
      <c r="G947" s="314"/>
      <c r="H947" s="314">
        <v>0</v>
      </c>
      <c r="I947" s="314"/>
      <c r="J947" s="314">
        <v>0</v>
      </c>
      <c r="K947" s="314">
        <v>0</v>
      </c>
      <c r="L947" s="314">
        <v>0</v>
      </c>
      <c r="M947" s="314"/>
      <c r="N947" s="314"/>
      <c r="O947" s="314">
        <v>0</v>
      </c>
      <c r="P947" s="314"/>
      <c r="Q947" s="314"/>
      <c r="R947" s="314"/>
      <c r="S947" s="314"/>
      <c r="T947" s="314"/>
      <c r="W947" s="320"/>
    </row>
    <row r="948" spans="1:29" x14ac:dyDescent="0.45">
      <c r="A948" s="45"/>
      <c r="B948" s="45"/>
      <c r="C948" s="45"/>
      <c r="D948" s="314"/>
      <c r="E948" s="314"/>
      <c r="F948" s="314"/>
      <c r="G948" s="314"/>
      <c r="H948" s="314"/>
      <c r="I948" s="314"/>
      <c r="J948" s="314"/>
      <c r="K948" s="314"/>
      <c r="L948" s="314"/>
      <c r="M948" s="314"/>
      <c r="N948" s="314"/>
      <c r="O948" s="314"/>
      <c r="P948" s="314"/>
      <c r="Q948" s="314"/>
      <c r="R948" s="314"/>
      <c r="S948" s="314"/>
      <c r="T948" s="314"/>
      <c r="W948" s="320"/>
    </row>
    <row r="949" spans="1:29" x14ac:dyDescent="0.45">
      <c r="A949" s="313">
        <v>13</v>
      </c>
      <c r="B949" s="427" t="s">
        <v>2052</v>
      </c>
      <c r="C949" s="45"/>
      <c r="D949" s="314">
        <v>1707060044</v>
      </c>
      <c r="E949" s="314"/>
      <c r="F949" s="314">
        <v>1606634809</v>
      </c>
      <c r="G949" s="314"/>
      <c r="H949" s="314">
        <v>76228081</v>
      </c>
      <c r="I949" s="314"/>
      <c r="J949" s="314">
        <v>24197154</v>
      </c>
      <c r="K949" s="314">
        <v>12350192</v>
      </c>
      <c r="L949" s="314">
        <v>11846962</v>
      </c>
      <c r="M949" s="314"/>
      <c r="N949" s="314"/>
      <c r="O949" s="314"/>
      <c r="P949" s="314"/>
      <c r="Q949" s="314"/>
      <c r="R949" s="314"/>
      <c r="S949" s="314"/>
      <c r="T949" s="314"/>
      <c r="W949" s="320"/>
    </row>
    <row r="950" spans="1:29" x14ac:dyDescent="0.45">
      <c r="A950" s="45"/>
      <c r="B950" s="45"/>
      <c r="C950" s="45"/>
      <c r="D950" s="314"/>
      <c r="E950" s="314"/>
      <c r="F950" s="314"/>
      <c r="G950" s="314"/>
      <c r="H950" s="314"/>
      <c r="I950" s="314"/>
      <c r="J950" s="314"/>
      <c r="K950" s="314"/>
      <c r="L950" s="314"/>
      <c r="M950" s="314"/>
      <c r="N950" s="314"/>
      <c r="O950" s="314"/>
      <c r="P950" s="314"/>
      <c r="Q950" s="314"/>
      <c r="R950" s="314"/>
      <c r="S950" s="314"/>
      <c r="T950" s="314"/>
      <c r="W950" s="320"/>
    </row>
    <row r="951" spans="1:29" x14ac:dyDescent="0.45">
      <c r="A951" s="45"/>
      <c r="B951" s="424" t="s">
        <v>598</v>
      </c>
      <c r="C951" s="312"/>
      <c r="D951" s="314"/>
      <c r="E951" s="314"/>
      <c r="F951" s="314"/>
      <c r="G951" s="314"/>
      <c r="H951" s="314"/>
      <c r="I951" s="314"/>
      <c r="J951" s="314"/>
      <c r="K951" s="314"/>
      <c r="L951" s="314"/>
      <c r="M951" s="314"/>
      <c r="N951" s="314"/>
      <c r="O951" s="314"/>
      <c r="P951" s="314"/>
      <c r="Q951" s="314"/>
      <c r="R951" s="314"/>
      <c r="S951" s="314"/>
      <c r="T951" s="314"/>
      <c r="W951" s="320"/>
    </row>
    <row r="952" spans="1:29" x14ac:dyDescent="0.45">
      <c r="A952" s="313">
        <v>14</v>
      </c>
      <c r="B952" s="427" t="s">
        <v>2053</v>
      </c>
      <c r="C952" s="428" t="s">
        <v>1914</v>
      </c>
      <c r="D952" s="314">
        <v>4034269</v>
      </c>
      <c r="E952" s="314"/>
      <c r="F952" s="314">
        <v>3870654</v>
      </c>
      <c r="G952" s="314"/>
      <c r="H952" s="314">
        <v>163361</v>
      </c>
      <c r="I952" s="314"/>
      <c r="J952" s="314">
        <v>254</v>
      </c>
      <c r="K952" s="314">
        <v>254</v>
      </c>
      <c r="L952" s="314">
        <v>0</v>
      </c>
      <c r="M952" s="314"/>
      <c r="N952" s="314"/>
      <c r="O952" s="314">
        <v>4034269</v>
      </c>
      <c r="P952" s="314"/>
      <c r="Q952" s="314"/>
      <c r="R952" s="314"/>
      <c r="S952" s="314"/>
      <c r="T952" s="314"/>
      <c r="U952" s="320"/>
      <c r="V952" s="320"/>
      <c r="W952" s="320"/>
      <c r="X952" s="320"/>
      <c r="Y952" s="320"/>
    </row>
    <row r="953" spans="1:29" x14ac:dyDescent="0.45">
      <c r="A953" s="313">
        <v>15</v>
      </c>
      <c r="B953" s="427" t="s">
        <v>2054</v>
      </c>
      <c r="C953" s="428" t="s">
        <v>1904</v>
      </c>
      <c r="D953" s="314">
        <v>2174944</v>
      </c>
      <c r="E953" s="314"/>
      <c r="F953" s="314">
        <v>2104204</v>
      </c>
      <c r="G953" s="314"/>
      <c r="H953" s="314">
        <v>70740</v>
      </c>
      <c r="I953" s="314"/>
      <c r="J953" s="314">
        <v>0</v>
      </c>
      <c r="K953" s="314">
        <v>0</v>
      </c>
      <c r="L953" s="314">
        <v>0</v>
      </c>
      <c r="M953" s="314"/>
      <c r="N953" s="314"/>
      <c r="O953" s="314">
        <v>2174944</v>
      </c>
      <c r="P953" s="314"/>
      <c r="Q953" s="314"/>
      <c r="R953" s="314"/>
      <c r="S953" s="314"/>
      <c r="T953" s="314"/>
      <c r="U953" s="320"/>
      <c r="V953" s="320"/>
      <c r="W953" s="320"/>
      <c r="X953" s="320"/>
      <c r="Y953" s="320"/>
    </row>
    <row r="954" spans="1:29" x14ac:dyDescent="0.45">
      <c r="A954" s="313">
        <v>16</v>
      </c>
      <c r="B954" s="427" t="s">
        <v>2055</v>
      </c>
      <c r="C954" s="428" t="s">
        <v>1906</v>
      </c>
      <c r="D954" s="314">
        <v>94079</v>
      </c>
      <c r="E954" s="314"/>
      <c r="F954" s="314">
        <v>93979</v>
      </c>
      <c r="G954" s="314"/>
      <c r="H954" s="314">
        <v>100</v>
      </c>
      <c r="I954" s="314"/>
      <c r="J954" s="314">
        <v>0</v>
      </c>
      <c r="K954" s="314">
        <v>0</v>
      </c>
      <c r="L954" s="314">
        <v>0</v>
      </c>
      <c r="M954" s="314"/>
      <c r="N954" s="314"/>
      <c r="O954" s="314">
        <v>94079</v>
      </c>
      <c r="P954" s="314"/>
      <c r="Q954" s="314"/>
      <c r="R954" s="314"/>
      <c r="S954" s="314"/>
      <c r="T954" s="314"/>
      <c r="Z954" s="320"/>
      <c r="AA954" s="317"/>
    </row>
    <row r="955" spans="1:29" x14ac:dyDescent="0.45">
      <c r="A955" s="313">
        <v>17</v>
      </c>
      <c r="B955" s="427" t="s">
        <v>2056</v>
      </c>
      <c r="C955" s="428" t="s">
        <v>1898</v>
      </c>
      <c r="D955" s="314">
        <v>3953481</v>
      </c>
      <c r="E955" s="314"/>
      <c r="F955" s="314">
        <v>2942175</v>
      </c>
      <c r="G955" s="314"/>
      <c r="H955" s="314">
        <v>789058</v>
      </c>
      <c r="I955" s="314"/>
      <c r="J955" s="314">
        <v>222248</v>
      </c>
      <c r="K955" s="314">
        <v>222248</v>
      </c>
      <c r="L955" s="314">
        <v>0</v>
      </c>
      <c r="M955" s="314"/>
      <c r="N955" s="314"/>
      <c r="O955" s="314">
        <v>3953481</v>
      </c>
      <c r="P955" s="314"/>
      <c r="Q955" s="314"/>
      <c r="R955" s="314"/>
      <c r="S955" s="314"/>
      <c r="T955" s="314"/>
    </row>
    <row r="956" spans="1:29" x14ac:dyDescent="0.45">
      <c r="A956" s="313">
        <v>18</v>
      </c>
      <c r="B956" s="427" t="s">
        <v>2288</v>
      </c>
      <c r="C956" s="428" t="s">
        <v>1918</v>
      </c>
      <c r="D956" s="314">
        <v>5191</v>
      </c>
      <c r="E956" s="314"/>
      <c r="F956" s="314">
        <v>5191</v>
      </c>
      <c r="G956" s="314"/>
      <c r="H956" s="314">
        <v>0</v>
      </c>
      <c r="I956" s="314"/>
      <c r="J956" s="314">
        <v>0</v>
      </c>
      <c r="K956" s="314">
        <v>0</v>
      </c>
      <c r="L956" s="314">
        <v>0</v>
      </c>
      <c r="M956" s="314"/>
      <c r="N956" s="314"/>
      <c r="O956" s="314">
        <v>5191</v>
      </c>
      <c r="P956" s="314"/>
      <c r="Q956" s="314" t="s">
        <v>2289</v>
      </c>
      <c r="R956" s="314" t="s">
        <v>2290</v>
      </c>
      <c r="S956" s="314" t="s">
        <v>2222</v>
      </c>
      <c r="T956" s="314" t="s">
        <v>1257</v>
      </c>
      <c r="U956" s="53" t="s">
        <v>1258</v>
      </c>
    </row>
    <row r="957" spans="1:29" x14ac:dyDescent="0.45">
      <c r="A957" s="313">
        <v>19</v>
      </c>
      <c r="B957" s="427" t="s">
        <v>2291</v>
      </c>
      <c r="C957" s="428" t="s">
        <v>2064</v>
      </c>
      <c r="D957" s="314">
        <v>67110</v>
      </c>
      <c r="E957" s="314"/>
      <c r="F957" s="314">
        <v>0</v>
      </c>
      <c r="G957" s="314"/>
      <c r="H957" s="314">
        <v>45234</v>
      </c>
      <c r="I957" s="314"/>
      <c r="J957" s="314">
        <v>21876</v>
      </c>
      <c r="K957" s="314">
        <v>11165</v>
      </c>
      <c r="L957" s="314">
        <v>10711</v>
      </c>
      <c r="M957" s="314"/>
      <c r="N957" s="314"/>
      <c r="O957" s="314">
        <v>67110</v>
      </c>
      <c r="P957" s="314" t="s">
        <v>2292</v>
      </c>
      <c r="Q957" s="314">
        <v>0</v>
      </c>
      <c r="R957" s="314">
        <v>45234</v>
      </c>
      <c r="S957" s="314">
        <v>21876</v>
      </c>
      <c r="T957" s="314">
        <v>11165</v>
      </c>
      <c r="U957" s="495">
        <v>10711</v>
      </c>
      <c r="V957" s="320" t="s">
        <v>2224</v>
      </c>
      <c r="W957" s="320"/>
      <c r="X957" s="320"/>
      <c r="AA957" s="53" t="s">
        <v>2224</v>
      </c>
    </row>
    <row r="958" spans="1:29" x14ac:dyDescent="0.45">
      <c r="A958" s="313">
        <v>20</v>
      </c>
      <c r="B958" s="427" t="s">
        <v>2058</v>
      </c>
      <c r="C958" s="428" t="s">
        <v>1849</v>
      </c>
      <c r="D958" s="314">
        <v>27763848</v>
      </c>
      <c r="E958" s="314"/>
      <c r="F958" s="314">
        <v>26560959</v>
      </c>
      <c r="G958" s="314"/>
      <c r="H958" s="314">
        <v>1202889</v>
      </c>
      <c r="I958" s="314"/>
      <c r="J958" s="314">
        <v>0</v>
      </c>
      <c r="K958" s="314">
        <v>0</v>
      </c>
      <c r="L958" s="314">
        <v>0</v>
      </c>
      <c r="M958" s="314"/>
      <c r="N958" s="314"/>
      <c r="O958" s="314">
        <v>27763848</v>
      </c>
      <c r="P958" s="314"/>
      <c r="Q958" s="314"/>
      <c r="R958" s="314"/>
      <c r="S958" s="314"/>
      <c r="T958" s="314"/>
      <c r="U958" s="320"/>
      <c r="V958" s="320"/>
      <c r="W958" s="355"/>
      <c r="X958" s="320"/>
      <c r="Y958" s="327"/>
      <c r="AA958" s="327"/>
      <c r="AB958" s="327"/>
      <c r="AC958" s="327"/>
    </row>
    <row r="959" spans="1:29" x14ac:dyDescent="0.45">
      <c r="A959" s="313">
        <v>21</v>
      </c>
      <c r="B959" s="427" t="s">
        <v>2153</v>
      </c>
      <c r="C959" s="428" t="s">
        <v>1282</v>
      </c>
      <c r="D959" s="314">
        <v>1515173</v>
      </c>
      <c r="E959" s="314"/>
      <c r="F959" s="314">
        <v>1421404</v>
      </c>
      <c r="G959" s="314"/>
      <c r="H959" s="314">
        <v>64372</v>
      </c>
      <c r="I959" s="314"/>
      <c r="J959" s="314">
        <v>29397</v>
      </c>
      <c r="K959" s="314">
        <v>14912</v>
      </c>
      <c r="L959" s="314">
        <v>14485</v>
      </c>
      <c r="M959" s="314"/>
      <c r="N959" s="314"/>
      <c r="O959" s="314">
        <v>1515173</v>
      </c>
      <c r="P959" s="314"/>
      <c r="Q959" s="314"/>
      <c r="R959" s="314"/>
      <c r="S959" s="314"/>
      <c r="T959" s="314"/>
      <c r="U959" s="320"/>
      <c r="V959" s="320"/>
      <c r="W959" s="355"/>
      <c r="X959" s="320"/>
      <c r="Y959" s="327"/>
      <c r="AA959" s="327"/>
      <c r="AB959" s="327"/>
      <c r="AC959" s="327"/>
    </row>
    <row r="960" spans="1:29" x14ac:dyDescent="0.45">
      <c r="A960" s="313">
        <v>22</v>
      </c>
      <c r="B960" s="427" t="s">
        <v>2059</v>
      </c>
      <c r="C960" s="428" t="s">
        <v>1918</v>
      </c>
      <c r="D960" s="314">
        <v>600</v>
      </c>
      <c r="E960" s="314"/>
      <c r="F960" s="314">
        <v>600</v>
      </c>
      <c r="G960" s="314"/>
      <c r="H960" s="314">
        <v>0</v>
      </c>
      <c r="I960" s="314"/>
      <c r="J960" s="314">
        <v>0</v>
      </c>
      <c r="K960" s="314">
        <v>0</v>
      </c>
      <c r="L960" s="314">
        <v>0</v>
      </c>
      <c r="M960" s="314"/>
      <c r="N960" s="314"/>
      <c r="O960" s="314">
        <v>600</v>
      </c>
      <c r="P960" s="314"/>
      <c r="Q960" s="314"/>
      <c r="R960" s="314"/>
      <c r="S960" s="314"/>
      <c r="T960" s="314"/>
      <c r="U960" s="320"/>
      <c r="V960" s="320"/>
      <c r="W960" s="320"/>
      <c r="X960" s="320"/>
      <c r="Y960" s="320"/>
    </row>
    <row r="961" spans="1:35" x14ac:dyDescent="0.45">
      <c r="A961" s="313">
        <v>23</v>
      </c>
      <c r="B961" s="427" t="s">
        <v>2510</v>
      </c>
      <c r="C961" s="428" t="s">
        <v>1377</v>
      </c>
      <c r="D961" s="314">
        <v>96075</v>
      </c>
      <c r="E961" s="314"/>
      <c r="F961" s="314">
        <v>90486</v>
      </c>
      <c r="G961" s="314"/>
      <c r="H961" s="314">
        <v>3634</v>
      </c>
      <c r="I961" s="314"/>
      <c r="J961" s="314">
        <v>1955</v>
      </c>
      <c r="K961" s="314">
        <v>1004</v>
      </c>
      <c r="L961" s="314">
        <v>952</v>
      </c>
      <c r="M961" s="314"/>
      <c r="N961" s="314"/>
      <c r="O961" s="314">
        <v>96075</v>
      </c>
      <c r="P961" s="314"/>
      <c r="Q961" s="314"/>
      <c r="R961" s="314"/>
      <c r="S961" s="314"/>
      <c r="T961" s="314"/>
      <c r="U961" s="320"/>
      <c r="V961" s="320"/>
      <c r="W961" s="320"/>
      <c r="X961" s="320"/>
      <c r="Y961" s="320"/>
    </row>
    <row r="962" spans="1:35" x14ac:dyDescent="0.45">
      <c r="A962" s="313">
        <v>24</v>
      </c>
      <c r="B962" s="427" t="s">
        <v>2060</v>
      </c>
      <c r="C962" s="428" t="s">
        <v>1908</v>
      </c>
      <c r="D962" s="314">
        <v>68898</v>
      </c>
      <c r="E962" s="314"/>
      <c r="F962" s="314">
        <v>61024</v>
      </c>
      <c r="G962" s="314"/>
      <c r="H962" s="314">
        <v>7874</v>
      </c>
      <c r="I962" s="314"/>
      <c r="J962" s="314">
        <v>0</v>
      </c>
      <c r="K962" s="314">
        <v>0</v>
      </c>
      <c r="L962" s="314">
        <v>0</v>
      </c>
      <c r="M962" s="314"/>
      <c r="N962" s="314"/>
      <c r="O962" s="314">
        <v>68898</v>
      </c>
      <c r="P962" s="314"/>
      <c r="Q962" s="314"/>
      <c r="R962" s="314"/>
      <c r="S962" s="314"/>
      <c r="T962" s="314"/>
      <c r="U962" s="320"/>
      <c r="V962" s="320"/>
      <c r="W962" s="320"/>
      <c r="X962" s="320"/>
      <c r="Y962" s="320"/>
    </row>
    <row r="963" spans="1:35" x14ac:dyDescent="0.45">
      <c r="A963" s="313">
        <v>25</v>
      </c>
      <c r="B963" s="427" t="s">
        <v>2061</v>
      </c>
      <c r="C963" s="428" t="s">
        <v>1902</v>
      </c>
      <c r="D963" s="314">
        <v>166699</v>
      </c>
      <c r="E963" s="314"/>
      <c r="F963" s="314">
        <v>166699</v>
      </c>
      <c r="G963" s="314"/>
      <c r="H963" s="314">
        <v>0</v>
      </c>
      <c r="I963" s="314"/>
      <c r="J963" s="314">
        <v>0</v>
      </c>
      <c r="K963" s="314">
        <v>0</v>
      </c>
      <c r="L963" s="314">
        <v>0</v>
      </c>
      <c r="M963" s="314"/>
      <c r="N963" s="314"/>
      <c r="O963" s="314">
        <v>166699</v>
      </c>
      <c r="P963" s="314"/>
      <c r="Q963" s="314"/>
      <c r="R963" s="314"/>
      <c r="S963" s="314"/>
      <c r="T963" s="314"/>
      <c r="U963" s="320"/>
      <c r="V963" s="320"/>
      <c r="W963" s="320"/>
      <c r="X963" s="320"/>
      <c r="Y963" s="320"/>
    </row>
    <row r="964" spans="1:35" x14ac:dyDescent="0.45">
      <c r="A964" s="313">
        <v>26</v>
      </c>
      <c r="B964" s="427" t="s">
        <v>2062</v>
      </c>
      <c r="C964" s="428" t="s">
        <v>1900</v>
      </c>
      <c r="D964" s="314">
        <v>32026</v>
      </c>
      <c r="E964" s="314"/>
      <c r="F964" s="314">
        <v>30874</v>
      </c>
      <c r="G964" s="314"/>
      <c r="H964" s="314">
        <v>1152</v>
      </c>
      <c r="I964" s="314"/>
      <c r="J964" s="314">
        <v>0</v>
      </c>
      <c r="K964" s="314">
        <v>0</v>
      </c>
      <c r="L964" s="314">
        <v>0</v>
      </c>
      <c r="M964" s="314"/>
      <c r="N964" s="314"/>
      <c r="O964" s="314">
        <v>32026</v>
      </c>
      <c r="P964" s="314"/>
      <c r="Q964" s="314" t="s">
        <v>2289</v>
      </c>
      <c r="R964" s="314" t="s">
        <v>2290</v>
      </c>
      <c r="S964" s="314" t="s">
        <v>2222</v>
      </c>
      <c r="T964" s="314" t="s">
        <v>1257</v>
      </c>
      <c r="U964" s="320" t="s">
        <v>1258</v>
      </c>
      <c r="V964" s="320"/>
      <c r="W964" s="320"/>
      <c r="X964" s="320"/>
      <c r="AA964" s="317"/>
    </row>
    <row r="965" spans="1:35" x14ac:dyDescent="0.45">
      <c r="A965" s="313">
        <v>27</v>
      </c>
      <c r="B965" s="427" t="s">
        <v>2293</v>
      </c>
      <c r="C965" s="428" t="s">
        <v>2064</v>
      </c>
      <c r="D965" s="314">
        <v>735</v>
      </c>
      <c r="E965" s="314"/>
      <c r="F965" s="314">
        <v>0</v>
      </c>
      <c r="G965" s="314"/>
      <c r="H965" s="314">
        <v>735</v>
      </c>
      <c r="I965" s="314"/>
      <c r="J965" s="314">
        <v>0</v>
      </c>
      <c r="K965" s="314">
        <v>0</v>
      </c>
      <c r="L965" s="314">
        <v>0</v>
      </c>
      <c r="M965" s="314"/>
      <c r="N965" s="314"/>
      <c r="O965" s="314">
        <v>735</v>
      </c>
      <c r="P965" s="314" t="s">
        <v>2294</v>
      </c>
      <c r="Q965" s="314">
        <v>0</v>
      </c>
      <c r="R965" s="314">
        <v>735</v>
      </c>
      <c r="S965" s="314">
        <v>0</v>
      </c>
      <c r="T965" s="314">
        <v>0</v>
      </c>
      <c r="U965" s="53">
        <v>0</v>
      </c>
      <c r="V965" s="53" t="s">
        <v>2224</v>
      </c>
      <c r="AA965" s="53" t="s">
        <v>2224</v>
      </c>
    </row>
    <row r="966" spans="1:35" x14ac:dyDescent="0.45">
      <c r="A966" s="313">
        <v>28</v>
      </c>
      <c r="B966" s="424" t="s">
        <v>599</v>
      </c>
      <c r="C966" s="312"/>
      <c r="D966" s="314">
        <v>39973126</v>
      </c>
      <c r="E966" s="314"/>
      <c r="F966" s="314">
        <v>37348247</v>
      </c>
      <c r="G966" s="314"/>
      <c r="H966" s="314">
        <v>2349148</v>
      </c>
      <c r="I966" s="314"/>
      <c r="J966" s="314">
        <v>275731</v>
      </c>
      <c r="K966" s="314">
        <v>249583</v>
      </c>
      <c r="L966" s="314">
        <v>26148</v>
      </c>
      <c r="M966" s="314"/>
      <c r="N966" s="314"/>
      <c r="O966" s="314"/>
      <c r="P966" s="314"/>
      <c r="Q966" s="314"/>
      <c r="R966" s="314"/>
      <c r="S966" s="314"/>
      <c r="T966" s="314"/>
      <c r="U966" s="318"/>
      <c r="V966" s="320"/>
      <c r="W966" s="320"/>
      <c r="X966" s="320"/>
    </row>
    <row r="967" spans="1:35" x14ac:dyDescent="0.45">
      <c r="A967" s="45"/>
      <c r="B967" s="45"/>
      <c r="C967" s="312"/>
      <c r="D967" s="314"/>
      <c r="E967" s="314"/>
      <c r="F967" s="314"/>
      <c r="G967" s="314"/>
      <c r="H967" s="314"/>
      <c r="I967" s="314"/>
      <c r="J967" s="314"/>
      <c r="K967" s="314"/>
      <c r="L967" s="314"/>
      <c r="M967" s="314"/>
      <c r="N967" s="314"/>
      <c r="O967" s="314"/>
      <c r="P967" s="314"/>
      <c r="Q967" s="314"/>
      <c r="R967" s="314" t="s">
        <v>2232</v>
      </c>
      <c r="S967" s="314"/>
      <c r="T967" s="314"/>
      <c r="U967" s="320"/>
      <c r="W967" s="320"/>
    </row>
    <row r="968" spans="1:35" x14ac:dyDescent="0.45">
      <c r="A968" s="313">
        <v>29</v>
      </c>
      <c r="B968" s="424" t="s">
        <v>600</v>
      </c>
      <c r="C968" s="312"/>
      <c r="D968" s="314">
        <v>1747033170</v>
      </c>
      <c r="E968" s="314"/>
      <c r="F968" s="314">
        <v>1643983057</v>
      </c>
      <c r="G968" s="314"/>
      <c r="H968" s="314">
        <v>78577229</v>
      </c>
      <c r="I968" s="314"/>
      <c r="J968" s="314">
        <v>24472885</v>
      </c>
      <c r="K968" s="314">
        <v>12599774</v>
      </c>
      <c r="L968" s="314">
        <v>11873111</v>
      </c>
      <c r="M968" s="314"/>
      <c r="N968" s="314"/>
      <c r="O968" s="314"/>
      <c r="P968" s="314"/>
      <c r="Q968" s="314"/>
      <c r="R968" s="314">
        <v>1613578451</v>
      </c>
      <c r="S968" s="314">
        <v>133454719</v>
      </c>
      <c r="T968" s="314"/>
      <c r="W968" s="327"/>
    </row>
    <row r="969" spans="1:35" x14ac:dyDescent="0.45">
      <c r="A969" s="45"/>
      <c r="B969" s="45"/>
      <c r="C969" s="312"/>
      <c r="D969" s="314"/>
      <c r="E969" s="314"/>
      <c r="F969" s="314"/>
      <c r="G969" s="314"/>
      <c r="H969" s="314"/>
      <c r="I969" s="314"/>
      <c r="J969" s="314"/>
      <c r="K969" s="314"/>
      <c r="L969" s="314"/>
      <c r="M969" s="314"/>
      <c r="N969" s="314"/>
      <c r="O969" s="314"/>
      <c r="P969" s="314"/>
      <c r="Q969" s="314"/>
      <c r="R969" s="314"/>
      <c r="S969" s="314"/>
      <c r="T969" s="314"/>
      <c r="X969" s="330"/>
    </row>
    <row r="970" spans="1:35" x14ac:dyDescent="0.45">
      <c r="A970" s="45"/>
      <c r="B970" s="45"/>
      <c r="C970" s="312"/>
      <c r="D970" s="314"/>
      <c r="E970" s="314"/>
      <c r="F970" s="314"/>
      <c r="G970" s="314"/>
      <c r="H970" s="314"/>
      <c r="I970" s="314"/>
      <c r="J970" s="314"/>
      <c r="K970" s="314"/>
      <c r="L970" s="314"/>
      <c r="M970" s="314"/>
      <c r="N970" s="314"/>
      <c r="O970" s="314"/>
      <c r="P970" s="314"/>
      <c r="Q970" s="314"/>
      <c r="R970" s="314"/>
      <c r="S970" s="314"/>
      <c r="T970" s="314"/>
      <c r="W970" s="320"/>
    </row>
    <row r="971" spans="1:35" x14ac:dyDescent="0.45">
      <c r="A971" s="45"/>
      <c r="B971" s="426" t="s">
        <v>601</v>
      </c>
      <c r="C971" s="312"/>
      <c r="D971" s="314"/>
      <c r="E971" s="314"/>
      <c r="F971" s="314"/>
      <c r="G971" s="314"/>
      <c r="H971" s="314"/>
      <c r="I971" s="314"/>
      <c r="J971" s="314"/>
      <c r="K971" s="314"/>
      <c r="L971" s="314"/>
      <c r="M971" s="314"/>
      <c r="N971" s="314"/>
      <c r="O971" s="314"/>
      <c r="P971" s="314"/>
      <c r="Q971" s="314"/>
      <c r="R971" s="314"/>
      <c r="S971" s="314"/>
      <c r="T971" s="314"/>
      <c r="W971" s="320"/>
    </row>
    <row r="972" spans="1:35" x14ac:dyDescent="0.45">
      <c r="A972" s="45"/>
      <c r="B972" s="45"/>
      <c r="C972" s="312"/>
      <c r="D972" s="314"/>
      <c r="E972" s="314"/>
      <c r="F972" s="314"/>
      <c r="G972" s="314"/>
      <c r="H972" s="314"/>
      <c r="I972" s="314"/>
      <c r="J972" s="314"/>
      <c r="K972" s="314"/>
      <c r="L972" s="314"/>
      <c r="M972" s="314"/>
      <c r="N972" s="314"/>
      <c r="O972" s="314"/>
      <c r="P972" s="314"/>
      <c r="Q972" s="314"/>
      <c r="R972" s="314"/>
      <c r="S972" s="314"/>
      <c r="T972" s="314"/>
      <c r="W972" s="320"/>
      <c r="Y972" s="53" t="s">
        <v>2295</v>
      </c>
      <c r="Z972" s="53" t="s">
        <v>2296</v>
      </c>
      <c r="AD972" s="53" t="s">
        <v>2295</v>
      </c>
      <c r="AE972" s="53" t="s">
        <v>2296</v>
      </c>
    </row>
    <row r="973" spans="1:35" x14ac:dyDescent="0.45">
      <c r="A973" s="45"/>
      <c r="B973" s="424" t="s">
        <v>602</v>
      </c>
      <c r="C973" s="312"/>
      <c r="D973" s="314"/>
      <c r="E973" s="314"/>
      <c r="F973" s="314"/>
      <c r="G973" s="314"/>
      <c r="H973" s="314"/>
      <c r="I973" s="314"/>
      <c r="J973" s="314"/>
      <c r="K973" s="314"/>
      <c r="L973" s="314"/>
      <c r="M973" s="314"/>
      <c r="N973" s="314"/>
      <c r="O973" s="314"/>
      <c r="P973" s="314"/>
      <c r="Q973" s="314"/>
      <c r="R973" s="314"/>
      <c r="S973" s="314"/>
      <c r="T973" s="314"/>
      <c r="W973" s="320"/>
      <c r="Y973" s="53" t="s">
        <v>2289</v>
      </c>
      <c r="Z973" s="53" t="s">
        <v>2290</v>
      </c>
      <c r="AD973" s="53" t="s">
        <v>2289</v>
      </c>
      <c r="AE973" s="318" t="s">
        <v>2290</v>
      </c>
      <c r="AF973" s="53" t="s">
        <v>1253</v>
      </c>
      <c r="AG973" s="53" t="s">
        <v>1253</v>
      </c>
      <c r="AH973" s="53" t="s">
        <v>1253</v>
      </c>
    </row>
    <row r="974" spans="1:35" x14ac:dyDescent="0.45">
      <c r="A974" s="313">
        <v>1</v>
      </c>
      <c r="B974" s="424" t="s">
        <v>603</v>
      </c>
      <c r="C974" s="425" t="s">
        <v>1355</v>
      </c>
      <c r="D974" s="314">
        <v>5781070</v>
      </c>
      <c r="E974" s="314"/>
      <c r="F974" s="314">
        <v>5418923</v>
      </c>
      <c r="G974" s="314"/>
      <c r="H974" s="314">
        <v>247667</v>
      </c>
      <c r="I974" s="314"/>
      <c r="J974" s="314">
        <v>114480</v>
      </c>
      <c r="K974" s="314">
        <v>58071</v>
      </c>
      <c r="L974" s="314">
        <v>56409</v>
      </c>
      <c r="M974" s="314"/>
      <c r="N974" s="314"/>
      <c r="O974" s="314">
        <v>5781070</v>
      </c>
      <c r="P974" s="314">
        <v>500</v>
      </c>
      <c r="Q974" s="314"/>
      <c r="R974" s="314">
        <v>5781070</v>
      </c>
      <c r="S974" s="314" t="s">
        <v>2565</v>
      </c>
      <c r="T974" s="314"/>
      <c r="W974" s="320"/>
      <c r="X974" s="53">
        <v>0</v>
      </c>
      <c r="AC974" s="53">
        <v>0</v>
      </c>
      <c r="AD974" s="329"/>
      <c r="AE974" s="329"/>
      <c r="AF974" s="329"/>
      <c r="AG974" s="53" t="s">
        <v>1257</v>
      </c>
      <c r="AH974" s="53" t="s">
        <v>1258</v>
      </c>
    </row>
    <row r="975" spans="1:35" x14ac:dyDescent="0.45">
      <c r="A975" s="313">
        <v>2</v>
      </c>
      <c r="B975" s="424" t="s">
        <v>604</v>
      </c>
      <c r="C975" s="425" t="s">
        <v>1377</v>
      </c>
      <c r="D975" s="314">
        <v>291334053</v>
      </c>
      <c r="E975" s="314"/>
      <c r="F975" s="314">
        <v>274405487</v>
      </c>
      <c r="G975" s="314"/>
      <c r="H975" s="314">
        <v>11008719</v>
      </c>
      <c r="I975" s="314"/>
      <c r="J975" s="314">
        <v>5919847</v>
      </c>
      <c r="K975" s="314">
        <v>3038531</v>
      </c>
      <c r="L975" s="314">
        <v>2881316</v>
      </c>
      <c r="M975" s="314"/>
      <c r="N975" s="314"/>
      <c r="O975" s="314">
        <v>291354853</v>
      </c>
      <c r="P975" s="314">
        <v>501</v>
      </c>
      <c r="Q975" s="314"/>
      <c r="R975" s="314">
        <v>291334053</v>
      </c>
      <c r="S975" s="314">
        <v>-20800.580000000002</v>
      </c>
      <c r="T975" s="314"/>
      <c r="U975" s="320"/>
      <c r="V975" s="320"/>
      <c r="W975" s="320"/>
      <c r="X975" s="331">
        <v>0</v>
      </c>
      <c r="Y975" s="332">
        <v>0</v>
      </c>
      <c r="Z975" s="496">
        <v>-11308</v>
      </c>
      <c r="AC975" s="53">
        <v>1.6687408788129687E-8</v>
      </c>
      <c r="AD975" s="53">
        <v>0</v>
      </c>
      <c r="AE975" s="53">
        <v>-11308.41</v>
      </c>
      <c r="AF975" s="53">
        <v>-9492.1699999999983</v>
      </c>
      <c r="AG975" s="53">
        <v>-4844.4922255643387</v>
      </c>
      <c r="AH975" s="53">
        <v>-4647.6777744356586</v>
      </c>
      <c r="AI975" s="53" t="s">
        <v>2224</v>
      </c>
    </row>
    <row r="976" spans="1:35" x14ac:dyDescent="0.45">
      <c r="A976" s="313">
        <v>3</v>
      </c>
      <c r="B976" s="424" t="s">
        <v>2196</v>
      </c>
      <c r="C976" s="425" t="s">
        <v>1355</v>
      </c>
      <c r="D976" s="314">
        <v>23067669</v>
      </c>
      <c r="E976" s="314"/>
      <c r="F976" s="314">
        <v>21622628</v>
      </c>
      <c r="G976" s="314"/>
      <c r="H976" s="314">
        <v>988242</v>
      </c>
      <c r="I976" s="314"/>
      <c r="J976" s="314">
        <v>456799</v>
      </c>
      <c r="K976" s="314">
        <v>231714</v>
      </c>
      <c r="L976" s="314">
        <v>225085</v>
      </c>
      <c r="M976" s="314"/>
      <c r="N976" s="314"/>
      <c r="O976" s="314">
        <v>23067669</v>
      </c>
      <c r="P976" s="314">
        <v>502</v>
      </c>
      <c r="Q976" s="314"/>
      <c r="R976" s="314">
        <v>23067669</v>
      </c>
      <c r="S976" s="314" t="s">
        <v>2565</v>
      </c>
      <c r="T976" s="314"/>
      <c r="U976" s="320"/>
      <c r="V976" s="320"/>
      <c r="W976" s="320"/>
      <c r="X976" s="331">
        <v>0</v>
      </c>
      <c r="Y976" s="332"/>
      <c r="Z976" s="320"/>
      <c r="AC976" s="53">
        <v>0</v>
      </c>
    </row>
    <row r="977" spans="1:34" x14ac:dyDescent="0.45">
      <c r="A977" s="313">
        <v>4</v>
      </c>
      <c r="B977" s="424" t="s">
        <v>2197</v>
      </c>
      <c r="C977" s="425" t="s">
        <v>1355</v>
      </c>
      <c r="D977" s="314">
        <v>0</v>
      </c>
      <c r="E977" s="314"/>
      <c r="F977" s="314">
        <v>0</v>
      </c>
      <c r="G977" s="314"/>
      <c r="H977" s="314">
        <v>0</v>
      </c>
      <c r="I977" s="314"/>
      <c r="J977" s="314">
        <v>0</v>
      </c>
      <c r="K977" s="314">
        <v>0</v>
      </c>
      <c r="L977" s="314">
        <v>0</v>
      </c>
      <c r="M977" s="314"/>
      <c r="N977" s="314"/>
      <c r="O977" s="314">
        <v>0</v>
      </c>
      <c r="P977" s="314">
        <v>504</v>
      </c>
      <c r="Q977" s="314"/>
      <c r="R977" s="314">
        <v>0</v>
      </c>
      <c r="S977" s="314" t="s">
        <v>2565</v>
      </c>
      <c r="T977" s="314"/>
      <c r="U977" s="320"/>
      <c r="V977" s="320"/>
      <c r="W977" s="320"/>
      <c r="X977" s="331"/>
      <c r="Y977" s="332"/>
      <c r="Z977" s="320"/>
      <c r="AD977" s="333"/>
    </row>
    <row r="978" spans="1:34" x14ac:dyDescent="0.45">
      <c r="A978" s="313">
        <v>5</v>
      </c>
      <c r="B978" s="424" t="s">
        <v>605</v>
      </c>
      <c r="C978" s="425" t="s">
        <v>1355</v>
      </c>
      <c r="D978" s="314">
        <v>8674239</v>
      </c>
      <c r="E978" s="314"/>
      <c r="F978" s="314">
        <v>8130854</v>
      </c>
      <c r="G978" s="314"/>
      <c r="H978" s="314">
        <v>371613</v>
      </c>
      <c r="I978" s="314"/>
      <c r="J978" s="314">
        <v>171772</v>
      </c>
      <c r="K978" s="314">
        <v>87132</v>
      </c>
      <c r="L978" s="314">
        <v>84640</v>
      </c>
      <c r="M978" s="314"/>
      <c r="N978" s="314"/>
      <c r="O978" s="314">
        <v>8674239</v>
      </c>
      <c r="P978" s="314">
        <v>505</v>
      </c>
      <c r="Q978" s="314"/>
      <c r="R978" s="314">
        <v>8674239</v>
      </c>
      <c r="S978" s="314" t="s">
        <v>2565</v>
      </c>
      <c r="T978" s="314"/>
      <c r="U978" s="320"/>
      <c r="V978" s="320"/>
      <c r="W978" s="320"/>
      <c r="X978" s="331">
        <v>0</v>
      </c>
      <c r="Y978" s="320"/>
      <c r="Z978" s="320"/>
      <c r="AC978" s="333">
        <v>0</v>
      </c>
      <c r="AD978" s="333"/>
    </row>
    <row r="979" spans="1:34" x14ac:dyDescent="0.45">
      <c r="A979" s="313">
        <v>6</v>
      </c>
      <c r="B979" s="424" t="s">
        <v>606</v>
      </c>
      <c r="C979" s="425" t="s">
        <v>1355</v>
      </c>
      <c r="D979" s="314">
        <v>27100466</v>
      </c>
      <c r="E979" s="314"/>
      <c r="F979" s="314">
        <v>25402796</v>
      </c>
      <c r="G979" s="314"/>
      <c r="H979" s="314">
        <v>1161012</v>
      </c>
      <c r="I979" s="314"/>
      <c r="J979" s="314">
        <v>536658</v>
      </c>
      <c r="K979" s="314">
        <v>272223</v>
      </c>
      <c r="L979" s="314">
        <v>264435</v>
      </c>
      <c r="M979" s="314"/>
      <c r="N979" s="314"/>
      <c r="O979" s="314">
        <v>27100466</v>
      </c>
      <c r="P979" s="314">
        <v>506</v>
      </c>
      <c r="Q979" s="314"/>
      <c r="R979" s="314">
        <v>27100466</v>
      </c>
      <c r="S979" s="314" t="s">
        <v>2565</v>
      </c>
      <c r="T979" s="314"/>
      <c r="U979" s="320"/>
      <c r="V979" s="320"/>
      <c r="W979" s="320"/>
      <c r="X979" s="331">
        <v>0</v>
      </c>
      <c r="Y979" s="332"/>
      <c r="Z979" s="320"/>
      <c r="AC979" s="53">
        <v>0</v>
      </c>
      <c r="AD979" s="333"/>
    </row>
    <row r="980" spans="1:34" x14ac:dyDescent="0.45">
      <c r="A980" s="313">
        <v>7</v>
      </c>
      <c r="B980" s="424" t="s">
        <v>2198</v>
      </c>
      <c r="C980" s="425" t="s">
        <v>1355</v>
      </c>
      <c r="D980" s="314">
        <v>0</v>
      </c>
      <c r="E980" s="314"/>
      <c r="F980" s="314">
        <v>0</v>
      </c>
      <c r="G980" s="314"/>
      <c r="H980" s="314">
        <v>0</v>
      </c>
      <c r="I980" s="314"/>
      <c r="J980" s="314">
        <v>0</v>
      </c>
      <c r="K980" s="314">
        <v>0</v>
      </c>
      <c r="L980" s="314">
        <v>0</v>
      </c>
      <c r="M980" s="314"/>
      <c r="N980" s="314"/>
      <c r="O980" s="314">
        <v>0</v>
      </c>
      <c r="P980" s="314">
        <v>507</v>
      </c>
      <c r="Q980" s="314"/>
      <c r="R980" s="314">
        <v>0</v>
      </c>
      <c r="S980" s="314" t="s">
        <v>2565</v>
      </c>
      <c r="T980" s="314"/>
      <c r="U980" s="320"/>
      <c r="V980" s="320"/>
      <c r="W980" s="320"/>
      <c r="X980" s="331"/>
      <c r="Y980" s="332"/>
      <c r="Z980" s="320"/>
      <c r="AD980" s="333"/>
    </row>
    <row r="981" spans="1:34" x14ac:dyDescent="0.45">
      <c r="A981" s="313">
        <v>8</v>
      </c>
      <c r="B981" s="424" t="s">
        <v>2199</v>
      </c>
      <c r="C981" s="425" t="s">
        <v>1355</v>
      </c>
      <c r="D981" s="314">
        <v>0</v>
      </c>
      <c r="E981" s="314"/>
      <c r="F981" s="314">
        <v>0</v>
      </c>
      <c r="G981" s="314"/>
      <c r="H981" s="314">
        <v>0</v>
      </c>
      <c r="I981" s="314"/>
      <c r="J981" s="314">
        <v>0</v>
      </c>
      <c r="K981" s="314">
        <v>0</v>
      </c>
      <c r="L981" s="314">
        <v>0</v>
      </c>
      <c r="M981" s="314"/>
      <c r="N981" s="314"/>
      <c r="O981" s="314">
        <v>0</v>
      </c>
      <c r="P981" s="314">
        <v>509</v>
      </c>
      <c r="Q981" s="314"/>
      <c r="R981" s="314">
        <v>0</v>
      </c>
      <c r="S981" s="314" t="s">
        <v>2565</v>
      </c>
      <c r="T981" s="314"/>
      <c r="U981" s="320"/>
      <c r="V981" s="320"/>
      <c r="W981" s="320"/>
      <c r="X981" s="331"/>
      <c r="Y981" s="320"/>
      <c r="Z981" s="320"/>
      <c r="AC981" s="333"/>
      <c r="AD981" s="333"/>
      <c r="AG981" s="53" t="s">
        <v>1253</v>
      </c>
      <c r="AH981" s="53" t="s">
        <v>1253</v>
      </c>
    </row>
    <row r="982" spans="1:34" x14ac:dyDescent="0.45">
      <c r="A982" s="313">
        <v>9</v>
      </c>
      <c r="B982" s="424" t="s">
        <v>607</v>
      </c>
      <c r="C982" s="312"/>
      <c r="D982" s="314">
        <v>355957497</v>
      </c>
      <c r="E982" s="314"/>
      <c r="F982" s="314">
        <v>334980688</v>
      </c>
      <c r="G982" s="314"/>
      <c r="H982" s="314">
        <v>13777253</v>
      </c>
      <c r="I982" s="314"/>
      <c r="J982" s="314">
        <v>7199556</v>
      </c>
      <c r="K982" s="314">
        <v>3687671</v>
      </c>
      <c r="L982" s="314">
        <v>3511885</v>
      </c>
      <c r="M982" s="314"/>
      <c r="N982" s="314"/>
      <c r="O982" s="314"/>
      <c r="P982" s="314"/>
      <c r="Q982" s="314"/>
      <c r="R982" s="314"/>
      <c r="S982" s="314"/>
      <c r="T982" s="314"/>
      <c r="U982" s="320"/>
      <c r="V982" s="320" t="s">
        <v>2289</v>
      </c>
      <c r="W982" s="320" t="s">
        <v>2297</v>
      </c>
      <c r="X982" s="331"/>
      <c r="Y982" s="320"/>
      <c r="Z982" s="320" t="s">
        <v>2290</v>
      </c>
      <c r="AA982" s="53" t="s">
        <v>2289</v>
      </c>
      <c r="AB982" s="53" t="s">
        <v>2297</v>
      </c>
      <c r="AC982" s="333"/>
      <c r="AD982" s="333"/>
      <c r="AE982" s="53" t="s">
        <v>2290</v>
      </c>
      <c r="AG982" s="53" t="s">
        <v>1257</v>
      </c>
      <c r="AH982" s="53" t="s">
        <v>1258</v>
      </c>
    </row>
    <row r="983" spans="1:34" x14ac:dyDescent="0.45">
      <c r="A983" s="313">
        <v>10</v>
      </c>
      <c r="B983" s="424" t="s">
        <v>608</v>
      </c>
      <c r="C983" s="425" t="s">
        <v>1355</v>
      </c>
      <c r="D983" s="314">
        <v>13384627</v>
      </c>
      <c r="E983" s="314"/>
      <c r="F983" s="314">
        <v>12501304</v>
      </c>
      <c r="G983" s="314"/>
      <c r="H983" s="314">
        <v>603272</v>
      </c>
      <c r="I983" s="314"/>
      <c r="J983" s="314">
        <v>280051</v>
      </c>
      <c r="K983" s="314">
        <v>142058</v>
      </c>
      <c r="L983" s="314">
        <v>137994</v>
      </c>
      <c r="M983" s="314"/>
      <c r="N983" s="314"/>
      <c r="O983" s="314">
        <v>12592317</v>
      </c>
      <c r="P983" s="314">
        <v>510</v>
      </c>
      <c r="Q983" s="314"/>
      <c r="R983" s="314">
        <v>13384627</v>
      </c>
      <c r="S983" s="314">
        <v>792310.37</v>
      </c>
      <c r="T983" s="314"/>
      <c r="U983" s="320"/>
      <c r="V983" s="497">
        <v>697814.62</v>
      </c>
      <c r="W983" s="320" t="s">
        <v>2298</v>
      </c>
      <c r="X983" s="331">
        <v>0</v>
      </c>
      <c r="Y983" s="320"/>
      <c r="Z983" s="496">
        <v>63804</v>
      </c>
      <c r="AA983" s="329">
        <v>697814.62000000011</v>
      </c>
      <c r="AB983" s="53" t="s">
        <v>2298</v>
      </c>
      <c r="AC983" s="333">
        <v>2.4556356947869062E-10</v>
      </c>
      <c r="AD983" s="333"/>
      <c r="AE983" s="329">
        <v>63804.245905692747</v>
      </c>
      <c r="AG983" s="53">
        <v>15568.446740870035</v>
      </c>
      <c r="AH983" s="53">
        <v>15123.054374285999</v>
      </c>
    </row>
    <row r="984" spans="1:34" x14ac:dyDescent="0.45">
      <c r="A984" s="313">
        <v>11</v>
      </c>
      <c r="B984" s="424" t="s">
        <v>609</v>
      </c>
      <c r="C984" s="425" t="s">
        <v>1355</v>
      </c>
      <c r="D984" s="314">
        <v>10694671</v>
      </c>
      <c r="E984" s="314"/>
      <c r="F984" s="314">
        <v>10051562</v>
      </c>
      <c r="G984" s="314"/>
      <c r="H984" s="314">
        <v>439813</v>
      </c>
      <c r="I984" s="314"/>
      <c r="J984" s="314">
        <v>203296</v>
      </c>
      <c r="K984" s="314">
        <v>103123</v>
      </c>
      <c r="L984" s="314">
        <v>100173</v>
      </c>
      <c r="M984" s="314"/>
      <c r="N984" s="314"/>
      <c r="O984" s="314">
        <v>10266168</v>
      </c>
      <c r="P984" s="314">
        <v>511</v>
      </c>
      <c r="Q984" s="314"/>
      <c r="R984" s="314">
        <v>10694671</v>
      </c>
      <c r="S984" s="314">
        <v>428502.61</v>
      </c>
      <c r="T984" s="314"/>
      <c r="U984" s="320"/>
      <c r="V984" s="497">
        <v>428502.61</v>
      </c>
      <c r="W984" s="320" t="s">
        <v>2299</v>
      </c>
      <c r="X984" s="331">
        <v>0</v>
      </c>
      <c r="Y984" s="332"/>
      <c r="Z984" s="320">
        <v>0</v>
      </c>
      <c r="AA984" s="334">
        <v>428502.60749999998</v>
      </c>
      <c r="AB984" s="53" t="s">
        <v>2299</v>
      </c>
      <c r="AC984" s="53">
        <v>-5.8207660913467407E-11</v>
      </c>
      <c r="AD984" s="333"/>
      <c r="AE984" s="53">
        <v>0</v>
      </c>
      <c r="AG984" s="53">
        <v>0</v>
      </c>
      <c r="AH984" s="53">
        <v>0</v>
      </c>
    </row>
    <row r="985" spans="1:34" x14ac:dyDescent="0.45">
      <c r="A985" s="313">
        <v>12</v>
      </c>
      <c r="B985" s="424" t="s">
        <v>610</v>
      </c>
      <c r="C985" s="425" t="s">
        <v>1377</v>
      </c>
      <c r="D985" s="314">
        <v>52235847</v>
      </c>
      <c r="E985" s="314"/>
      <c r="F985" s="314">
        <v>49269205</v>
      </c>
      <c r="G985" s="314"/>
      <c r="H985" s="314">
        <v>1928832</v>
      </c>
      <c r="I985" s="314"/>
      <c r="J985" s="314">
        <v>1037810</v>
      </c>
      <c r="K985" s="314">
        <v>532681</v>
      </c>
      <c r="L985" s="314">
        <v>505129</v>
      </c>
      <c r="M985" s="314"/>
      <c r="N985" s="314"/>
      <c r="O985" s="314">
        <v>35264637</v>
      </c>
      <c r="P985" s="314">
        <v>512</v>
      </c>
      <c r="Q985" s="314"/>
      <c r="R985" s="314">
        <v>52235847</v>
      </c>
      <c r="S985" s="314">
        <v>16971209.84</v>
      </c>
      <c r="T985" s="314"/>
      <c r="U985" s="320"/>
      <c r="V985" s="497">
        <v>16056064</v>
      </c>
      <c r="W985" s="320" t="s">
        <v>2300</v>
      </c>
      <c r="X985" s="331">
        <v>0</v>
      </c>
      <c r="Y985" s="332"/>
      <c r="Z985" s="496">
        <v>595004</v>
      </c>
      <c r="AA985" s="334">
        <v>16056063.994999999</v>
      </c>
      <c r="AB985" s="53" t="s">
        <v>2300</v>
      </c>
      <c r="AC985" s="53">
        <v>-3.1141098588705063E-9</v>
      </c>
      <c r="AD985" s="333"/>
      <c r="AE985" s="53">
        <v>595003.81736859703</v>
      </c>
      <c r="AG985" s="53">
        <v>164320.71970332996</v>
      </c>
      <c r="AH985" s="53">
        <v>155821.31248815623</v>
      </c>
    </row>
    <row r="986" spans="1:34" x14ac:dyDescent="0.45">
      <c r="A986" s="313">
        <v>13</v>
      </c>
      <c r="B986" s="424" t="s">
        <v>611</v>
      </c>
      <c r="C986" s="425" t="s">
        <v>1377</v>
      </c>
      <c r="D986" s="314">
        <v>12661453</v>
      </c>
      <c r="E986" s="314"/>
      <c r="F986" s="314">
        <v>12209687</v>
      </c>
      <c r="G986" s="314"/>
      <c r="H986" s="314">
        <v>293726</v>
      </c>
      <c r="I986" s="314"/>
      <c r="J986" s="314">
        <v>158040</v>
      </c>
      <c r="K986" s="314">
        <v>81118</v>
      </c>
      <c r="L986" s="314">
        <v>76922</v>
      </c>
      <c r="M986" s="314"/>
      <c r="N986" s="314"/>
      <c r="O986" s="314">
        <v>4097829</v>
      </c>
      <c r="P986" s="314">
        <v>513</v>
      </c>
      <c r="Q986" s="314"/>
      <c r="R986" s="314">
        <v>12661453</v>
      </c>
      <c r="S986" s="314">
        <v>8563623.6099999994</v>
      </c>
      <c r="T986" s="314"/>
      <c r="U986" s="320" t="s">
        <v>2301</v>
      </c>
      <c r="V986" s="497">
        <v>8350246.0199999996</v>
      </c>
      <c r="W986" s="320" t="s">
        <v>2302</v>
      </c>
      <c r="X986" s="331">
        <v>0</v>
      </c>
      <c r="Y986" s="332"/>
      <c r="Z986" s="496">
        <v>138733</v>
      </c>
      <c r="AA986" s="334">
        <v>8350246.0175000001</v>
      </c>
      <c r="AB986" s="53" t="s">
        <v>2302</v>
      </c>
      <c r="AC986" s="53">
        <v>2.0736479200422764E-9</v>
      </c>
      <c r="AD986" s="333"/>
      <c r="AE986" s="53">
        <v>138732.51095696876</v>
      </c>
      <c r="AG986" s="53">
        <v>38313.411412244786</v>
      </c>
      <c r="AH986" s="53">
        <v>36331.669328939184</v>
      </c>
    </row>
    <row r="987" spans="1:34" x14ac:dyDescent="0.45">
      <c r="A987" s="313">
        <v>14</v>
      </c>
      <c r="B987" s="424" t="s">
        <v>612</v>
      </c>
      <c r="C987" s="425" t="s">
        <v>1355</v>
      </c>
      <c r="D987" s="314">
        <v>3723988</v>
      </c>
      <c r="E987" s="314"/>
      <c r="F987" s="314">
        <v>3446376</v>
      </c>
      <c r="G987" s="314"/>
      <c r="H987" s="314">
        <v>189035</v>
      </c>
      <c r="I987" s="314"/>
      <c r="J987" s="314">
        <v>88577</v>
      </c>
      <c r="K987" s="314">
        <v>44931</v>
      </c>
      <c r="L987" s="314">
        <v>43646</v>
      </c>
      <c r="M987" s="314"/>
      <c r="N987" s="314"/>
      <c r="O987" s="314">
        <v>2923386</v>
      </c>
      <c r="P987" s="314">
        <v>514</v>
      </c>
      <c r="Q987" s="314"/>
      <c r="R987" s="314">
        <v>3723988</v>
      </c>
      <c r="S987" s="314">
        <v>800602.24</v>
      </c>
      <c r="T987" s="314">
        <v>0</v>
      </c>
      <c r="U987" s="320" t="s">
        <v>2303</v>
      </c>
      <c r="V987" s="497">
        <v>706121.79</v>
      </c>
      <c r="W987" s="320" t="s">
        <v>2304</v>
      </c>
      <c r="X987" s="331">
        <v>0</v>
      </c>
      <c r="Y987" s="332"/>
      <c r="Z987" s="491">
        <v>63794</v>
      </c>
      <c r="AA987" s="334">
        <v>706121.79125000001</v>
      </c>
      <c r="AB987" s="53" t="s">
        <v>2304</v>
      </c>
      <c r="AC987" s="53">
        <v>-3.092281986027956E-10</v>
      </c>
      <c r="AE987" s="53">
        <v>63793.915694450872</v>
      </c>
      <c r="AG987" s="53">
        <v>15565.926135207228</v>
      </c>
      <c r="AH987" s="53">
        <v>15120.60587976826</v>
      </c>
    </row>
    <row r="988" spans="1:34" x14ac:dyDescent="0.45">
      <c r="A988" s="313">
        <v>15</v>
      </c>
      <c r="B988" s="424" t="s">
        <v>613</v>
      </c>
      <c r="C988" s="312"/>
      <c r="D988" s="314">
        <v>92700586</v>
      </c>
      <c r="E988" s="314"/>
      <c r="F988" s="314">
        <v>87478134</v>
      </c>
      <c r="G988" s="314"/>
      <c r="H988" s="314">
        <v>3454678</v>
      </c>
      <c r="I988" s="314"/>
      <c r="J988" s="314">
        <v>1767774</v>
      </c>
      <c r="K988" s="314">
        <v>903911</v>
      </c>
      <c r="L988" s="314">
        <v>863863</v>
      </c>
      <c r="M988" s="314"/>
      <c r="N988" s="314"/>
      <c r="O988" s="314"/>
      <c r="P988" s="314"/>
      <c r="Q988" s="314"/>
      <c r="R988" s="314"/>
      <c r="S988" s="314"/>
      <c r="T988" s="314"/>
      <c r="U988" s="320" t="s">
        <v>2511</v>
      </c>
      <c r="V988" s="320"/>
      <c r="W988" s="320"/>
      <c r="X988" s="331"/>
      <c r="Y988" s="332"/>
      <c r="Z988" s="320"/>
      <c r="AA988" s="334"/>
    </row>
    <row r="989" spans="1:34" x14ac:dyDescent="0.45">
      <c r="A989" s="45"/>
      <c r="B989" s="45"/>
      <c r="C989" s="312"/>
      <c r="D989" s="314"/>
      <c r="E989" s="314"/>
      <c r="F989" s="314"/>
      <c r="G989" s="314"/>
      <c r="H989" s="314"/>
      <c r="I989" s="314"/>
      <c r="J989" s="314"/>
      <c r="K989" s="314"/>
      <c r="L989" s="314"/>
      <c r="M989" s="314"/>
      <c r="N989" s="314"/>
      <c r="O989" s="314"/>
      <c r="P989" s="314"/>
      <c r="Q989" s="314"/>
      <c r="R989" s="314"/>
      <c r="S989" s="314"/>
      <c r="T989" s="314"/>
      <c r="U989" s="320"/>
      <c r="V989" s="320"/>
      <c r="W989" s="320"/>
      <c r="X989" s="331"/>
      <c r="Y989" s="334"/>
      <c r="AA989" s="334"/>
    </row>
    <row r="990" spans="1:34" x14ac:dyDescent="0.45">
      <c r="A990" s="313">
        <v>16</v>
      </c>
      <c r="B990" s="424" t="s">
        <v>614</v>
      </c>
      <c r="C990" s="312"/>
      <c r="D990" s="314">
        <v>448658083</v>
      </c>
      <c r="E990" s="314"/>
      <c r="F990" s="314">
        <v>422458821</v>
      </c>
      <c r="G990" s="314"/>
      <c r="H990" s="314">
        <v>17231931</v>
      </c>
      <c r="I990" s="314"/>
      <c r="J990" s="314">
        <v>8967330</v>
      </c>
      <c r="K990" s="314">
        <v>4591582</v>
      </c>
      <c r="L990" s="314">
        <v>4375748</v>
      </c>
      <c r="M990" s="314"/>
      <c r="N990" s="314"/>
      <c r="O990" s="314"/>
      <c r="P990" s="314"/>
      <c r="Q990" s="314"/>
      <c r="R990" s="314">
        <v>448658083</v>
      </c>
      <c r="S990" s="314" t="s">
        <v>2565</v>
      </c>
      <c r="T990" s="314"/>
      <c r="U990" s="320"/>
      <c r="V990" s="320"/>
      <c r="W990" s="320"/>
      <c r="X990" s="331"/>
    </row>
    <row r="991" spans="1:34" x14ac:dyDescent="0.45">
      <c r="A991" s="45"/>
      <c r="B991" s="45"/>
      <c r="C991" s="312"/>
      <c r="D991" s="314"/>
      <c r="E991" s="314"/>
      <c r="F991" s="314"/>
      <c r="G991" s="314"/>
      <c r="H991" s="314"/>
      <c r="I991" s="314"/>
      <c r="J991" s="314"/>
      <c r="K991" s="314"/>
      <c r="L991" s="314"/>
      <c r="M991" s="314"/>
      <c r="N991" s="314"/>
      <c r="O991" s="314"/>
      <c r="P991" s="314"/>
      <c r="Q991" s="314"/>
      <c r="R991" s="314"/>
      <c r="S991" s="314"/>
      <c r="T991" s="314"/>
      <c r="U991" s="320"/>
      <c r="V991" s="320"/>
      <c r="W991" s="320"/>
      <c r="X991" s="331"/>
    </row>
    <row r="992" spans="1:34" x14ac:dyDescent="0.45">
      <c r="A992" s="45"/>
      <c r="B992" s="424" t="s">
        <v>615</v>
      </c>
      <c r="C992" s="312"/>
      <c r="D992" s="314"/>
      <c r="E992" s="314"/>
      <c r="F992" s="314"/>
      <c r="G992" s="314"/>
      <c r="H992" s="314"/>
      <c r="I992" s="314"/>
      <c r="J992" s="314"/>
      <c r="K992" s="314"/>
      <c r="L992" s="314"/>
      <c r="M992" s="314"/>
      <c r="N992" s="314"/>
      <c r="O992" s="314"/>
      <c r="P992" s="314"/>
      <c r="Q992" s="314"/>
      <c r="R992" s="314"/>
      <c r="S992" s="314"/>
      <c r="T992" s="314"/>
      <c r="U992" s="320"/>
      <c r="V992" s="320"/>
      <c r="W992" s="320"/>
      <c r="X992" s="331"/>
    </row>
    <row r="993" spans="1:25" x14ac:dyDescent="0.45">
      <c r="A993" s="313">
        <v>17</v>
      </c>
      <c r="B993" s="424" t="s">
        <v>616</v>
      </c>
      <c r="C993" s="425" t="s">
        <v>1357</v>
      </c>
      <c r="D993" s="314">
        <v>0</v>
      </c>
      <c r="E993" s="314"/>
      <c r="F993" s="314">
        <v>0</v>
      </c>
      <c r="G993" s="314"/>
      <c r="H993" s="314">
        <v>0</v>
      </c>
      <c r="I993" s="314"/>
      <c r="J993" s="314">
        <v>0</v>
      </c>
      <c r="K993" s="314">
        <v>0</v>
      </c>
      <c r="L993" s="314">
        <v>0</v>
      </c>
      <c r="M993" s="314"/>
      <c r="N993" s="314"/>
      <c r="O993" s="314">
        <v>0</v>
      </c>
      <c r="P993" s="314">
        <v>535</v>
      </c>
      <c r="Q993" s="314"/>
      <c r="R993" s="314">
        <v>0</v>
      </c>
      <c r="S993" s="314" t="s">
        <v>2565</v>
      </c>
      <c r="T993" s="314"/>
      <c r="U993" s="320"/>
      <c r="V993" s="320"/>
      <c r="W993" s="320"/>
      <c r="X993" s="331"/>
    </row>
    <row r="994" spans="1:25" x14ac:dyDescent="0.45">
      <c r="A994" s="313">
        <v>18</v>
      </c>
      <c r="B994" s="424" t="s">
        <v>617</v>
      </c>
      <c r="C994" s="425" t="s">
        <v>1357</v>
      </c>
      <c r="D994" s="314">
        <v>0</v>
      </c>
      <c r="E994" s="314"/>
      <c r="F994" s="314">
        <v>0</v>
      </c>
      <c r="G994" s="314"/>
      <c r="H994" s="314">
        <v>0</v>
      </c>
      <c r="I994" s="314"/>
      <c r="J994" s="314">
        <v>0</v>
      </c>
      <c r="K994" s="314">
        <v>0</v>
      </c>
      <c r="L994" s="314">
        <v>0</v>
      </c>
      <c r="M994" s="314"/>
      <c r="N994" s="314"/>
      <c r="O994" s="314">
        <v>0</v>
      </c>
      <c r="P994" s="314">
        <v>536</v>
      </c>
      <c r="Q994" s="314"/>
      <c r="R994" s="314">
        <v>0</v>
      </c>
      <c r="S994" s="314" t="s">
        <v>2565</v>
      </c>
      <c r="T994" s="314"/>
      <c r="U994" s="320"/>
      <c r="V994" s="320"/>
      <c r="W994" s="320"/>
      <c r="X994" s="331"/>
      <c r="Y994" s="320"/>
    </row>
    <row r="995" spans="1:25" x14ac:dyDescent="0.45">
      <c r="A995" s="313">
        <v>19</v>
      </c>
      <c r="B995" s="424" t="s">
        <v>618</v>
      </c>
      <c r="C995" s="425" t="s">
        <v>1357</v>
      </c>
      <c r="D995" s="314">
        <v>0</v>
      </c>
      <c r="E995" s="314"/>
      <c r="F995" s="314">
        <v>0</v>
      </c>
      <c r="G995" s="314"/>
      <c r="H995" s="314">
        <v>0</v>
      </c>
      <c r="I995" s="314"/>
      <c r="J995" s="314">
        <v>0</v>
      </c>
      <c r="K995" s="314">
        <v>0</v>
      </c>
      <c r="L995" s="314">
        <v>0</v>
      </c>
      <c r="M995" s="314"/>
      <c r="N995" s="314"/>
      <c r="O995" s="314">
        <v>0</v>
      </c>
      <c r="P995" s="314">
        <v>537</v>
      </c>
      <c r="Q995" s="314"/>
      <c r="R995" s="314">
        <v>0</v>
      </c>
      <c r="S995" s="314" t="s">
        <v>2565</v>
      </c>
      <c r="T995" s="314"/>
      <c r="U995" s="320"/>
      <c r="V995" s="320"/>
      <c r="W995" s="320"/>
      <c r="X995" s="331"/>
      <c r="Y995" s="320"/>
    </row>
    <row r="996" spans="1:25" x14ac:dyDescent="0.45">
      <c r="A996" s="313">
        <v>20</v>
      </c>
      <c r="B996" s="424" t="s">
        <v>619</v>
      </c>
      <c r="C996" s="425" t="s">
        <v>1357</v>
      </c>
      <c r="D996" s="314">
        <v>0</v>
      </c>
      <c r="E996" s="314"/>
      <c r="F996" s="314">
        <v>0</v>
      </c>
      <c r="G996" s="314"/>
      <c r="H996" s="314">
        <v>0</v>
      </c>
      <c r="I996" s="314"/>
      <c r="J996" s="314">
        <v>0</v>
      </c>
      <c r="K996" s="314">
        <v>0</v>
      </c>
      <c r="L996" s="314">
        <v>0</v>
      </c>
      <c r="M996" s="314"/>
      <c r="N996" s="314"/>
      <c r="O996" s="314">
        <v>0</v>
      </c>
      <c r="P996" s="314">
        <v>538</v>
      </c>
      <c r="Q996" s="314"/>
      <c r="R996" s="314">
        <v>0</v>
      </c>
      <c r="S996" s="314" t="s">
        <v>2565</v>
      </c>
      <c r="T996" s="314"/>
      <c r="U996" s="320"/>
      <c r="V996" s="320"/>
      <c r="W996" s="320"/>
      <c r="X996" s="331"/>
      <c r="Y996" s="320"/>
    </row>
    <row r="997" spans="1:25" x14ac:dyDescent="0.45">
      <c r="A997" s="313">
        <v>21</v>
      </c>
      <c r="B997" s="424" t="s">
        <v>2200</v>
      </c>
      <c r="C997" s="425" t="s">
        <v>1357</v>
      </c>
      <c r="D997" s="314">
        <v>11310</v>
      </c>
      <c r="E997" s="314"/>
      <c r="F997" s="314">
        <v>10609</v>
      </c>
      <c r="G997" s="314"/>
      <c r="H997" s="314">
        <v>480</v>
      </c>
      <c r="I997" s="314"/>
      <c r="J997" s="314">
        <v>221</v>
      </c>
      <c r="K997" s="314">
        <v>112</v>
      </c>
      <c r="L997" s="314">
        <v>109</v>
      </c>
      <c r="M997" s="314"/>
      <c r="N997" s="314"/>
      <c r="O997" s="314">
        <v>11310</v>
      </c>
      <c r="P997" s="314">
        <v>539</v>
      </c>
      <c r="Q997" s="314"/>
      <c r="R997" s="314">
        <v>11310</v>
      </c>
      <c r="S997" s="314" t="s">
        <v>2565</v>
      </c>
      <c r="T997" s="314"/>
      <c r="U997" s="320"/>
      <c r="V997" s="320"/>
      <c r="W997" s="320"/>
      <c r="X997" s="331"/>
      <c r="Y997" s="320"/>
    </row>
    <row r="998" spans="1:25" x14ac:dyDescent="0.45">
      <c r="A998" s="313">
        <v>22</v>
      </c>
      <c r="B998" s="424" t="s">
        <v>620</v>
      </c>
      <c r="C998" s="425" t="s">
        <v>1357</v>
      </c>
      <c r="D998" s="314">
        <v>0</v>
      </c>
      <c r="E998" s="314"/>
      <c r="F998" s="314">
        <v>0</v>
      </c>
      <c r="G998" s="314"/>
      <c r="H998" s="314">
        <v>0</v>
      </c>
      <c r="I998" s="314"/>
      <c r="J998" s="314">
        <v>0</v>
      </c>
      <c r="K998" s="314">
        <v>0</v>
      </c>
      <c r="L998" s="314">
        <v>0</v>
      </c>
      <c r="M998" s="314"/>
      <c r="N998" s="314"/>
      <c r="O998" s="314">
        <v>0</v>
      </c>
      <c r="P998" s="314">
        <v>540</v>
      </c>
      <c r="Q998" s="314"/>
      <c r="R998" s="314">
        <v>0</v>
      </c>
      <c r="S998" s="314" t="s">
        <v>2565</v>
      </c>
      <c r="T998" s="314"/>
      <c r="U998" s="320"/>
      <c r="V998" s="320"/>
      <c r="W998" s="320"/>
      <c r="X998" s="331"/>
      <c r="Y998" s="320"/>
    </row>
    <row r="999" spans="1:25" x14ac:dyDescent="0.45">
      <c r="A999" s="313">
        <v>23</v>
      </c>
      <c r="B999" s="424" t="s">
        <v>621</v>
      </c>
      <c r="C999" s="312"/>
      <c r="D999" s="314">
        <v>11310</v>
      </c>
      <c r="E999" s="314"/>
      <c r="F999" s="314">
        <v>10609</v>
      </c>
      <c r="G999" s="314"/>
      <c r="H999" s="314">
        <v>480</v>
      </c>
      <c r="I999" s="314"/>
      <c r="J999" s="314">
        <v>221</v>
      </c>
      <c r="K999" s="314">
        <v>112</v>
      </c>
      <c r="L999" s="314">
        <v>109</v>
      </c>
      <c r="M999" s="314"/>
      <c r="N999" s="314"/>
      <c r="O999" s="314"/>
      <c r="P999" s="314"/>
      <c r="Q999" s="314"/>
      <c r="R999" s="314"/>
      <c r="S999" s="314"/>
      <c r="T999" s="314"/>
      <c r="U999" s="320"/>
      <c r="V999" s="320"/>
      <c r="W999" s="320"/>
      <c r="X999" s="331"/>
      <c r="Y999" s="320"/>
    </row>
    <row r="1000" spans="1:25" x14ac:dyDescent="0.45">
      <c r="A1000" s="313">
        <v>24</v>
      </c>
      <c r="B1000" s="424" t="s">
        <v>622</v>
      </c>
      <c r="C1000" s="425" t="s">
        <v>1357</v>
      </c>
      <c r="D1000" s="314">
        <v>194762</v>
      </c>
      <c r="E1000" s="314"/>
      <c r="F1000" s="314">
        <v>182692</v>
      </c>
      <c r="G1000" s="314"/>
      <c r="H1000" s="314">
        <v>8271</v>
      </c>
      <c r="I1000" s="314"/>
      <c r="J1000" s="314">
        <v>3799</v>
      </c>
      <c r="K1000" s="314">
        <v>1927</v>
      </c>
      <c r="L1000" s="314">
        <v>1872</v>
      </c>
      <c r="M1000" s="314"/>
      <c r="N1000" s="314"/>
      <c r="O1000" s="314">
        <v>194762</v>
      </c>
      <c r="P1000" s="314">
        <v>541</v>
      </c>
      <c r="Q1000" s="314"/>
      <c r="R1000" s="314">
        <v>194762</v>
      </c>
      <c r="S1000" s="314" t="s">
        <v>2565</v>
      </c>
      <c r="T1000" s="314"/>
      <c r="U1000" s="320"/>
      <c r="V1000" s="320"/>
      <c r="W1000" s="320"/>
      <c r="X1000" s="331"/>
    </row>
    <row r="1001" spans="1:25" x14ac:dyDescent="0.45">
      <c r="A1001" s="313">
        <v>25</v>
      </c>
      <c r="B1001" s="424" t="s">
        <v>123</v>
      </c>
      <c r="C1001" s="425" t="s">
        <v>1357</v>
      </c>
      <c r="D1001" s="314">
        <v>174225</v>
      </c>
      <c r="E1001" s="314"/>
      <c r="F1001" s="314">
        <v>163428</v>
      </c>
      <c r="G1001" s="314"/>
      <c r="H1001" s="314">
        <v>7399</v>
      </c>
      <c r="I1001" s="314"/>
      <c r="J1001" s="314">
        <v>3398</v>
      </c>
      <c r="K1001" s="314">
        <v>1724</v>
      </c>
      <c r="L1001" s="314">
        <v>1674</v>
      </c>
      <c r="M1001" s="314"/>
      <c r="N1001" s="314"/>
      <c r="O1001" s="314">
        <v>174225</v>
      </c>
      <c r="P1001" s="314">
        <v>542</v>
      </c>
      <c r="Q1001" s="314"/>
      <c r="R1001" s="314">
        <v>174225</v>
      </c>
      <c r="S1001" s="314" t="s">
        <v>2565</v>
      </c>
      <c r="T1001" s="314"/>
      <c r="U1001" s="320"/>
      <c r="V1001" s="320"/>
      <c r="W1001" s="320"/>
      <c r="X1001" s="331"/>
      <c r="Y1001" s="320"/>
    </row>
    <row r="1002" spans="1:25" x14ac:dyDescent="0.45">
      <c r="A1002" s="313">
        <v>26</v>
      </c>
      <c r="B1002" s="424" t="s">
        <v>124</v>
      </c>
      <c r="C1002" s="425" t="s">
        <v>1357</v>
      </c>
      <c r="D1002" s="314">
        <v>27402</v>
      </c>
      <c r="E1002" s="314"/>
      <c r="F1002" s="314">
        <v>25704</v>
      </c>
      <c r="G1002" s="314"/>
      <c r="H1002" s="314">
        <v>1164</v>
      </c>
      <c r="I1002" s="314"/>
      <c r="J1002" s="314">
        <v>534</v>
      </c>
      <c r="K1002" s="314">
        <v>271</v>
      </c>
      <c r="L1002" s="314">
        <v>263</v>
      </c>
      <c r="M1002" s="314"/>
      <c r="N1002" s="314"/>
      <c r="O1002" s="314">
        <v>27402</v>
      </c>
      <c r="P1002" s="314">
        <v>543</v>
      </c>
      <c r="Q1002" s="314"/>
      <c r="R1002" s="314">
        <v>27402</v>
      </c>
      <c r="S1002" s="314" t="s">
        <v>2565</v>
      </c>
      <c r="T1002" s="314"/>
      <c r="U1002" s="320"/>
      <c r="V1002" s="320"/>
      <c r="W1002" s="320"/>
      <c r="X1002" s="331"/>
      <c r="Y1002" s="320"/>
    </row>
    <row r="1003" spans="1:25" x14ac:dyDescent="0.45">
      <c r="A1003" s="313">
        <v>27</v>
      </c>
      <c r="B1003" s="424" t="s">
        <v>125</v>
      </c>
      <c r="C1003" s="425" t="s">
        <v>1377</v>
      </c>
      <c r="D1003" s="314">
        <v>80158</v>
      </c>
      <c r="E1003" s="314"/>
      <c r="F1003" s="314">
        <v>75495</v>
      </c>
      <c r="G1003" s="314"/>
      <c r="H1003" s="314">
        <v>3032</v>
      </c>
      <c r="I1003" s="314"/>
      <c r="J1003" s="314">
        <v>1631</v>
      </c>
      <c r="K1003" s="314">
        <v>837</v>
      </c>
      <c r="L1003" s="314">
        <v>794</v>
      </c>
      <c r="M1003" s="314"/>
      <c r="N1003" s="314"/>
      <c r="O1003" s="314">
        <v>80158</v>
      </c>
      <c r="P1003" s="314">
        <v>544</v>
      </c>
      <c r="Q1003" s="314"/>
      <c r="R1003" s="314">
        <v>80158</v>
      </c>
      <c r="S1003" s="314" t="s">
        <v>2565</v>
      </c>
      <c r="T1003" s="314"/>
      <c r="U1003" s="320"/>
      <c r="V1003" s="320"/>
      <c r="W1003" s="320"/>
      <c r="X1003" s="331"/>
      <c r="Y1003" s="320"/>
    </row>
    <row r="1004" spans="1:25" x14ac:dyDescent="0.45">
      <c r="A1004" s="313">
        <v>28</v>
      </c>
      <c r="B1004" s="424" t="s">
        <v>126</v>
      </c>
      <c r="C1004" s="425" t="s">
        <v>1357</v>
      </c>
      <c r="D1004" s="314">
        <v>140220</v>
      </c>
      <c r="E1004" s="314"/>
      <c r="F1004" s="314">
        <v>131530</v>
      </c>
      <c r="G1004" s="314"/>
      <c r="H1004" s="314">
        <v>5955</v>
      </c>
      <c r="I1004" s="314"/>
      <c r="J1004" s="314">
        <v>2735</v>
      </c>
      <c r="K1004" s="314">
        <v>1387</v>
      </c>
      <c r="L1004" s="314">
        <v>1348</v>
      </c>
      <c r="M1004" s="314"/>
      <c r="N1004" s="314"/>
      <c r="O1004" s="314">
        <v>140220</v>
      </c>
      <c r="P1004" s="314">
        <v>545</v>
      </c>
      <c r="Q1004" s="314"/>
      <c r="R1004" s="314">
        <v>140220</v>
      </c>
      <c r="S1004" s="314" t="s">
        <v>2565</v>
      </c>
      <c r="T1004" s="314"/>
      <c r="U1004" s="320"/>
      <c r="V1004" s="320"/>
      <c r="W1004" s="320"/>
      <c r="X1004" s="331"/>
      <c r="Y1004" s="320"/>
    </row>
    <row r="1005" spans="1:25" x14ac:dyDescent="0.45">
      <c r="A1005" s="313">
        <v>29</v>
      </c>
      <c r="B1005" s="424" t="s">
        <v>1074</v>
      </c>
      <c r="C1005" s="312"/>
      <c r="D1005" s="314">
        <v>616767</v>
      </c>
      <c r="E1005" s="314"/>
      <c r="F1005" s="314">
        <v>578849</v>
      </c>
      <c r="G1005" s="314"/>
      <c r="H1005" s="314">
        <v>25820</v>
      </c>
      <c r="I1005" s="314"/>
      <c r="J1005" s="314">
        <v>12098</v>
      </c>
      <c r="K1005" s="314">
        <v>6147</v>
      </c>
      <c r="L1005" s="314">
        <v>5951</v>
      </c>
      <c r="M1005" s="314"/>
      <c r="N1005" s="314"/>
      <c r="O1005" s="314"/>
      <c r="P1005" s="314"/>
      <c r="Q1005" s="314"/>
      <c r="R1005" s="314"/>
      <c r="S1005" s="314"/>
      <c r="T1005" s="314"/>
      <c r="U1005" s="320"/>
      <c r="V1005" s="320"/>
      <c r="W1005" s="320"/>
      <c r="X1005" s="331"/>
      <c r="Y1005" s="320"/>
    </row>
    <row r="1006" spans="1:25" x14ac:dyDescent="0.45">
      <c r="A1006" s="45"/>
      <c r="B1006" s="45"/>
      <c r="C1006" s="312"/>
      <c r="D1006" s="314"/>
      <c r="E1006" s="314"/>
      <c r="F1006" s="314"/>
      <c r="G1006" s="314"/>
      <c r="H1006" s="314"/>
      <c r="I1006" s="314"/>
      <c r="J1006" s="314"/>
      <c r="K1006" s="314"/>
      <c r="L1006" s="314"/>
      <c r="M1006" s="314"/>
      <c r="N1006" s="314"/>
      <c r="O1006" s="314"/>
      <c r="P1006" s="314"/>
      <c r="Q1006" s="314"/>
      <c r="R1006" s="314"/>
      <c r="S1006" s="314"/>
      <c r="T1006" s="314"/>
      <c r="U1006" s="320"/>
      <c r="V1006" s="320"/>
      <c r="W1006" s="320"/>
      <c r="X1006" s="331"/>
    </row>
    <row r="1007" spans="1:25" x14ac:dyDescent="0.45">
      <c r="A1007" s="313">
        <v>30</v>
      </c>
      <c r="B1007" s="424" t="s">
        <v>1075</v>
      </c>
      <c r="C1007" s="312"/>
      <c r="D1007" s="314">
        <v>628077</v>
      </c>
      <c r="E1007" s="314"/>
      <c r="F1007" s="314">
        <v>589458</v>
      </c>
      <c r="G1007" s="314"/>
      <c r="H1007" s="314">
        <v>26300</v>
      </c>
      <c r="I1007" s="314"/>
      <c r="J1007" s="314">
        <v>12319</v>
      </c>
      <c r="K1007" s="314">
        <v>6258</v>
      </c>
      <c r="L1007" s="314">
        <v>6060</v>
      </c>
      <c r="M1007" s="314"/>
      <c r="N1007" s="314"/>
      <c r="O1007" s="314"/>
      <c r="P1007" s="314"/>
      <c r="Q1007" s="314"/>
      <c r="R1007" s="314">
        <v>628077</v>
      </c>
      <c r="S1007" s="314" t="s">
        <v>2565</v>
      </c>
      <c r="T1007" s="314"/>
      <c r="U1007" s="320"/>
      <c r="V1007" s="320"/>
      <c r="W1007" s="320"/>
      <c r="X1007" s="331"/>
    </row>
    <row r="1008" spans="1:25" x14ac:dyDescent="0.45">
      <c r="A1008" s="45"/>
      <c r="B1008" s="45"/>
      <c r="C1008" s="312"/>
      <c r="D1008" s="314"/>
      <c r="E1008" s="314"/>
      <c r="F1008" s="314"/>
      <c r="G1008" s="314"/>
      <c r="H1008" s="314"/>
      <c r="I1008" s="314"/>
      <c r="J1008" s="314"/>
      <c r="K1008" s="314"/>
      <c r="L1008" s="314"/>
      <c r="M1008" s="314"/>
      <c r="N1008" s="314"/>
      <c r="O1008" s="314"/>
      <c r="P1008" s="314"/>
      <c r="Q1008" s="314"/>
      <c r="R1008" s="314"/>
      <c r="S1008" s="314"/>
      <c r="T1008" s="314"/>
      <c r="U1008" s="320"/>
      <c r="V1008" s="320"/>
      <c r="W1008" s="320"/>
      <c r="X1008" s="331"/>
    </row>
    <row r="1009" spans="1:31" x14ac:dyDescent="0.45">
      <c r="A1009" s="45"/>
      <c r="B1009" s="424" t="s">
        <v>1076</v>
      </c>
      <c r="C1009" s="312"/>
      <c r="D1009" s="314"/>
      <c r="E1009" s="314"/>
      <c r="F1009" s="314"/>
      <c r="G1009" s="314"/>
      <c r="H1009" s="314"/>
      <c r="I1009" s="314"/>
      <c r="J1009" s="314"/>
      <c r="K1009" s="314"/>
      <c r="L1009" s="314"/>
      <c r="M1009" s="314"/>
      <c r="N1009" s="314"/>
      <c r="O1009" s="314"/>
      <c r="P1009" s="314"/>
      <c r="Q1009" s="314"/>
      <c r="R1009" s="314"/>
      <c r="S1009" s="314"/>
      <c r="T1009" s="314"/>
      <c r="U1009" s="320"/>
      <c r="V1009" s="320"/>
      <c r="W1009" s="320"/>
      <c r="X1009" s="331"/>
    </row>
    <row r="1010" spans="1:31" x14ac:dyDescent="0.45">
      <c r="A1010" s="313">
        <v>31</v>
      </c>
      <c r="B1010" s="424" t="s">
        <v>1077</v>
      </c>
      <c r="C1010" s="425" t="s">
        <v>1359</v>
      </c>
      <c r="D1010" s="314">
        <v>689949</v>
      </c>
      <c r="E1010" s="314"/>
      <c r="F1010" s="314">
        <v>647260</v>
      </c>
      <c r="G1010" s="314"/>
      <c r="H1010" s="314">
        <v>29200</v>
      </c>
      <c r="I1010" s="314"/>
      <c r="J1010" s="314">
        <v>13489</v>
      </c>
      <c r="K1010" s="314">
        <v>6842</v>
      </c>
      <c r="L1010" s="314">
        <v>6646</v>
      </c>
      <c r="M1010" s="314"/>
      <c r="N1010" s="314"/>
      <c r="O1010" s="314">
        <v>689949</v>
      </c>
      <c r="P1010" s="314">
        <v>546</v>
      </c>
      <c r="Q1010" s="314"/>
      <c r="R1010" s="314">
        <v>689949</v>
      </c>
      <c r="S1010" s="314" t="s">
        <v>2565</v>
      </c>
      <c r="T1010" s="314"/>
      <c r="U1010" s="320"/>
      <c r="V1010" s="320"/>
      <c r="W1010" s="320"/>
      <c r="X1010" s="331"/>
    </row>
    <row r="1011" spans="1:31" x14ac:dyDescent="0.45">
      <c r="A1011" s="313">
        <v>32</v>
      </c>
      <c r="B1011" s="424" t="s">
        <v>1078</v>
      </c>
      <c r="C1011" s="425" t="s">
        <v>1377</v>
      </c>
      <c r="D1011" s="314">
        <v>113730395</v>
      </c>
      <c r="E1011" s="314"/>
      <c r="F1011" s="314">
        <v>107114208</v>
      </c>
      <c r="G1011" s="314"/>
      <c r="H1011" s="314">
        <v>4301669</v>
      </c>
      <c r="I1011" s="314"/>
      <c r="J1011" s="314">
        <v>2314518</v>
      </c>
      <c r="K1011" s="314">
        <v>1187982</v>
      </c>
      <c r="L1011" s="314">
        <v>1126536</v>
      </c>
      <c r="M1011" s="314"/>
      <c r="N1011" s="314"/>
      <c r="O1011" s="314">
        <v>113730395</v>
      </c>
      <c r="P1011" s="314">
        <v>547</v>
      </c>
      <c r="Q1011" s="314"/>
      <c r="R1011" s="314">
        <v>113730395</v>
      </c>
      <c r="S1011" s="314" t="s">
        <v>2565</v>
      </c>
      <c r="T1011" s="314"/>
      <c r="U1011" s="320"/>
      <c r="V1011" s="320"/>
      <c r="W1011" s="320"/>
      <c r="X1011" s="331"/>
      <c r="Y1011" s="320" t="s">
        <v>1253</v>
      </c>
      <c r="Z1011" s="53" t="s">
        <v>1253</v>
      </c>
      <c r="AD1011" s="53" t="s">
        <v>1253</v>
      </c>
      <c r="AE1011" s="53" t="s">
        <v>1253</v>
      </c>
    </row>
    <row r="1012" spans="1:31" x14ac:dyDescent="0.45">
      <c r="A1012" s="313">
        <v>33</v>
      </c>
      <c r="B1012" s="424" t="s">
        <v>1079</v>
      </c>
      <c r="C1012" s="425" t="s">
        <v>1359</v>
      </c>
      <c r="D1012" s="314">
        <v>727043</v>
      </c>
      <c r="E1012" s="314"/>
      <c r="F1012" s="314">
        <v>682059</v>
      </c>
      <c r="G1012" s="314"/>
      <c r="H1012" s="314">
        <v>30770</v>
      </c>
      <c r="I1012" s="314"/>
      <c r="J1012" s="314">
        <v>14214</v>
      </c>
      <c r="K1012" s="314">
        <v>7210</v>
      </c>
      <c r="L1012" s="314">
        <v>7004</v>
      </c>
      <c r="M1012" s="314"/>
      <c r="N1012" s="314"/>
      <c r="O1012" s="314">
        <v>727043</v>
      </c>
      <c r="P1012" s="314">
        <v>548</v>
      </c>
      <c r="Q1012" s="314"/>
      <c r="R1012" s="314">
        <v>727043</v>
      </c>
      <c r="S1012" s="314" t="s">
        <v>2565</v>
      </c>
      <c r="T1012" s="314" t="s">
        <v>2289</v>
      </c>
      <c r="U1012" s="320" t="s">
        <v>2297</v>
      </c>
      <c r="V1012" s="320"/>
      <c r="W1012" s="320" t="s">
        <v>2290</v>
      </c>
      <c r="X1012" s="331"/>
      <c r="Y1012" s="320" t="s">
        <v>1257</v>
      </c>
      <c r="Z1012" s="53" t="s">
        <v>1258</v>
      </c>
      <c r="AB1012" s="53" t="s">
        <v>2290</v>
      </c>
      <c r="AD1012" s="53" t="s">
        <v>1257</v>
      </c>
      <c r="AE1012" s="53" t="s">
        <v>1258</v>
      </c>
    </row>
    <row r="1013" spans="1:31" x14ac:dyDescent="0.45">
      <c r="A1013" s="313">
        <v>34</v>
      </c>
      <c r="B1013" s="424" t="s">
        <v>2201</v>
      </c>
      <c r="C1013" s="425" t="s">
        <v>1359</v>
      </c>
      <c r="D1013" s="314">
        <v>5729433</v>
      </c>
      <c r="E1013" s="314"/>
      <c r="F1013" s="314">
        <v>5376587</v>
      </c>
      <c r="G1013" s="314"/>
      <c r="H1013" s="314">
        <v>241354</v>
      </c>
      <c r="I1013" s="314"/>
      <c r="J1013" s="314">
        <v>111492</v>
      </c>
      <c r="K1013" s="314">
        <v>56555</v>
      </c>
      <c r="L1013" s="314">
        <v>54937</v>
      </c>
      <c r="M1013" s="314"/>
      <c r="N1013" s="314"/>
      <c r="O1013" s="314">
        <v>5702818</v>
      </c>
      <c r="P1013" s="314">
        <v>549</v>
      </c>
      <c r="Q1013" s="314"/>
      <c r="R1013" s="314">
        <v>5729433</v>
      </c>
      <c r="S1013" s="314">
        <v>26614.560000000001</v>
      </c>
      <c r="T1013" s="314">
        <v>26614.57</v>
      </c>
      <c r="U1013" s="320" t="s">
        <v>2305</v>
      </c>
      <c r="V1013" s="320">
        <v>0</v>
      </c>
      <c r="W1013" s="320">
        <v>0</v>
      </c>
      <c r="X1013" s="331"/>
      <c r="Y1013" s="345">
        <v>0</v>
      </c>
      <c r="Z1013" s="53">
        <v>0</v>
      </c>
      <c r="AA1013" s="53">
        <v>-5.2386894822120667E-10</v>
      </c>
      <c r="AB1013" s="329">
        <v>0</v>
      </c>
      <c r="AD1013" s="53">
        <v>0</v>
      </c>
      <c r="AE1013" s="53">
        <v>0</v>
      </c>
    </row>
    <row r="1014" spans="1:31" x14ac:dyDescent="0.45">
      <c r="A1014" s="313">
        <v>35</v>
      </c>
      <c r="B1014" s="424" t="s">
        <v>2202</v>
      </c>
      <c r="C1014" s="425" t="s">
        <v>1359</v>
      </c>
      <c r="D1014" s="314">
        <v>10332</v>
      </c>
      <c r="E1014" s="314"/>
      <c r="F1014" s="314">
        <v>9693</v>
      </c>
      <c r="G1014" s="314"/>
      <c r="H1014" s="314">
        <v>437</v>
      </c>
      <c r="I1014" s="314"/>
      <c r="J1014" s="314">
        <v>202</v>
      </c>
      <c r="K1014" s="314">
        <v>102</v>
      </c>
      <c r="L1014" s="314">
        <v>100</v>
      </c>
      <c r="M1014" s="314"/>
      <c r="N1014" s="314"/>
      <c r="O1014" s="314">
        <v>10332</v>
      </c>
      <c r="P1014" s="314">
        <v>550</v>
      </c>
      <c r="Q1014" s="314"/>
      <c r="R1014" s="314">
        <v>10332</v>
      </c>
      <c r="S1014" s="314" t="s">
        <v>2565</v>
      </c>
      <c r="T1014" s="314"/>
      <c r="U1014" s="320"/>
      <c r="V1014" s="320"/>
      <c r="W1014" s="320"/>
      <c r="X1014" s="331"/>
      <c r="Y1014" s="332"/>
    </row>
    <row r="1015" spans="1:31" x14ac:dyDescent="0.45">
      <c r="A1015" s="313">
        <v>36</v>
      </c>
      <c r="B1015" s="424" t="s">
        <v>1080</v>
      </c>
      <c r="C1015" s="312"/>
      <c r="D1015" s="314">
        <v>120887152</v>
      </c>
      <c r="E1015" s="314"/>
      <c r="F1015" s="314">
        <v>113829808</v>
      </c>
      <c r="G1015" s="314"/>
      <c r="H1015" s="314">
        <v>4603430</v>
      </c>
      <c r="I1015" s="314"/>
      <c r="J1015" s="314">
        <v>2453914</v>
      </c>
      <c r="K1015" s="314">
        <v>1258692</v>
      </c>
      <c r="L1015" s="314">
        <v>1195223</v>
      </c>
      <c r="M1015" s="314"/>
      <c r="N1015" s="314"/>
      <c r="O1015" s="314"/>
      <c r="P1015" s="314"/>
      <c r="Q1015" s="314"/>
      <c r="R1015" s="314"/>
      <c r="S1015" s="314"/>
      <c r="T1015" s="314"/>
      <c r="U1015" s="320"/>
      <c r="V1015" s="320"/>
      <c r="W1015" s="320"/>
      <c r="X1015" s="331"/>
      <c r="Y1015" s="332"/>
    </row>
    <row r="1016" spans="1:31" x14ac:dyDescent="0.45">
      <c r="A1016" s="313">
        <v>37</v>
      </c>
      <c r="B1016" s="427" t="s">
        <v>1081</v>
      </c>
      <c r="C1016" s="425" t="s">
        <v>1359</v>
      </c>
      <c r="D1016" s="314">
        <v>965135</v>
      </c>
      <c r="E1016" s="314"/>
      <c r="F1016" s="314">
        <v>911492</v>
      </c>
      <c r="G1016" s="314"/>
      <c r="H1016" s="314">
        <v>36693</v>
      </c>
      <c r="I1016" s="314"/>
      <c r="J1016" s="314">
        <v>16950</v>
      </c>
      <c r="K1016" s="314">
        <v>8598</v>
      </c>
      <c r="L1016" s="314">
        <v>8352</v>
      </c>
      <c r="M1016" s="314"/>
      <c r="N1016" s="314"/>
      <c r="O1016" s="314">
        <v>867002</v>
      </c>
      <c r="P1016" s="314">
        <v>551</v>
      </c>
      <c r="Q1016" s="314"/>
      <c r="R1016" s="314">
        <v>965135</v>
      </c>
      <c r="S1016" s="314">
        <v>98132.56</v>
      </c>
      <c r="T1016" s="314">
        <v>98132.56</v>
      </c>
      <c r="U1016" s="320" t="s">
        <v>2306</v>
      </c>
      <c r="V1016" s="320">
        <v>0</v>
      </c>
      <c r="W1016" s="320">
        <v>0</v>
      </c>
      <c r="X1016" s="331"/>
      <c r="Y1016" s="332">
        <v>0</v>
      </c>
      <c r="Z1016" s="53">
        <v>0</v>
      </c>
      <c r="AA1016" s="53">
        <v>0</v>
      </c>
      <c r="AB1016" s="53">
        <v>0</v>
      </c>
      <c r="AD1016" s="53">
        <v>0</v>
      </c>
      <c r="AE1016" s="53">
        <v>0</v>
      </c>
    </row>
    <row r="1017" spans="1:31" x14ac:dyDescent="0.45">
      <c r="A1017" s="313">
        <v>38</v>
      </c>
      <c r="B1017" s="424" t="s">
        <v>1082</v>
      </c>
      <c r="C1017" s="425" t="s">
        <v>1359</v>
      </c>
      <c r="D1017" s="314">
        <v>933352</v>
      </c>
      <c r="E1017" s="314"/>
      <c r="F1017" s="314">
        <v>876396</v>
      </c>
      <c r="G1017" s="314"/>
      <c r="H1017" s="314">
        <v>38959</v>
      </c>
      <c r="I1017" s="314"/>
      <c r="J1017" s="314">
        <v>17997</v>
      </c>
      <c r="K1017" s="314">
        <v>9129</v>
      </c>
      <c r="L1017" s="314">
        <v>8868</v>
      </c>
      <c r="M1017" s="314"/>
      <c r="N1017" s="314"/>
      <c r="O1017" s="314">
        <v>920539</v>
      </c>
      <c r="P1017" s="314">
        <v>552</v>
      </c>
      <c r="Q1017" s="314"/>
      <c r="R1017" s="314">
        <v>933352</v>
      </c>
      <c r="S1017" s="314">
        <v>12812.97</v>
      </c>
      <c r="T1017" s="314">
        <v>12812.97</v>
      </c>
      <c r="U1017" s="320" t="s">
        <v>2307</v>
      </c>
      <c r="V1017" s="320">
        <v>0</v>
      </c>
      <c r="W1017" s="320">
        <v>0</v>
      </c>
      <c r="X1017" s="331"/>
      <c r="Y1017" s="332">
        <v>0</v>
      </c>
      <c r="Z1017" s="53">
        <v>0</v>
      </c>
      <c r="AA1017" s="53">
        <v>-7.2759576141834259E-11</v>
      </c>
      <c r="AB1017" s="53">
        <v>0</v>
      </c>
      <c r="AD1017" s="53">
        <v>0</v>
      </c>
      <c r="AE1017" s="53">
        <v>0</v>
      </c>
    </row>
    <row r="1018" spans="1:31" x14ac:dyDescent="0.45">
      <c r="A1018" s="313">
        <v>39</v>
      </c>
      <c r="B1018" s="424" t="s">
        <v>1083</v>
      </c>
      <c r="C1018" s="425" t="s">
        <v>1359</v>
      </c>
      <c r="D1018" s="314">
        <v>7699999</v>
      </c>
      <c r="E1018" s="314"/>
      <c r="F1018" s="314">
        <v>7236966</v>
      </c>
      <c r="G1018" s="314"/>
      <c r="H1018" s="314">
        <v>314752</v>
      </c>
      <c r="I1018" s="314"/>
      <c r="J1018" s="314">
        <v>148281</v>
      </c>
      <c r="K1018" s="314">
        <v>75216</v>
      </c>
      <c r="L1018" s="314">
        <v>73065</v>
      </c>
      <c r="M1018" s="314"/>
      <c r="N1018" s="314"/>
      <c r="O1018" s="314">
        <v>3908495</v>
      </c>
      <c r="P1018" s="314">
        <v>553</v>
      </c>
      <c r="Q1018" s="314"/>
      <c r="R1018" s="314">
        <v>7699999</v>
      </c>
      <c r="S1018" s="314">
        <v>3791504.22</v>
      </c>
      <c r="T1018" s="314">
        <v>3570298.49</v>
      </c>
      <c r="U1018" s="320" t="s">
        <v>2308</v>
      </c>
      <c r="V1018" s="320">
        <v>0</v>
      </c>
      <c r="W1018" s="496">
        <v>149337</v>
      </c>
      <c r="X1018" s="331"/>
      <c r="Y1018" s="332">
        <v>36456</v>
      </c>
      <c r="Z1018" s="491">
        <v>35413</v>
      </c>
      <c r="AA1018" s="53">
        <v>-8.5128704085946083E-10</v>
      </c>
      <c r="AB1018" s="53">
        <v>149336.78551715551</v>
      </c>
      <c r="AD1018" s="53">
        <v>36455.95402105066</v>
      </c>
      <c r="AE1018" s="53">
        <v>35412.998104652856</v>
      </c>
    </row>
    <row r="1019" spans="1:31" x14ac:dyDescent="0.45">
      <c r="A1019" s="313">
        <v>40</v>
      </c>
      <c r="B1019" s="424" t="s">
        <v>1084</v>
      </c>
      <c r="C1019" s="425" t="s">
        <v>1359</v>
      </c>
      <c r="D1019" s="314">
        <v>6524618</v>
      </c>
      <c r="E1019" s="314"/>
      <c r="F1019" s="314">
        <v>5979786</v>
      </c>
      <c r="G1019" s="314"/>
      <c r="H1019" s="314">
        <v>370461</v>
      </c>
      <c r="I1019" s="314"/>
      <c r="J1019" s="314">
        <v>174371</v>
      </c>
      <c r="K1019" s="314">
        <v>88451</v>
      </c>
      <c r="L1019" s="314">
        <v>85921</v>
      </c>
      <c r="M1019" s="314"/>
      <c r="N1019" s="314"/>
      <c r="O1019" s="314">
        <v>4789199</v>
      </c>
      <c r="P1019" s="314">
        <v>554</v>
      </c>
      <c r="Q1019" s="314"/>
      <c r="R1019" s="314">
        <v>6524618</v>
      </c>
      <c r="S1019" s="314">
        <v>1735418.93</v>
      </c>
      <c r="T1019" s="314">
        <v>1486904.82</v>
      </c>
      <c r="U1019" s="320" t="s">
        <v>2309</v>
      </c>
      <c r="V1019" s="320">
        <v>0</v>
      </c>
      <c r="W1019" s="496">
        <v>167773</v>
      </c>
      <c r="X1019" s="331"/>
      <c r="Y1019" s="332">
        <v>40957</v>
      </c>
      <c r="Z1019" s="491">
        <v>39785</v>
      </c>
      <c r="AA1019" s="53">
        <v>-6.8394001573324203E-10</v>
      </c>
      <c r="AB1019" s="53">
        <v>167772.76679847174</v>
      </c>
      <c r="AD1019" s="53">
        <v>40956.528233875171</v>
      </c>
      <c r="AE1019" s="53">
        <v>39784.816929544249</v>
      </c>
    </row>
    <row r="1020" spans="1:31" x14ac:dyDescent="0.45">
      <c r="A1020" s="313">
        <v>41</v>
      </c>
      <c r="B1020" s="424" t="s">
        <v>1085</v>
      </c>
      <c r="C1020" s="312"/>
      <c r="D1020" s="314">
        <v>16123104</v>
      </c>
      <c r="E1020" s="314"/>
      <c r="F1020" s="314">
        <v>15004640</v>
      </c>
      <c r="G1020" s="314"/>
      <c r="H1020" s="314">
        <v>760864</v>
      </c>
      <c r="I1020" s="314"/>
      <c r="J1020" s="314">
        <v>357599</v>
      </c>
      <c r="K1020" s="314">
        <v>181394</v>
      </c>
      <c r="L1020" s="314">
        <v>176205</v>
      </c>
      <c r="M1020" s="314"/>
      <c r="N1020" s="314"/>
      <c r="O1020" s="314"/>
      <c r="P1020" s="314"/>
      <c r="Q1020" s="314"/>
      <c r="R1020" s="314"/>
      <c r="S1020" s="314"/>
      <c r="T1020" s="314"/>
      <c r="U1020" s="320"/>
      <c r="V1020" s="320"/>
      <c r="W1020" s="320"/>
      <c r="X1020" s="331"/>
      <c r="Y1020" s="332"/>
    </row>
    <row r="1021" spans="1:31" x14ac:dyDescent="0.45">
      <c r="A1021" s="45"/>
      <c r="B1021" s="45"/>
      <c r="C1021" s="312"/>
      <c r="D1021" s="314"/>
      <c r="E1021" s="314"/>
      <c r="F1021" s="314"/>
      <c r="G1021" s="314"/>
      <c r="H1021" s="314"/>
      <c r="I1021" s="314"/>
      <c r="J1021" s="314"/>
      <c r="K1021" s="314"/>
      <c r="L1021" s="314"/>
      <c r="M1021" s="314"/>
      <c r="N1021" s="314"/>
      <c r="O1021" s="314"/>
      <c r="P1021" s="314"/>
      <c r="Q1021" s="314"/>
      <c r="R1021" s="314"/>
      <c r="S1021" s="314"/>
      <c r="T1021" s="314"/>
      <c r="U1021" s="320"/>
      <c r="V1021" s="320"/>
      <c r="W1021" s="320"/>
      <c r="X1021" s="331"/>
      <c r="Y1021" s="332"/>
    </row>
    <row r="1022" spans="1:31" x14ac:dyDescent="0.45">
      <c r="A1022" s="313">
        <v>42</v>
      </c>
      <c r="B1022" s="424" t="s">
        <v>1086</v>
      </c>
      <c r="C1022" s="312"/>
      <c r="D1022" s="314">
        <v>137010256</v>
      </c>
      <c r="E1022" s="314"/>
      <c r="F1022" s="314">
        <v>128834449</v>
      </c>
      <c r="G1022" s="314"/>
      <c r="H1022" s="314">
        <v>5364294</v>
      </c>
      <c r="I1022" s="314"/>
      <c r="J1022" s="314">
        <v>2811514</v>
      </c>
      <c r="K1022" s="314">
        <v>1440086</v>
      </c>
      <c r="L1022" s="314">
        <v>1371428</v>
      </c>
      <c r="M1022" s="314"/>
      <c r="N1022" s="314"/>
      <c r="O1022" s="314"/>
      <c r="P1022" s="314"/>
      <c r="Q1022" s="314"/>
      <c r="R1022" s="314">
        <v>137010256</v>
      </c>
      <c r="S1022" s="314" t="s">
        <v>2565</v>
      </c>
      <c r="T1022" s="314"/>
      <c r="U1022" s="320"/>
      <c r="V1022" s="320"/>
      <c r="W1022" s="320"/>
      <c r="X1022" s="331"/>
    </row>
    <row r="1023" spans="1:31" x14ac:dyDescent="0.45">
      <c r="A1023" s="45"/>
      <c r="B1023" s="45"/>
      <c r="C1023" s="312"/>
      <c r="D1023" s="314"/>
      <c r="E1023" s="314"/>
      <c r="F1023" s="314"/>
      <c r="G1023" s="314"/>
      <c r="H1023" s="314"/>
      <c r="I1023" s="314"/>
      <c r="J1023" s="314"/>
      <c r="K1023" s="314"/>
      <c r="L1023" s="314"/>
      <c r="M1023" s="314"/>
      <c r="N1023" s="314"/>
      <c r="O1023" s="314"/>
      <c r="P1023" s="314"/>
      <c r="Q1023" s="314"/>
      <c r="R1023" s="314"/>
      <c r="S1023" s="314"/>
      <c r="T1023" s="314"/>
      <c r="U1023" s="320"/>
      <c r="V1023" s="320"/>
      <c r="W1023" s="320"/>
      <c r="X1023" s="331"/>
    </row>
    <row r="1024" spans="1:31" x14ac:dyDescent="0.45">
      <c r="A1024" s="45"/>
      <c r="B1024" s="426" t="s">
        <v>1094</v>
      </c>
      <c r="C1024" s="45"/>
      <c r="D1024" s="314"/>
      <c r="E1024" s="314"/>
      <c r="F1024" s="314"/>
      <c r="G1024" s="314"/>
      <c r="H1024" s="314"/>
      <c r="I1024" s="314"/>
      <c r="J1024" s="314"/>
      <c r="K1024" s="314"/>
      <c r="L1024" s="314"/>
      <c r="M1024" s="314"/>
      <c r="N1024" s="314"/>
      <c r="O1024" s="314"/>
      <c r="P1024" s="314"/>
      <c r="Q1024" s="314"/>
      <c r="R1024" s="314"/>
      <c r="S1024" s="314"/>
      <c r="T1024" s="314"/>
      <c r="U1024" s="320"/>
      <c r="V1024" s="320"/>
      <c r="W1024" s="320"/>
      <c r="X1024" s="331"/>
    </row>
    <row r="1025" spans="1:25" x14ac:dyDescent="0.45">
      <c r="A1025" s="45"/>
      <c r="B1025" s="45"/>
      <c r="C1025" s="45"/>
      <c r="D1025" s="314"/>
      <c r="E1025" s="314"/>
      <c r="F1025" s="314"/>
      <c r="G1025" s="314"/>
      <c r="H1025" s="314"/>
      <c r="I1025" s="314"/>
      <c r="J1025" s="314"/>
      <c r="K1025" s="314"/>
      <c r="L1025" s="314"/>
      <c r="M1025" s="314"/>
      <c r="N1025" s="314"/>
      <c r="O1025" s="314"/>
      <c r="P1025" s="314"/>
      <c r="Q1025" s="314"/>
      <c r="R1025" s="314"/>
      <c r="S1025" s="314"/>
      <c r="T1025" s="314"/>
      <c r="U1025" s="320"/>
      <c r="V1025" s="320"/>
      <c r="W1025" s="320"/>
      <c r="X1025" s="331"/>
    </row>
    <row r="1026" spans="1:25" x14ac:dyDescent="0.45">
      <c r="A1026" s="45"/>
      <c r="B1026" s="424" t="s">
        <v>1087</v>
      </c>
      <c r="C1026" s="312"/>
      <c r="D1026" s="314"/>
      <c r="E1026" s="314"/>
      <c r="F1026" s="314"/>
      <c r="G1026" s="314"/>
      <c r="H1026" s="314"/>
      <c r="I1026" s="314"/>
      <c r="J1026" s="314"/>
      <c r="K1026" s="314"/>
      <c r="L1026" s="314"/>
      <c r="M1026" s="314"/>
      <c r="N1026" s="314"/>
      <c r="O1026" s="314"/>
      <c r="P1026" s="314">
        <v>555</v>
      </c>
      <c r="Q1026" s="314"/>
      <c r="R1026" s="314">
        <v>51756701</v>
      </c>
      <c r="S1026" s="314" t="s">
        <v>2565</v>
      </c>
      <c r="T1026" s="314"/>
      <c r="U1026" s="320"/>
      <c r="V1026" s="320"/>
      <c r="W1026" s="320"/>
      <c r="X1026" s="331"/>
    </row>
    <row r="1027" spans="1:25" x14ac:dyDescent="0.45">
      <c r="A1027" s="313">
        <v>43</v>
      </c>
      <c r="B1027" s="424" t="s">
        <v>1088</v>
      </c>
      <c r="C1027" s="425" t="s">
        <v>1269</v>
      </c>
      <c r="D1027" s="314">
        <v>10238540</v>
      </c>
      <c r="E1027" s="314"/>
      <c r="F1027" s="314">
        <v>9604907</v>
      </c>
      <c r="G1027" s="314"/>
      <c r="H1027" s="314">
        <v>434986</v>
      </c>
      <c r="I1027" s="314"/>
      <c r="J1027" s="314">
        <v>198647</v>
      </c>
      <c r="K1027" s="314">
        <v>100765</v>
      </c>
      <c r="L1027" s="314">
        <v>97882</v>
      </c>
      <c r="M1027" s="314"/>
      <c r="N1027" s="314"/>
      <c r="O1027" s="314">
        <v>10238540</v>
      </c>
      <c r="P1027" s="314"/>
      <c r="Q1027" s="314"/>
      <c r="R1027" s="314">
        <v>10238540</v>
      </c>
      <c r="S1027" s="314"/>
      <c r="T1027" s="314"/>
      <c r="U1027" s="320"/>
      <c r="V1027" s="320"/>
      <c r="W1027" s="320"/>
      <c r="X1027" s="331"/>
    </row>
    <row r="1028" spans="1:25" x14ac:dyDescent="0.45">
      <c r="A1028" s="313">
        <v>44</v>
      </c>
      <c r="B1028" s="424" t="s">
        <v>1089</v>
      </c>
      <c r="C1028" s="425" t="s">
        <v>1377</v>
      </c>
      <c r="D1028" s="314">
        <v>41518161</v>
      </c>
      <c r="E1028" s="314"/>
      <c r="F1028" s="314">
        <v>39102871</v>
      </c>
      <c r="G1028" s="314"/>
      <c r="H1028" s="314">
        <v>1570358</v>
      </c>
      <c r="I1028" s="314"/>
      <c r="J1028" s="314">
        <v>844933</v>
      </c>
      <c r="K1028" s="314">
        <v>433682</v>
      </c>
      <c r="L1028" s="314">
        <v>411251</v>
      </c>
      <c r="M1028" s="314"/>
      <c r="N1028" s="314"/>
      <c r="O1028" s="314">
        <v>41518161</v>
      </c>
      <c r="P1028" s="314"/>
      <c r="Q1028" s="314"/>
      <c r="R1028" s="314"/>
      <c r="S1028" s="314"/>
      <c r="T1028" s="314"/>
      <c r="U1028" s="320"/>
      <c r="V1028" s="320"/>
      <c r="W1028" s="320"/>
      <c r="X1028" s="331"/>
      <c r="Y1028" s="320"/>
    </row>
    <row r="1029" spans="1:25" x14ac:dyDescent="0.45">
      <c r="A1029" s="313">
        <v>45</v>
      </c>
      <c r="B1029" s="424" t="s">
        <v>1090</v>
      </c>
      <c r="C1029" s="312"/>
      <c r="D1029" s="314">
        <v>51756701</v>
      </c>
      <c r="E1029" s="314"/>
      <c r="F1029" s="314">
        <v>48707778</v>
      </c>
      <c r="G1029" s="314"/>
      <c r="H1029" s="314">
        <v>2005343</v>
      </c>
      <c r="I1029" s="314"/>
      <c r="J1029" s="314">
        <v>1043580</v>
      </c>
      <c r="K1029" s="314">
        <v>534447</v>
      </c>
      <c r="L1029" s="314">
        <v>509133</v>
      </c>
      <c r="M1029" s="314"/>
      <c r="N1029" s="314"/>
      <c r="O1029" s="314">
        <v>51756701</v>
      </c>
      <c r="P1029" s="314"/>
      <c r="Q1029" s="314"/>
      <c r="R1029" s="314"/>
      <c r="S1029" s="314"/>
      <c r="T1029" s="314"/>
      <c r="U1029" s="320"/>
      <c r="V1029" s="320"/>
      <c r="W1029" s="320"/>
      <c r="X1029" s="331"/>
      <c r="Y1029" s="320"/>
    </row>
    <row r="1030" spans="1:25" x14ac:dyDescent="0.45">
      <c r="A1030" s="45"/>
      <c r="B1030" s="45"/>
      <c r="C1030" s="312"/>
      <c r="D1030" s="314"/>
      <c r="E1030" s="314"/>
      <c r="F1030" s="314"/>
      <c r="G1030" s="314"/>
      <c r="H1030" s="314"/>
      <c r="I1030" s="314"/>
      <c r="J1030" s="314"/>
      <c r="K1030" s="314"/>
      <c r="L1030" s="314"/>
      <c r="M1030" s="314"/>
      <c r="N1030" s="314"/>
      <c r="O1030" s="314"/>
      <c r="P1030" s="314"/>
      <c r="Q1030" s="314"/>
      <c r="R1030" s="314"/>
      <c r="S1030" s="314"/>
      <c r="T1030" s="314"/>
      <c r="U1030" s="320"/>
      <c r="V1030" s="320"/>
      <c r="W1030" s="320"/>
      <c r="X1030" s="331"/>
    </row>
    <row r="1031" spans="1:25" x14ac:dyDescent="0.45">
      <c r="A1031" s="313">
        <v>46</v>
      </c>
      <c r="B1031" s="424" t="s">
        <v>1091</v>
      </c>
      <c r="C1031" s="425" t="s">
        <v>1269</v>
      </c>
      <c r="D1031" s="314">
        <v>2452014</v>
      </c>
      <c r="E1031" s="314"/>
      <c r="F1031" s="314">
        <v>2300266</v>
      </c>
      <c r="G1031" s="314"/>
      <c r="H1031" s="314">
        <v>104174</v>
      </c>
      <c r="I1031" s="314"/>
      <c r="J1031" s="314">
        <v>47574</v>
      </c>
      <c r="K1031" s="314">
        <v>24132</v>
      </c>
      <c r="L1031" s="314">
        <v>23442</v>
      </c>
      <c r="M1031" s="314"/>
      <c r="N1031" s="314"/>
      <c r="O1031" s="314">
        <v>2452014</v>
      </c>
      <c r="P1031" s="314">
        <v>556</v>
      </c>
      <c r="Q1031" s="314"/>
      <c r="R1031" s="314">
        <v>2452014</v>
      </c>
      <c r="S1031" s="314" t="s">
        <v>2565</v>
      </c>
      <c r="T1031" s="314"/>
      <c r="U1031" s="320"/>
      <c r="V1031" s="320"/>
      <c r="W1031" s="320"/>
      <c r="X1031" s="331"/>
    </row>
    <row r="1032" spans="1:25" x14ac:dyDescent="0.45">
      <c r="A1032" s="313">
        <v>47</v>
      </c>
      <c r="B1032" s="424" t="s">
        <v>1092</v>
      </c>
      <c r="C1032" s="425" t="s">
        <v>912</v>
      </c>
      <c r="D1032" s="314">
        <v>182814</v>
      </c>
      <c r="E1032" s="314"/>
      <c r="F1032" s="314">
        <v>171386</v>
      </c>
      <c r="G1032" s="314"/>
      <c r="H1032" s="314">
        <v>7816</v>
      </c>
      <c r="I1032" s="314"/>
      <c r="J1032" s="314">
        <v>3612</v>
      </c>
      <c r="K1032" s="314">
        <v>1832</v>
      </c>
      <c r="L1032" s="314">
        <v>1780</v>
      </c>
      <c r="M1032" s="314"/>
      <c r="N1032" s="314"/>
      <c r="O1032" s="314">
        <v>182814</v>
      </c>
      <c r="P1032" s="314">
        <v>557</v>
      </c>
      <c r="Q1032" s="314"/>
      <c r="R1032" s="314">
        <v>182814</v>
      </c>
      <c r="S1032" s="314" t="s">
        <v>2565</v>
      </c>
      <c r="T1032" s="314"/>
      <c r="U1032" s="320"/>
      <c r="V1032" s="320"/>
      <c r="W1032" s="320"/>
      <c r="X1032" s="331"/>
      <c r="Y1032" s="320"/>
    </row>
    <row r="1033" spans="1:25" x14ac:dyDescent="0.45">
      <c r="A1033" s="45"/>
      <c r="B1033" s="45"/>
      <c r="C1033" s="312"/>
      <c r="D1033" s="314"/>
      <c r="E1033" s="314"/>
      <c r="F1033" s="314"/>
      <c r="G1033" s="314"/>
      <c r="H1033" s="314"/>
      <c r="I1033" s="314"/>
      <c r="J1033" s="314"/>
      <c r="K1033" s="314"/>
      <c r="L1033" s="314"/>
      <c r="M1033" s="314"/>
      <c r="N1033" s="314"/>
      <c r="O1033" s="314"/>
      <c r="P1033" s="314"/>
      <c r="Q1033" s="314"/>
      <c r="R1033" s="314"/>
      <c r="S1033" s="314"/>
      <c r="T1033" s="314"/>
      <c r="U1033" s="320"/>
      <c r="V1033" s="320"/>
      <c r="W1033" s="320"/>
      <c r="X1033" s="331"/>
      <c r="Y1033" s="320"/>
    </row>
    <row r="1034" spans="1:25" x14ac:dyDescent="0.45">
      <c r="A1034" s="313">
        <v>48</v>
      </c>
      <c r="B1034" s="424" t="s">
        <v>1093</v>
      </c>
      <c r="C1034" s="312"/>
      <c r="D1034" s="314">
        <v>640687945</v>
      </c>
      <c r="E1034" s="314"/>
      <c r="F1034" s="314">
        <v>603062158</v>
      </c>
      <c r="G1034" s="314"/>
      <c r="H1034" s="314">
        <v>24739859</v>
      </c>
      <c r="I1034" s="314"/>
      <c r="J1034" s="314">
        <v>12885928</v>
      </c>
      <c r="K1034" s="314">
        <v>6598338</v>
      </c>
      <c r="L1034" s="314">
        <v>6287590</v>
      </c>
      <c r="M1034" s="314"/>
      <c r="N1034" s="314"/>
      <c r="O1034" s="314"/>
      <c r="P1034" s="314"/>
      <c r="Q1034" s="314"/>
      <c r="R1034" s="314">
        <v>640687945</v>
      </c>
      <c r="S1034" s="314" t="s">
        <v>2565</v>
      </c>
      <c r="T1034" s="314"/>
      <c r="U1034" s="320"/>
      <c r="V1034" s="320"/>
      <c r="W1034" s="320"/>
      <c r="X1034" s="331"/>
    </row>
    <row r="1035" spans="1:25" x14ac:dyDescent="0.45">
      <c r="A1035" s="45"/>
      <c r="B1035" s="45"/>
      <c r="C1035" s="312"/>
      <c r="D1035" s="314"/>
      <c r="E1035" s="314"/>
      <c r="F1035" s="314"/>
      <c r="G1035" s="314"/>
      <c r="H1035" s="314"/>
      <c r="I1035" s="314"/>
      <c r="J1035" s="314"/>
      <c r="K1035" s="314"/>
      <c r="L1035" s="314"/>
      <c r="M1035" s="314"/>
      <c r="N1035" s="314"/>
      <c r="O1035" s="314"/>
      <c r="P1035" s="314"/>
      <c r="Q1035" s="314"/>
      <c r="R1035" s="314"/>
      <c r="S1035" s="314"/>
      <c r="T1035" s="314"/>
      <c r="U1035" s="320"/>
      <c r="V1035" s="320"/>
      <c r="W1035" s="320"/>
      <c r="X1035" s="331"/>
    </row>
    <row r="1036" spans="1:25" x14ac:dyDescent="0.45">
      <c r="A1036" s="45"/>
      <c r="B1036" s="426" t="s">
        <v>1094</v>
      </c>
      <c r="C1036" s="45"/>
      <c r="D1036" s="314"/>
      <c r="E1036" s="314"/>
      <c r="F1036" s="314"/>
      <c r="G1036" s="314"/>
      <c r="H1036" s="314"/>
      <c r="I1036" s="314"/>
      <c r="J1036" s="314"/>
      <c r="K1036" s="314"/>
      <c r="L1036" s="314"/>
      <c r="M1036" s="314"/>
      <c r="N1036" s="314"/>
      <c r="O1036" s="314"/>
      <c r="P1036" s="314"/>
      <c r="Q1036" s="314"/>
      <c r="R1036" s="314"/>
      <c r="S1036" s="314"/>
      <c r="T1036" s="314"/>
      <c r="U1036" s="320"/>
      <c r="V1036" s="320"/>
      <c r="W1036" s="320"/>
      <c r="X1036" s="331"/>
    </row>
    <row r="1037" spans="1:25" x14ac:dyDescent="0.45">
      <c r="A1037" s="45"/>
      <c r="B1037" s="45"/>
      <c r="C1037" s="45"/>
      <c r="D1037" s="314"/>
      <c r="E1037" s="314"/>
      <c r="F1037" s="314"/>
      <c r="G1037" s="314"/>
      <c r="H1037" s="314"/>
      <c r="I1037" s="314"/>
      <c r="J1037" s="314"/>
      <c r="K1037" s="314"/>
      <c r="L1037" s="314"/>
      <c r="M1037" s="314"/>
      <c r="N1037" s="314"/>
      <c r="O1037" s="314"/>
      <c r="P1037" s="314"/>
      <c r="Q1037" s="314"/>
      <c r="R1037" s="314"/>
      <c r="S1037" s="314"/>
      <c r="T1037" s="314"/>
      <c r="U1037" s="320"/>
      <c r="V1037" s="320"/>
      <c r="W1037" s="320"/>
      <c r="X1037" s="331"/>
    </row>
    <row r="1038" spans="1:25" x14ac:dyDescent="0.45">
      <c r="A1038" s="45"/>
      <c r="B1038" s="424" t="s">
        <v>1095</v>
      </c>
      <c r="C1038" s="45"/>
      <c r="D1038" s="314"/>
      <c r="E1038" s="314"/>
      <c r="F1038" s="314"/>
      <c r="G1038" s="314"/>
      <c r="H1038" s="314"/>
      <c r="I1038" s="314"/>
      <c r="J1038" s="314"/>
      <c r="K1038" s="314"/>
      <c r="L1038" s="314"/>
      <c r="M1038" s="314"/>
      <c r="N1038" s="314"/>
      <c r="O1038" s="314"/>
      <c r="P1038" s="314"/>
      <c r="Q1038" s="314"/>
      <c r="R1038" s="314"/>
      <c r="S1038" s="314"/>
      <c r="T1038" s="314"/>
      <c r="U1038" s="320"/>
      <c r="V1038" s="320"/>
      <c r="W1038" s="320"/>
      <c r="X1038" s="331"/>
    </row>
    <row r="1039" spans="1:25" x14ac:dyDescent="0.45">
      <c r="A1039" s="313">
        <v>1</v>
      </c>
      <c r="B1039" s="424" t="s">
        <v>1096</v>
      </c>
      <c r="C1039" s="425" t="s">
        <v>514</v>
      </c>
      <c r="D1039" s="314">
        <v>2076855</v>
      </c>
      <c r="E1039" s="314"/>
      <c r="F1039" s="314">
        <v>1854542</v>
      </c>
      <c r="G1039" s="314"/>
      <c r="H1039" s="314">
        <v>222313</v>
      </c>
      <c r="I1039" s="314"/>
      <c r="J1039" s="314">
        <v>0</v>
      </c>
      <c r="K1039" s="314">
        <v>0</v>
      </c>
      <c r="L1039" s="314">
        <v>0</v>
      </c>
      <c r="M1039" s="314"/>
      <c r="N1039" s="314"/>
      <c r="O1039" s="314">
        <v>2076855</v>
      </c>
      <c r="P1039" s="314">
        <v>560</v>
      </c>
      <c r="Q1039" s="314"/>
      <c r="R1039" s="314">
        <v>2076855</v>
      </c>
      <c r="S1039" s="314" t="s">
        <v>2565</v>
      </c>
      <c r="T1039" s="314"/>
      <c r="U1039" s="320"/>
      <c r="V1039" s="320"/>
      <c r="W1039" s="320"/>
      <c r="X1039" s="331"/>
    </row>
    <row r="1040" spans="1:25" x14ac:dyDescent="0.45">
      <c r="A1040" s="313">
        <v>2</v>
      </c>
      <c r="B1040" s="424" t="s">
        <v>1097</v>
      </c>
      <c r="C1040" s="425" t="s">
        <v>2134</v>
      </c>
      <c r="D1040" s="314">
        <v>5050903</v>
      </c>
      <c r="E1040" s="314"/>
      <c r="F1040" s="314">
        <v>4510239</v>
      </c>
      <c r="G1040" s="314"/>
      <c r="H1040" s="314">
        <v>540664</v>
      </c>
      <c r="I1040" s="314"/>
      <c r="J1040" s="314">
        <v>0</v>
      </c>
      <c r="K1040" s="314">
        <v>0</v>
      </c>
      <c r="L1040" s="314">
        <v>0</v>
      </c>
      <c r="M1040" s="314"/>
      <c r="N1040" s="314"/>
      <c r="O1040" s="314">
        <v>5050903</v>
      </c>
      <c r="P1040" s="314">
        <v>561</v>
      </c>
      <c r="Q1040" s="314"/>
      <c r="R1040" s="314">
        <v>5050903</v>
      </c>
      <c r="S1040" s="314" t="s">
        <v>2565</v>
      </c>
      <c r="T1040" s="314"/>
      <c r="U1040" s="320"/>
      <c r="V1040" s="320"/>
      <c r="W1040" s="320"/>
      <c r="X1040" s="331"/>
      <c r="Y1040" s="320"/>
    </row>
    <row r="1041" spans="1:27" x14ac:dyDescent="0.45">
      <c r="A1041" s="313">
        <v>3</v>
      </c>
      <c r="B1041" s="424" t="s">
        <v>1098</v>
      </c>
      <c r="C1041" s="425" t="s">
        <v>2134</v>
      </c>
      <c r="D1041" s="314">
        <v>1310413</v>
      </c>
      <c r="E1041" s="314"/>
      <c r="F1041" s="314">
        <v>1170142</v>
      </c>
      <c r="G1041" s="314"/>
      <c r="H1041" s="314">
        <v>140271</v>
      </c>
      <c r="I1041" s="314"/>
      <c r="J1041" s="314">
        <v>0</v>
      </c>
      <c r="K1041" s="314">
        <v>0</v>
      </c>
      <c r="L1041" s="314">
        <v>0</v>
      </c>
      <c r="M1041" s="314"/>
      <c r="N1041" s="314"/>
      <c r="O1041" s="314">
        <v>1310413</v>
      </c>
      <c r="P1041" s="314">
        <v>562</v>
      </c>
      <c r="Q1041" s="314"/>
      <c r="R1041" s="314">
        <v>1310413</v>
      </c>
      <c r="S1041" s="314" t="s">
        <v>2565</v>
      </c>
      <c r="T1041" s="314"/>
      <c r="U1041" s="320"/>
      <c r="V1041" s="320"/>
      <c r="W1041" s="320"/>
      <c r="X1041" s="331"/>
      <c r="Y1041" s="320"/>
    </row>
    <row r="1042" spans="1:27" x14ac:dyDescent="0.45">
      <c r="A1042" s="313">
        <v>4</v>
      </c>
      <c r="B1042" s="424" t="s">
        <v>1099</v>
      </c>
      <c r="C1042" s="425" t="s">
        <v>2134</v>
      </c>
      <c r="D1042" s="314">
        <v>1238414</v>
      </c>
      <c r="E1042" s="314"/>
      <c r="F1042" s="314">
        <v>1105850</v>
      </c>
      <c r="G1042" s="314"/>
      <c r="H1042" s="314">
        <v>132564</v>
      </c>
      <c r="I1042" s="314"/>
      <c r="J1042" s="314">
        <v>0</v>
      </c>
      <c r="K1042" s="314">
        <v>0</v>
      </c>
      <c r="L1042" s="314">
        <v>0</v>
      </c>
      <c r="M1042" s="314"/>
      <c r="N1042" s="314"/>
      <c r="O1042" s="314">
        <v>1238414</v>
      </c>
      <c r="P1042" s="314">
        <v>563</v>
      </c>
      <c r="Q1042" s="314"/>
      <c r="R1042" s="314">
        <v>1238414</v>
      </c>
      <c r="S1042" s="314" t="s">
        <v>2565</v>
      </c>
      <c r="T1042" s="314"/>
      <c r="U1042" s="320"/>
      <c r="V1042" s="320"/>
      <c r="W1042" s="320"/>
      <c r="X1042" s="331"/>
      <c r="Y1042" s="320"/>
    </row>
    <row r="1043" spans="1:27" x14ac:dyDescent="0.45">
      <c r="A1043" s="313">
        <v>5</v>
      </c>
      <c r="B1043" s="424" t="s">
        <v>1100</v>
      </c>
      <c r="C1043" s="425" t="s">
        <v>2134</v>
      </c>
      <c r="D1043" s="314">
        <v>0</v>
      </c>
      <c r="E1043" s="314"/>
      <c r="F1043" s="314">
        <v>0</v>
      </c>
      <c r="G1043" s="314"/>
      <c r="H1043" s="314">
        <v>0</v>
      </c>
      <c r="I1043" s="314"/>
      <c r="J1043" s="314">
        <v>0</v>
      </c>
      <c r="K1043" s="314">
        <v>0</v>
      </c>
      <c r="L1043" s="314">
        <v>0</v>
      </c>
      <c r="M1043" s="314"/>
      <c r="N1043" s="314"/>
      <c r="O1043" s="314">
        <v>0</v>
      </c>
      <c r="P1043" s="314">
        <v>564</v>
      </c>
      <c r="Q1043" s="314"/>
      <c r="R1043" s="314">
        <v>0</v>
      </c>
      <c r="S1043" s="314" t="s">
        <v>2565</v>
      </c>
      <c r="T1043" s="314"/>
      <c r="U1043" s="320"/>
      <c r="V1043" s="320"/>
      <c r="W1043" s="320"/>
      <c r="X1043" s="331"/>
      <c r="Y1043" s="320"/>
    </row>
    <row r="1044" spans="1:27" x14ac:dyDescent="0.45">
      <c r="A1044" s="313">
        <v>6</v>
      </c>
      <c r="B1044" s="424" t="s">
        <v>1101</v>
      </c>
      <c r="C1044" s="425" t="s">
        <v>2134</v>
      </c>
      <c r="D1044" s="314">
        <v>3329838</v>
      </c>
      <c r="E1044" s="314"/>
      <c r="F1044" s="314">
        <v>2973402</v>
      </c>
      <c r="G1044" s="314"/>
      <c r="H1044" s="314">
        <v>356436</v>
      </c>
      <c r="I1044" s="314"/>
      <c r="J1044" s="314">
        <v>0</v>
      </c>
      <c r="K1044" s="314">
        <v>0</v>
      </c>
      <c r="L1044" s="314">
        <v>0</v>
      </c>
      <c r="M1044" s="314"/>
      <c r="N1044" s="314"/>
      <c r="O1044" s="314">
        <v>3329838</v>
      </c>
      <c r="P1044" s="314">
        <v>565</v>
      </c>
      <c r="Q1044" s="314"/>
      <c r="R1044" s="314">
        <v>3329838</v>
      </c>
      <c r="S1044" s="314" t="s">
        <v>2565</v>
      </c>
      <c r="T1044" s="314"/>
      <c r="U1044" s="320"/>
      <c r="V1044" s="320"/>
      <c r="W1044" s="320"/>
      <c r="X1044" s="331"/>
      <c r="Y1044" s="320"/>
    </row>
    <row r="1045" spans="1:27" x14ac:dyDescent="0.45">
      <c r="A1045" s="313">
        <v>7</v>
      </c>
      <c r="B1045" s="424" t="s">
        <v>1102</v>
      </c>
      <c r="C1045" s="425" t="s">
        <v>2134</v>
      </c>
      <c r="D1045" s="314">
        <v>27152785</v>
      </c>
      <c r="E1045" s="314"/>
      <c r="F1045" s="314">
        <v>24246266</v>
      </c>
      <c r="G1045" s="314"/>
      <c r="H1045" s="314">
        <v>2906519</v>
      </c>
      <c r="I1045" s="314"/>
      <c r="J1045" s="314">
        <v>0</v>
      </c>
      <c r="K1045" s="314">
        <v>0</v>
      </c>
      <c r="L1045" s="314">
        <v>0</v>
      </c>
      <c r="M1045" s="314"/>
      <c r="N1045" s="314"/>
      <c r="O1045" s="314">
        <v>27152785</v>
      </c>
      <c r="P1045" s="314">
        <v>566</v>
      </c>
      <c r="Q1045" s="314"/>
      <c r="R1045" s="314">
        <v>27152785</v>
      </c>
      <c r="S1045" s="314" t="s">
        <v>2565</v>
      </c>
      <c r="T1045" s="314"/>
      <c r="U1045" s="320"/>
      <c r="V1045" s="320"/>
      <c r="W1045" s="320"/>
      <c r="X1045" s="331"/>
      <c r="Y1045" s="320"/>
    </row>
    <row r="1046" spans="1:27" x14ac:dyDescent="0.45">
      <c r="A1046" s="313">
        <v>8</v>
      </c>
      <c r="B1046" s="424" t="s">
        <v>1103</v>
      </c>
      <c r="C1046" s="425" t="s">
        <v>2134</v>
      </c>
      <c r="D1046" s="314">
        <v>189602</v>
      </c>
      <c r="E1046" s="314"/>
      <c r="F1046" s="314">
        <v>169306</v>
      </c>
      <c r="G1046" s="314"/>
      <c r="H1046" s="314">
        <v>20296</v>
      </c>
      <c r="I1046" s="314"/>
      <c r="J1046" s="314">
        <v>0</v>
      </c>
      <c r="K1046" s="314">
        <v>0</v>
      </c>
      <c r="L1046" s="314">
        <v>0</v>
      </c>
      <c r="M1046" s="314"/>
      <c r="N1046" s="314"/>
      <c r="O1046" s="314">
        <v>189602</v>
      </c>
      <c r="P1046" s="314">
        <v>567</v>
      </c>
      <c r="Q1046" s="314"/>
      <c r="R1046" s="314">
        <v>189602</v>
      </c>
      <c r="S1046" s="314" t="s">
        <v>2565</v>
      </c>
      <c r="T1046" s="314"/>
      <c r="U1046" s="320"/>
      <c r="V1046" s="320"/>
      <c r="W1046" s="320"/>
      <c r="X1046" s="331"/>
      <c r="Y1046" s="327"/>
    </row>
    <row r="1047" spans="1:27" x14ac:dyDescent="0.45">
      <c r="A1047" s="311">
        <v>9</v>
      </c>
      <c r="B1047" s="427" t="s">
        <v>2063</v>
      </c>
      <c r="C1047" s="425" t="s">
        <v>2134</v>
      </c>
      <c r="D1047" s="314">
        <v>0</v>
      </c>
      <c r="E1047" s="314"/>
      <c r="F1047" s="314">
        <v>0</v>
      </c>
      <c r="G1047" s="314"/>
      <c r="H1047" s="314">
        <v>0</v>
      </c>
      <c r="I1047" s="314"/>
      <c r="J1047" s="314">
        <v>0</v>
      </c>
      <c r="K1047" s="314">
        <v>0</v>
      </c>
      <c r="L1047" s="314">
        <v>0</v>
      </c>
      <c r="M1047" s="314"/>
      <c r="N1047" s="314"/>
      <c r="O1047" s="314">
        <v>0</v>
      </c>
      <c r="P1047" s="314">
        <v>575.70000000000005</v>
      </c>
      <c r="Q1047" s="314"/>
      <c r="R1047" s="314">
        <v>0</v>
      </c>
      <c r="S1047" s="314" t="s">
        <v>2565</v>
      </c>
      <c r="T1047" s="314"/>
      <c r="U1047" s="320"/>
      <c r="V1047" s="320"/>
      <c r="W1047" s="320"/>
      <c r="X1047" s="331"/>
      <c r="Y1047" s="320"/>
      <c r="AA1047" s="320"/>
    </row>
    <row r="1048" spans="1:27" x14ac:dyDescent="0.45">
      <c r="A1048" s="313">
        <v>10</v>
      </c>
      <c r="B1048" s="424" t="s">
        <v>1104</v>
      </c>
      <c r="C1048" s="45"/>
      <c r="D1048" s="314">
        <v>40348810</v>
      </c>
      <c r="E1048" s="314"/>
      <c r="F1048" s="314">
        <v>36029747</v>
      </c>
      <c r="G1048" s="314"/>
      <c r="H1048" s="314">
        <v>4319063</v>
      </c>
      <c r="I1048" s="314"/>
      <c r="J1048" s="314">
        <v>0</v>
      </c>
      <c r="K1048" s="314">
        <v>0</v>
      </c>
      <c r="L1048" s="314">
        <v>0</v>
      </c>
      <c r="M1048" s="314"/>
      <c r="N1048" s="314"/>
      <c r="O1048" s="314"/>
      <c r="P1048" s="314"/>
      <c r="Q1048" s="314"/>
      <c r="R1048" s="314"/>
      <c r="S1048" s="314"/>
      <c r="T1048" s="314"/>
      <c r="U1048" s="359"/>
      <c r="V1048" s="320"/>
      <c r="W1048" s="320"/>
      <c r="X1048" s="331"/>
      <c r="Y1048" s="327"/>
      <c r="AA1048" s="327"/>
    </row>
    <row r="1049" spans="1:27" x14ac:dyDescent="0.45">
      <c r="A1049" s="313">
        <v>11</v>
      </c>
      <c r="B1049" s="424" t="s">
        <v>1105</v>
      </c>
      <c r="C1049" s="425" t="s">
        <v>2134</v>
      </c>
      <c r="D1049" s="314">
        <v>0</v>
      </c>
      <c r="E1049" s="314"/>
      <c r="F1049" s="314">
        <v>0</v>
      </c>
      <c r="G1049" s="314"/>
      <c r="H1049" s="314">
        <v>0</v>
      </c>
      <c r="I1049" s="314"/>
      <c r="J1049" s="314">
        <v>0</v>
      </c>
      <c r="K1049" s="314">
        <v>0</v>
      </c>
      <c r="L1049" s="314">
        <v>0</v>
      </c>
      <c r="M1049" s="314"/>
      <c r="N1049" s="314"/>
      <c r="O1049" s="314">
        <v>0</v>
      </c>
      <c r="P1049" s="314">
        <v>568</v>
      </c>
      <c r="Q1049" s="314"/>
      <c r="R1049" s="314">
        <v>0</v>
      </c>
      <c r="S1049" s="314" t="s">
        <v>2565</v>
      </c>
      <c r="T1049" s="314"/>
      <c r="U1049" s="320"/>
      <c r="V1049" s="320"/>
      <c r="W1049" s="320"/>
      <c r="X1049" s="331"/>
      <c r="Y1049" s="317"/>
      <c r="Z1049" s="327"/>
    </row>
    <row r="1050" spans="1:27" x14ac:dyDescent="0.45">
      <c r="A1050" s="313">
        <v>12</v>
      </c>
      <c r="B1050" s="424" t="s">
        <v>1106</v>
      </c>
      <c r="C1050" s="425" t="s">
        <v>2134</v>
      </c>
      <c r="D1050" s="314">
        <v>0</v>
      </c>
      <c r="E1050" s="314"/>
      <c r="F1050" s="314">
        <v>0</v>
      </c>
      <c r="G1050" s="314"/>
      <c r="H1050" s="314">
        <v>0</v>
      </c>
      <c r="I1050" s="314"/>
      <c r="J1050" s="314">
        <v>0</v>
      </c>
      <c r="K1050" s="314">
        <v>0</v>
      </c>
      <c r="L1050" s="314">
        <v>0</v>
      </c>
      <c r="M1050" s="314"/>
      <c r="N1050" s="314"/>
      <c r="O1050" s="314">
        <v>0</v>
      </c>
      <c r="P1050" s="314">
        <v>569</v>
      </c>
      <c r="Q1050" s="314"/>
      <c r="R1050" s="314">
        <v>0</v>
      </c>
      <c r="S1050" s="314" t="s">
        <v>2565</v>
      </c>
      <c r="T1050" s="314"/>
      <c r="U1050" s="320"/>
      <c r="V1050" s="320"/>
      <c r="W1050" s="320"/>
      <c r="X1050" s="331"/>
      <c r="Y1050" s="317"/>
      <c r="Z1050" s="360"/>
    </row>
    <row r="1051" spans="1:27" x14ac:dyDescent="0.45">
      <c r="A1051" s="313">
        <v>13</v>
      </c>
      <c r="B1051" s="424" t="s">
        <v>1107</v>
      </c>
      <c r="C1051" s="425" t="s">
        <v>2134</v>
      </c>
      <c r="D1051" s="314">
        <v>2205693</v>
      </c>
      <c r="E1051" s="314"/>
      <c r="F1051" s="314">
        <v>1969589</v>
      </c>
      <c r="G1051" s="314"/>
      <c r="H1051" s="314">
        <v>236104</v>
      </c>
      <c r="I1051" s="314"/>
      <c r="J1051" s="314">
        <v>0</v>
      </c>
      <c r="K1051" s="314">
        <v>0</v>
      </c>
      <c r="L1051" s="314">
        <v>0</v>
      </c>
      <c r="M1051" s="314"/>
      <c r="N1051" s="314"/>
      <c r="O1051" s="314">
        <v>2205693</v>
      </c>
      <c r="P1051" s="314">
        <v>570</v>
      </c>
      <c r="Q1051" s="314"/>
      <c r="R1051" s="314">
        <v>2205693</v>
      </c>
      <c r="S1051" s="314" t="s">
        <v>2565</v>
      </c>
      <c r="T1051" s="314" t="s">
        <v>2310</v>
      </c>
      <c r="U1051" s="320"/>
      <c r="V1051" s="320"/>
      <c r="W1051" s="320"/>
      <c r="X1051" s="331"/>
      <c r="Y1051" s="317"/>
      <c r="Z1051" s="360"/>
    </row>
    <row r="1052" spans="1:27" x14ac:dyDescent="0.45">
      <c r="A1052" s="313">
        <v>14</v>
      </c>
      <c r="B1052" s="427" t="s">
        <v>1108</v>
      </c>
      <c r="C1052" s="425" t="s">
        <v>2134</v>
      </c>
      <c r="D1052" s="314">
        <v>11991206</v>
      </c>
      <c r="E1052" s="314"/>
      <c r="F1052" s="314">
        <v>10707630</v>
      </c>
      <c r="G1052" s="314"/>
      <c r="H1052" s="314">
        <v>1283576</v>
      </c>
      <c r="I1052" s="314"/>
      <c r="J1052" s="314">
        <v>0</v>
      </c>
      <c r="K1052" s="314">
        <v>0</v>
      </c>
      <c r="L1052" s="314">
        <v>0</v>
      </c>
      <c r="M1052" s="314"/>
      <c r="N1052" s="314"/>
      <c r="O1052" s="314">
        <v>11991206</v>
      </c>
      <c r="P1052" s="314">
        <v>571</v>
      </c>
      <c r="Q1052" s="314"/>
      <c r="R1052" s="314">
        <v>11991206</v>
      </c>
      <c r="S1052" s="314" t="s">
        <v>2565</v>
      </c>
      <c r="T1052" s="314">
        <v>0</v>
      </c>
      <c r="U1052" s="320"/>
      <c r="V1052" s="320"/>
      <c r="W1052" s="320"/>
      <c r="X1052" s="331"/>
      <c r="Y1052" s="355"/>
    </row>
    <row r="1053" spans="1:27" x14ac:dyDescent="0.45">
      <c r="A1053" s="313">
        <v>15</v>
      </c>
      <c r="B1053" s="424" t="s">
        <v>1109</v>
      </c>
      <c r="C1053" s="425" t="s">
        <v>2134</v>
      </c>
      <c r="D1053" s="314">
        <v>0</v>
      </c>
      <c r="E1053" s="314"/>
      <c r="F1053" s="314">
        <v>0</v>
      </c>
      <c r="G1053" s="314"/>
      <c r="H1053" s="314">
        <v>0</v>
      </c>
      <c r="I1053" s="314"/>
      <c r="J1053" s="314">
        <v>0</v>
      </c>
      <c r="K1053" s="314">
        <v>0</v>
      </c>
      <c r="L1053" s="314">
        <v>0</v>
      </c>
      <c r="M1053" s="314"/>
      <c r="N1053" s="314"/>
      <c r="O1053" s="314">
        <v>0</v>
      </c>
      <c r="P1053" s="314">
        <v>572</v>
      </c>
      <c r="Q1053" s="314"/>
      <c r="R1053" s="314">
        <v>0</v>
      </c>
      <c r="S1053" s="314" t="s">
        <v>2565</v>
      </c>
      <c r="T1053" s="314" t="s">
        <v>2512</v>
      </c>
      <c r="U1053" s="320"/>
      <c r="V1053" s="320"/>
      <c r="W1053" s="320"/>
      <c r="X1053" s="331"/>
      <c r="Y1053" s="327"/>
    </row>
    <row r="1054" spans="1:27" x14ac:dyDescent="0.45">
      <c r="A1054" s="313">
        <v>16</v>
      </c>
      <c r="B1054" s="424" t="s">
        <v>1110</v>
      </c>
      <c r="C1054" s="425" t="s">
        <v>2134</v>
      </c>
      <c r="D1054" s="314">
        <v>243450</v>
      </c>
      <c r="E1054" s="314"/>
      <c r="F1054" s="314">
        <v>217390</v>
      </c>
      <c r="G1054" s="314"/>
      <c r="H1054" s="314">
        <v>26060</v>
      </c>
      <c r="I1054" s="314"/>
      <c r="J1054" s="314">
        <v>0</v>
      </c>
      <c r="K1054" s="314">
        <v>0</v>
      </c>
      <c r="L1054" s="314">
        <v>0</v>
      </c>
      <c r="M1054" s="314"/>
      <c r="N1054" s="314"/>
      <c r="O1054" s="314">
        <v>243450</v>
      </c>
      <c r="P1054" s="314">
        <v>573</v>
      </c>
      <c r="Q1054" s="314"/>
      <c r="R1054" s="314">
        <v>243450</v>
      </c>
      <c r="S1054" s="314" t="s">
        <v>2565</v>
      </c>
      <c r="T1054" s="314">
        <v>0</v>
      </c>
      <c r="U1054" s="320"/>
      <c r="V1054" s="320"/>
      <c r="W1054" s="320"/>
      <c r="X1054" s="331"/>
      <c r="Y1054" s="320"/>
    </row>
    <row r="1055" spans="1:27" x14ac:dyDescent="0.45">
      <c r="A1055" s="313">
        <v>17</v>
      </c>
      <c r="B1055" s="424" t="s">
        <v>1111</v>
      </c>
      <c r="C1055" s="45"/>
      <c r="D1055" s="314">
        <v>14440349</v>
      </c>
      <c r="E1055" s="314"/>
      <c r="F1055" s="314">
        <v>12894609</v>
      </c>
      <c r="G1055" s="314"/>
      <c r="H1055" s="314">
        <v>1545740</v>
      </c>
      <c r="I1055" s="314"/>
      <c r="J1055" s="314">
        <v>0</v>
      </c>
      <c r="K1055" s="314">
        <v>0</v>
      </c>
      <c r="L1055" s="314">
        <v>0</v>
      </c>
      <c r="M1055" s="314"/>
      <c r="N1055" s="314"/>
      <c r="O1055" s="314"/>
      <c r="P1055" s="314"/>
      <c r="Q1055" s="314"/>
      <c r="R1055" s="314"/>
      <c r="S1055" s="314"/>
      <c r="T1055" s="314"/>
      <c r="U1055" s="320"/>
      <c r="V1055" s="320"/>
      <c r="W1055" s="320"/>
      <c r="X1055" s="331"/>
      <c r="Y1055" s="320"/>
      <c r="Z1055" s="334"/>
    </row>
    <row r="1056" spans="1:27" x14ac:dyDescent="0.45">
      <c r="A1056" s="45"/>
      <c r="B1056" s="45"/>
      <c r="C1056" s="45"/>
      <c r="D1056" s="314"/>
      <c r="E1056" s="314"/>
      <c r="F1056" s="314"/>
      <c r="G1056" s="314"/>
      <c r="H1056" s="314"/>
      <c r="I1056" s="314"/>
      <c r="J1056" s="314"/>
      <c r="K1056" s="314"/>
      <c r="L1056" s="314"/>
      <c r="M1056" s="314"/>
      <c r="N1056" s="314"/>
      <c r="O1056" s="314"/>
      <c r="P1056" s="314"/>
      <c r="Q1056" s="314"/>
      <c r="R1056" s="314"/>
      <c r="S1056" s="314"/>
      <c r="T1056" s="314"/>
      <c r="U1056" s="320"/>
      <c r="V1056" s="320"/>
      <c r="W1056" s="320"/>
      <c r="X1056" s="331"/>
    </row>
    <row r="1057" spans="1:25" x14ac:dyDescent="0.45">
      <c r="A1057" s="313">
        <v>18</v>
      </c>
      <c r="B1057" s="424" t="s">
        <v>1112</v>
      </c>
      <c r="C1057" s="45"/>
      <c r="D1057" s="314">
        <v>54789159</v>
      </c>
      <c r="E1057" s="314"/>
      <c r="F1057" s="314">
        <v>48924356</v>
      </c>
      <c r="G1057" s="314"/>
      <c r="H1057" s="314">
        <v>5864803</v>
      </c>
      <c r="I1057" s="314"/>
      <c r="J1057" s="314">
        <v>0</v>
      </c>
      <c r="K1057" s="314">
        <v>0</v>
      </c>
      <c r="L1057" s="314">
        <v>0</v>
      </c>
      <c r="M1057" s="314"/>
      <c r="N1057" s="314"/>
      <c r="O1057" s="314"/>
      <c r="P1057" s="314"/>
      <c r="Q1057" s="314"/>
      <c r="R1057" s="314">
        <v>54789159</v>
      </c>
      <c r="S1057" s="314" t="s">
        <v>2565</v>
      </c>
      <c r="T1057" s="314"/>
      <c r="U1057" s="320"/>
      <c r="V1057" s="320"/>
      <c r="W1057" s="320"/>
      <c r="X1057" s="331"/>
    </row>
    <row r="1058" spans="1:25" x14ac:dyDescent="0.45">
      <c r="A1058" s="45"/>
      <c r="B1058" s="45"/>
      <c r="C1058" s="312"/>
      <c r="D1058" s="314"/>
      <c r="E1058" s="314"/>
      <c r="F1058" s="314"/>
      <c r="G1058" s="314"/>
      <c r="H1058" s="314"/>
      <c r="I1058" s="314"/>
      <c r="J1058" s="314"/>
      <c r="K1058" s="314"/>
      <c r="L1058" s="314"/>
      <c r="M1058" s="314"/>
      <c r="N1058" s="314"/>
      <c r="O1058" s="314"/>
      <c r="P1058" s="314"/>
      <c r="Q1058" s="314"/>
      <c r="R1058" s="314"/>
      <c r="S1058" s="314"/>
      <c r="T1058" s="314"/>
      <c r="U1058" s="320"/>
      <c r="V1058" s="320"/>
      <c r="W1058" s="320"/>
      <c r="X1058" s="331"/>
    </row>
    <row r="1059" spans="1:25" x14ac:dyDescent="0.45">
      <c r="A1059" s="45"/>
      <c r="B1059" s="424" t="s">
        <v>738</v>
      </c>
      <c r="C1059" s="312"/>
      <c r="D1059" s="314"/>
      <c r="E1059" s="314"/>
      <c r="F1059" s="314"/>
      <c r="G1059" s="314"/>
      <c r="H1059" s="314"/>
      <c r="I1059" s="314"/>
      <c r="J1059" s="314"/>
      <c r="K1059" s="314"/>
      <c r="L1059" s="314"/>
      <c r="M1059" s="314"/>
      <c r="N1059" s="314"/>
      <c r="O1059" s="314"/>
      <c r="P1059" s="314"/>
      <c r="Q1059" s="314"/>
      <c r="R1059" s="314"/>
      <c r="S1059" s="314"/>
      <c r="T1059" s="314"/>
      <c r="U1059" s="320"/>
      <c r="V1059" s="320"/>
      <c r="W1059" s="320"/>
      <c r="X1059" s="331"/>
    </row>
    <row r="1060" spans="1:25" x14ac:dyDescent="0.45">
      <c r="A1060" s="313">
        <v>19</v>
      </c>
      <c r="B1060" s="424" t="s">
        <v>739</v>
      </c>
      <c r="C1060" s="425" t="s">
        <v>1442</v>
      </c>
      <c r="D1060" s="314">
        <v>2007736</v>
      </c>
      <c r="E1060" s="314"/>
      <c r="F1060" s="314">
        <v>1911255</v>
      </c>
      <c r="G1060" s="314"/>
      <c r="H1060" s="314">
        <v>93393</v>
      </c>
      <c r="I1060" s="314"/>
      <c r="J1060" s="314">
        <v>3088</v>
      </c>
      <c r="K1060" s="314">
        <v>3065</v>
      </c>
      <c r="L1060" s="314">
        <v>24</v>
      </c>
      <c r="M1060" s="314"/>
      <c r="N1060" s="314"/>
      <c r="O1060" s="314">
        <v>2007736</v>
      </c>
      <c r="P1060" s="314">
        <v>580</v>
      </c>
      <c r="Q1060" s="314"/>
      <c r="R1060" s="314">
        <v>2007736</v>
      </c>
      <c r="S1060" s="314" t="s">
        <v>2565</v>
      </c>
      <c r="T1060" s="314"/>
      <c r="U1060" s="320"/>
      <c r="V1060" s="320"/>
      <c r="W1060" s="320"/>
      <c r="X1060" s="331"/>
    </row>
    <row r="1061" spans="1:25" x14ac:dyDescent="0.45">
      <c r="A1061" s="313">
        <v>20</v>
      </c>
      <c r="B1061" s="427" t="s">
        <v>740</v>
      </c>
      <c r="C1061" s="428" t="s">
        <v>1920</v>
      </c>
      <c r="D1061" s="314">
        <v>455771</v>
      </c>
      <c r="E1061" s="314"/>
      <c r="F1061" s="314">
        <v>438256</v>
      </c>
      <c r="G1061" s="314"/>
      <c r="H1061" s="314">
        <v>13051</v>
      </c>
      <c r="I1061" s="314"/>
      <c r="J1061" s="314">
        <v>4464</v>
      </c>
      <c r="K1061" s="314">
        <v>4464</v>
      </c>
      <c r="L1061" s="314">
        <v>0</v>
      </c>
      <c r="M1061" s="314"/>
      <c r="N1061" s="314"/>
      <c r="O1061" s="314">
        <v>455771</v>
      </c>
      <c r="P1061" s="314">
        <v>581</v>
      </c>
      <c r="Q1061" s="314"/>
      <c r="R1061" s="314">
        <v>455771</v>
      </c>
      <c r="S1061" s="314" t="s">
        <v>2565</v>
      </c>
      <c r="T1061" s="314"/>
      <c r="U1061" s="320"/>
      <c r="V1061" s="320"/>
      <c r="W1061" s="320"/>
      <c r="X1061" s="331"/>
      <c r="Y1061" s="320"/>
    </row>
    <row r="1062" spans="1:25" x14ac:dyDescent="0.45">
      <c r="A1062" s="313">
        <v>21</v>
      </c>
      <c r="B1062" s="424" t="s">
        <v>741</v>
      </c>
      <c r="C1062" s="428" t="s">
        <v>1920</v>
      </c>
      <c r="D1062" s="314">
        <v>2320251</v>
      </c>
      <c r="E1062" s="314"/>
      <c r="F1062" s="314">
        <v>2231084</v>
      </c>
      <c r="G1062" s="314"/>
      <c r="H1062" s="314">
        <v>66440</v>
      </c>
      <c r="I1062" s="314"/>
      <c r="J1062" s="314">
        <v>22728</v>
      </c>
      <c r="K1062" s="314">
        <v>22728</v>
      </c>
      <c r="L1062" s="314">
        <v>0</v>
      </c>
      <c r="M1062" s="314"/>
      <c r="N1062" s="314"/>
      <c r="O1062" s="314">
        <v>2320251</v>
      </c>
      <c r="P1062" s="314">
        <v>582</v>
      </c>
      <c r="Q1062" s="314"/>
      <c r="R1062" s="314">
        <v>2320251</v>
      </c>
      <c r="S1062" s="314" t="s">
        <v>2565</v>
      </c>
      <c r="T1062" s="314"/>
      <c r="U1062" s="320"/>
      <c r="V1062" s="320"/>
      <c r="W1062" s="320"/>
      <c r="X1062" s="331"/>
      <c r="Y1062" s="320"/>
    </row>
    <row r="1063" spans="1:25" x14ac:dyDescent="0.45">
      <c r="A1063" s="313">
        <v>22</v>
      </c>
      <c r="B1063" s="424" t="s">
        <v>742</v>
      </c>
      <c r="C1063" s="428" t="s">
        <v>1919</v>
      </c>
      <c r="D1063" s="314">
        <v>7066135</v>
      </c>
      <c r="E1063" s="314"/>
      <c r="F1063" s="314">
        <v>6598429</v>
      </c>
      <c r="G1063" s="314"/>
      <c r="H1063" s="314">
        <v>467706</v>
      </c>
      <c r="I1063" s="314"/>
      <c r="J1063" s="314">
        <v>0</v>
      </c>
      <c r="K1063" s="314">
        <v>0</v>
      </c>
      <c r="L1063" s="314">
        <v>0</v>
      </c>
      <c r="M1063" s="314"/>
      <c r="N1063" s="314"/>
      <c r="O1063" s="314">
        <v>7066135</v>
      </c>
      <c r="P1063" s="314">
        <v>583</v>
      </c>
      <c r="Q1063" s="314"/>
      <c r="R1063" s="314">
        <v>7066135</v>
      </c>
      <c r="S1063" s="314" t="s">
        <v>2565</v>
      </c>
      <c r="T1063" s="314"/>
      <c r="U1063" s="320"/>
      <c r="V1063" s="320"/>
      <c r="W1063" s="320"/>
      <c r="X1063" s="331"/>
      <c r="Y1063" s="320"/>
    </row>
    <row r="1064" spans="1:25" x14ac:dyDescent="0.45">
      <c r="A1064" s="313">
        <v>23</v>
      </c>
      <c r="B1064" s="424" t="s">
        <v>743</v>
      </c>
      <c r="C1064" s="428" t="s">
        <v>1921</v>
      </c>
      <c r="D1064" s="314">
        <v>42632</v>
      </c>
      <c r="E1064" s="314"/>
      <c r="F1064" s="314">
        <v>41724</v>
      </c>
      <c r="G1064" s="314"/>
      <c r="H1064" s="314">
        <v>908</v>
      </c>
      <c r="I1064" s="314"/>
      <c r="J1064" s="314">
        <v>0</v>
      </c>
      <c r="K1064" s="314">
        <v>0</v>
      </c>
      <c r="L1064" s="314">
        <v>0</v>
      </c>
      <c r="M1064" s="314"/>
      <c r="N1064" s="314"/>
      <c r="O1064" s="314">
        <v>42632</v>
      </c>
      <c r="P1064" s="314">
        <v>584</v>
      </c>
      <c r="Q1064" s="314"/>
      <c r="R1064" s="314">
        <v>42632</v>
      </c>
      <c r="S1064" s="314" t="s">
        <v>2565</v>
      </c>
      <c r="T1064" s="314"/>
      <c r="U1064" s="320"/>
      <c r="V1064" s="320"/>
      <c r="W1064" s="320"/>
      <c r="X1064" s="331"/>
      <c r="Y1064" s="320"/>
    </row>
    <row r="1065" spans="1:25" x14ac:dyDescent="0.45">
      <c r="A1065" s="313">
        <v>24</v>
      </c>
      <c r="B1065" s="424" t="s">
        <v>744</v>
      </c>
      <c r="C1065" s="428" t="s">
        <v>1922</v>
      </c>
      <c r="D1065" s="314">
        <v>0</v>
      </c>
      <c r="E1065" s="314"/>
      <c r="F1065" s="314">
        <v>0</v>
      </c>
      <c r="G1065" s="314"/>
      <c r="H1065" s="314">
        <v>0</v>
      </c>
      <c r="I1065" s="314"/>
      <c r="J1065" s="314">
        <v>0</v>
      </c>
      <c r="K1065" s="314">
        <v>0</v>
      </c>
      <c r="L1065" s="314">
        <v>0</v>
      </c>
      <c r="M1065" s="314"/>
      <c r="N1065" s="314"/>
      <c r="O1065" s="314">
        <v>0</v>
      </c>
      <c r="P1065" s="314">
        <v>585</v>
      </c>
      <c r="Q1065" s="314"/>
      <c r="R1065" s="314">
        <v>0</v>
      </c>
      <c r="S1065" s="314" t="s">
        <v>2565</v>
      </c>
      <c r="T1065" s="314"/>
      <c r="U1065" s="320"/>
      <c r="V1065" s="320"/>
      <c r="W1065" s="320"/>
      <c r="X1065" s="331"/>
      <c r="Y1065" s="320"/>
    </row>
    <row r="1066" spans="1:25" x14ac:dyDescent="0.45">
      <c r="A1066" s="313">
        <v>25</v>
      </c>
      <c r="B1066" s="424" t="s">
        <v>745</v>
      </c>
      <c r="C1066" s="428" t="s">
        <v>1923</v>
      </c>
      <c r="D1066" s="314">
        <v>10233446</v>
      </c>
      <c r="E1066" s="314"/>
      <c r="F1066" s="314">
        <v>9700980</v>
      </c>
      <c r="G1066" s="314"/>
      <c r="H1066" s="314">
        <v>526518</v>
      </c>
      <c r="I1066" s="314"/>
      <c r="J1066" s="314">
        <v>5948</v>
      </c>
      <c r="K1066" s="314">
        <v>2572</v>
      </c>
      <c r="L1066" s="314">
        <v>3376</v>
      </c>
      <c r="M1066" s="314"/>
      <c r="N1066" s="314"/>
      <c r="O1066" s="314">
        <v>10233446</v>
      </c>
      <c r="P1066" s="314">
        <v>586</v>
      </c>
      <c r="Q1066" s="314"/>
      <c r="R1066" s="314">
        <v>10233446</v>
      </c>
      <c r="S1066" s="314" t="s">
        <v>2565</v>
      </c>
      <c r="T1066" s="314"/>
      <c r="U1066" s="320"/>
      <c r="V1066" s="320"/>
      <c r="W1066" s="320"/>
      <c r="X1066" s="331"/>
      <c r="Y1066" s="320"/>
    </row>
    <row r="1067" spans="1:25" x14ac:dyDescent="0.45">
      <c r="A1067" s="313">
        <v>26</v>
      </c>
      <c r="B1067" s="424" t="s">
        <v>746</v>
      </c>
      <c r="C1067" s="428" t="s">
        <v>1922</v>
      </c>
      <c r="D1067" s="314">
        <v>0</v>
      </c>
      <c r="E1067" s="314"/>
      <c r="F1067" s="314">
        <v>0</v>
      </c>
      <c r="G1067" s="314"/>
      <c r="H1067" s="314">
        <v>0</v>
      </c>
      <c r="I1067" s="314"/>
      <c r="J1067" s="314">
        <v>0</v>
      </c>
      <c r="K1067" s="314">
        <v>0</v>
      </c>
      <c r="L1067" s="314">
        <v>0</v>
      </c>
      <c r="M1067" s="314"/>
      <c r="N1067" s="314"/>
      <c r="O1067" s="314">
        <v>0</v>
      </c>
      <c r="P1067" s="314">
        <v>587</v>
      </c>
      <c r="Q1067" s="314"/>
      <c r="R1067" s="314">
        <v>0</v>
      </c>
      <c r="S1067" s="314" t="s">
        <v>2565</v>
      </c>
      <c r="T1067" s="314"/>
      <c r="U1067" s="320"/>
      <c r="V1067" s="320"/>
      <c r="W1067" s="320"/>
      <c r="X1067" s="331"/>
      <c r="Y1067" s="320"/>
    </row>
    <row r="1068" spans="1:25" x14ac:dyDescent="0.45">
      <c r="A1068" s="313">
        <v>27</v>
      </c>
      <c r="B1068" s="424" t="s">
        <v>747</v>
      </c>
      <c r="C1068" s="425" t="s">
        <v>1442</v>
      </c>
      <c r="D1068" s="314">
        <v>8920239</v>
      </c>
      <c r="E1068" s="314"/>
      <c r="F1068" s="314">
        <v>8491579</v>
      </c>
      <c r="G1068" s="314"/>
      <c r="H1068" s="314">
        <v>414939</v>
      </c>
      <c r="I1068" s="314"/>
      <c r="J1068" s="314">
        <v>13721</v>
      </c>
      <c r="K1068" s="314">
        <v>13617</v>
      </c>
      <c r="L1068" s="314">
        <v>104</v>
      </c>
      <c r="M1068" s="314"/>
      <c r="N1068" s="314"/>
      <c r="O1068" s="314">
        <v>8920239</v>
      </c>
      <c r="P1068" s="314">
        <v>588</v>
      </c>
      <c r="Q1068" s="314"/>
      <c r="R1068" s="314">
        <v>8920239</v>
      </c>
      <c r="S1068" s="314" t="s">
        <v>2565</v>
      </c>
      <c r="T1068" s="314"/>
      <c r="U1068" s="320"/>
      <c r="V1068" s="320"/>
      <c r="W1068" s="320"/>
      <c r="X1068" s="331"/>
      <c r="Y1068" s="320"/>
    </row>
    <row r="1069" spans="1:25" x14ac:dyDescent="0.45">
      <c r="A1069" s="313">
        <v>28</v>
      </c>
      <c r="B1069" s="424" t="s">
        <v>748</v>
      </c>
      <c r="C1069" s="425" t="s">
        <v>1442</v>
      </c>
      <c r="D1069" s="314">
        <v>0</v>
      </c>
      <c r="E1069" s="314"/>
      <c r="F1069" s="314">
        <v>0</v>
      </c>
      <c r="G1069" s="314"/>
      <c r="H1069" s="314">
        <v>0</v>
      </c>
      <c r="I1069" s="314"/>
      <c r="J1069" s="314">
        <v>0</v>
      </c>
      <c r="K1069" s="314">
        <v>0</v>
      </c>
      <c r="L1069" s="314">
        <v>0</v>
      </c>
      <c r="M1069" s="314"/>
      <c r="N1069" s="314"/>
      <c r="O1069" s="314">
        <v>0</v>
      </c>
      <c r="P1069" s="314">
        <v>589</v>
      </c>
      <c r="Q1069" s="314"/>
      <c r="R1069" s="314">
        <v>0</v>
      </c>
      <c r="S1069" s="314" t="s">
        <v>2565</v>
      </c>
      <c r="T1069" s="314"/>
      <c r="U1069" s="320"/>
      <c r="V1069" s="320"/>
      <c r="W1069" s="320"/>
      <c r="X1069" s="331"/>
      <c r="Y1069" s="320"/>
    </row>
    <row r="1070" spans="1:25" x14ac:dyDescent="0.45">
      <c r="A1070" s="313">
        <v>29</v>
      </c>
      <c r="B1070" s="424" t="s">
        <v>749</v>
      </c>
      <c r="C1070" s="312"/>
      <c r="D1070" s="314">
        <v>31046210</v>
      </c>
      <c r="E1070" s="314"/>
      <c r="F1070" s="314">
        <v>29413306</v>
      </c>
      <c r="G1070" s="314"/>
      <c r="H1070" s="314">
        <v>1582953</v>
      </c>
      <c r="I1070" s="314"/>
      <c r="J1070" s="314">
        <v>49950</v>
      </c>
      <c r="K1070" s="314">
        <v>46446</v>
      </c>
      <c r="L1070" s="314">
        <v>3504</v>
      </c>
      <c r="M1070" s="314"/>
      <c r="N1070" s="314"/>
      <c r="O1070" s="314"/>
      <c r="P1070" s="314"/>
      <c r="Q1070" s="314"/>
      <c r="R1070" s="314"/>
      <c r="S1070" s="314"/>
      <c r="T1070" s="314"/>
      <c r="U1070" s="320"/>
      <c r="V1070" s="320"/>
      <c r="W1070" s="320"/>
      <c r="X1070" s="331"/>
      <c r="Y1070" s="320"/>
    </row>
    <row r="1071" spans="1:25" x14ac:dyDescent="0.45">
      <c r="A1071" s="313">
        <v>30</v>
      </c>
      <c r="B1071" s="424" t="s">
        <v>750</v>
      </c>
      <c r="C1071" s="425" t="s">
        <v>1442</v>
      </c>
      <c r="D1071" s="314">
        <v>53485</v>
      </c>
      <c r="E1071" s="314"/>
      <c r="F1071" s="314">
        <v>50915</v>
      </c>
      <c r="G1071" s="314"/>
      <c r="H1071" s="314">
        <v>2488</v>
      </c>
      <c r="I1071" s="314"/>
      <c r="J1071" s="314">
        <v>82</v>
      </c>
      <c r="K1071" s="314">
        <v>82</v>
      </c>
      <c r="L1071" s="314">
        <v>1</v>
      </c>
      <c r="M1071" s="314"/>
      <c r="N1071" s="314"/>
      <c r="O1071" s="314">
        <v>53485</v>
      </c>
      <c r="P1071" s="314">
        <v>590</v>
      </c>
      <c r="Q1071" s="314"/>
      <c r="R1071" s="314">
        <v>53485</v>
      </c>
      <c r="S1071" s="314" t="s">
        <v>2565</v>
      </c>
      <c r="T1071" s="314"/>
      <c r="U1071" s="320"/>
      <c r="V1071" s="320"/>
      <c r="W1071" s="320"/>
      <c r="X1071" s="331"/>
    </row>
    <row r="1072" spans="1:25" x14ac:dyDescent="0.45">
      <c r="A1072" s="313">
        <v>31</v>
      </c>
      <c r="B1072" s="424" t="s">
        <v>751</v>
      </c>
      <c r="C1072" s="428" t="s">
        <v>1920</v>
      </c>
      <c r="D1072" s="314">
        <v>0</v>
      </c>
      <c r="E1072" s="314"/>
      <c r="F1072" s="314">
        <v>0</v>
      </c>
      <c r="G1072" s="314"/>
      <c r="H1072" s="314">
        <v>0</v>
      </c>
      <c r="I1072" s="314"/>
      <c r="J1072" s="314">
        <v>0</v>
      </c>
      <c r="K1072" s="314">
        <v>0</v>
      </c>
      <c r="L1072" s="314">
        <v>0</v>
      </c>
      <c r="M1072" s="314"/>
      <c r="N1072" s="314"/>
      <c r="O1072" s="314">
        <v>0</v>
      </c>
      <c r="P1072" s="314">
        <v>591</v>
      </c>
      <c r="Q1072" s="314"/>
      <c r="R1072" s="314">
        <v>0</v>
      </c>
      <c r="S1072" s="314" t="s">
        <v>2565</v>
      </c>
      <c r="T1072" s="314"/>
      <c r="U1072" s="320"/>
      <c r="V1072" s="320"/>
      <c r="W1072" s="320"/>
      <c r="X1072" s="331"/>
      <c r="Y1072" s="320"/>
    </row>
    <row r="1073" spans="1:25" x14ac:dyDescent="0.45">
      <c r="A1073" s="313">
        <v>32</v>
      </c>
      <c r="B1073" s="424" t="s">
        <v>752</v>
      </c>
      <c r="C1073" s="428" t="s">
        <v>1920</v>
      </c>
      <c r="D1073" s="314">
        <v>1478012</v>
      </c>
      <c r="E1073" s="314"/>
      <c r="F1073" s="314">
        <v>1421212</v>
      </c>
      <c r="G1073" s="314"/>
      <c r="H1073" s="314">
        <v>42322</v>
      </c>
      <c r="I1073" s="314"/>
      <c r="J1073" s="314">
        <v>14478</v>
      </c>
      <c r="K1073" s="314">
        <v>14478</v>
      </c>
      <c r="L1073" s="314">
        <v>0</v>
      </c>
      <c r="M1073" s="314"/>
      <c r="N1073" s="314"/>
      <c r="O1073" s="314">
        <v>1478012</v>
      </c>
      <c r="P1073" s="314">
        <v>592</v>
      </c>
      <c r="Q1073" s="314"/>
      <c r="R1073" s="314">
        <v>1478012</v>
      </c>
      <c r="S1073" s="314" t="s">
        <v>2565</v>
      </c>
      <c r="T1073" s="314" t="s">
        <v>2311</v>
      </c>
      <c r="U1073" s="320"/>
      <c r="V1073" s="320"/>
      <c r="W1073" s="320"/>
      <c r="X1073" s="331"/>
      <c r="Y1073" s="320"/>
    </row>
    <row r="1074" spans="1:25" x14ac:dyDescent="0.45">
      <c r="A1074" s="313">
        <v>33</v>
      </c>
      <c r="B1074" s="424" t="s">
        <v>753</v>
      </c>
      <c r="C1074" s="428" t="s">
        <v>1919</v>
      </c>
      <c r="D1074" s="314">
        <v>30027297</v>
      </c>
      <c r="E1074" s="314"/>
      <c r="F1074" s="314">
        <v>28071515</v>
      </c>
      <c r="G1074" s="314"/>
      <c r="H1074" s="314">
        <v>1955782</v>
      </c>
      <c r="I1074" s="314"/>
      <c r="J1074" s="314">
        <v>0</v>
      </c>
      <c r="K1074" s="314">
        <v>0</v>
      </c>
      <c r="L1074" s="314">
        <v>0</v>
      </c>
      <c r="M1074" s="314"/>
      <c r="N1074" s="314"/>
      <c r="O1074" s="314">
        <v>29548102</v>
      </c>
      <c r="P1074" s="314">
        <v>593</v>
      </c>
      <c r="Q1074" s="314"/>
      <c r="R1074" s="314">
        <v>30027297</v>
      </c>
      <c r="S1074" s="314">
        <v>479195.28</v>
      </c>
      <c r="T1074" s="314">
        <v>0</v>
      </c>
      <c r="U1074" s="320"/>
      <c r="V1074" s="320"/>
      <c r="W1074" s="320"/>
      <c r="X1074" s="331"/>
      <c r="Y1074" s="355"/>
    </row>
    <row r="1075" spans="1:25" x14ac:dyDescent="0.45">
      <c r="A1075" s="313">
        <v>34</v>
      </c>
      <c r="B1075" s="424" t="s">
        <v>754</v>
      </c>
      <c r="C1075" s="428" t="s">
        <v>1921</v>
      </c>
      <c r="D1075" s="314">
        <v>493796</v>
      </c>
      <c r="E1075" s="314"/>
      <c r="F1075" s="314">
        <v>483282</v>
      </c>
      <c r="G1075" s="314"/>
      <c r="H1075" s="314">
        <v>10514</v>
      </c>
      <c r="I1075" s="314"/>
      <c r="J1075" s="314">
        <v>0</v>
      </c>
      <c r="K1075" s="314">
        <v>0</v>
      </c>
      <c r="L1075" s="314">
        <v>0</v>
      </c>
      <c r="M1075" s="314"/>
      <c r="N1075" s="314"/>
      <c r="O1075" s="314">
        <v>493796</v>
      </c>
      <c r="P1075" s="314">
        <v>594</v>
      </c>
      <c r="Q1075" s="314"/>
      <c r="R1075" s="314">
        <v>493796</v>
      </c>
      <c r="S1075" s="314" t="s">
        <v>2565</v>
      </c>
      <c r="T1075" s="314" t="s">
        <v>2310</v>
      </c>
      <c r="U1075" s="320"/>
      <c r="V1075" s="320"/>
      <c r="W1075" s="320"/>
      <c r="X1075" s="331"/>
      <c r="Y1075" s="327"/>
    </row>
    <row r="1076" spans="1:25" x14ac:dyDescent="0.45">
      <c r="A1076" s="313">
        <v>35</v>
      </c>
      <c r="B1076" s="424" t="s">
        <v>755</v>
      </c>
      <c r="C1076" s="428" t="s">
        <v>1925</v>
      </c>
      <c r="D1076" s="314">
        <v>109677</v>
      </c>
      <c r="E1076" s="314"/>
      <c r="F1076" s="314">
        <v>106084</v>
      </c>
      <c r="G1076" s="314"/>
      <c r="H1076" s="314">
        <v>3593</v>
      </c>
      <c r="I1076" s="314"/>
      <c r="J1076" s="314">
        <v>0</v>
      </c>
      <c r="K1076" s="314">
        <v>0</v>
      </c>
      <c r="L1076" s="314">
        <v>0</v>
      </c>
      <c r="M1076" s="314"/>
      <c r="N1076" s="314"/>
      <c r="O1076" s="314">
        <v>109677</v>
      </c>
      <c r="P1076" s="314">
        <v>595</v>
      </c>
      <c r="Q1076" s="314"/>
      <c r="R1076" s="314">
        <v>109677</v>
      </c>
      <c r="S1076" s="314" t="s">
        <v>2565</v>
      </c>
      <c r="T1076" s="314">
        <v>0</v>
      </c>
      <c r="U1076" s="320"/>
      <c r="V1076" s="320"/>
      <c r="W1076" s="320"/>
      <c r="X1076" s="331"/>
      <c r="Y1076" s="355"/>
    </row>
    <row r="1077" spans="1:25" x14ac:dyDescent="0.45">
      <c r="A1077" s="313">
        <v>36</v>
      </c>
      <c r="B1077" s="424" t="s">
        <v>756</v>
      </c>
      <c r="C1077" s="428" t="s">
        <v>1922</v>
      </c>
      <c r="D1077" s="314">
        <v>0</v>
      </c>
      <c r="E1077" s="314"/>
      <c r="F1077" s="314">
        <v>0</v>
      </c>
      <c r="G1077" s="314"/>
      <c r="H1077" s="314">
        <v>0</v>
      </c>
      <c r="I1077" s="314"/>
      <c r="J1077" s="314">
        <v>0</v>
      </c>
      <c r="K1077" s="314">
        <v>0</v>
      </c>
      <c r="L1077" s="314">
        <v>0</v>
      </c>
      <c r="M1077" s="314"/>
      <c r="N1077" s="314"/>
      <c r="O1077" s="314">
        <v>0</v>
      </c>
      <c r="P1077" s="314">
        <v>596</v>
      </c>
      <c r="Q1077" s="314"/>
      <c r="R1077" s="314">
        <v>0</v>
      </c>
      <c r="S1077" s="314" t="s">
        <v>2565</v>
      </c>
      <c r="T1077" s="314" t="s">
        <v>2513</v>
      </c>
      <c r="U1077" s="320"/>
      <c r="V1077" s="320"/>
      <c r="W1077" s="320"/>
      <c r="X1077" s="331"/>
      <c r="Y1077" s="327"/>
    </row>
    <row r="1078" spans="1:25" x14ac:dyDescent="0.45">
      <c r="A1078" s="313">
        <v>37</v>
      </c>
      <c r="B1078" s="424" t="s">
        <v>757</v>
      </c>
      <c r="C1078" s="428" t="s">
        <v>1923</v>
      </c>
      <c r="D1078" s="314">
        <v>30</v>
      </c>
      <c r="E1078" s="314"/>
      <c r="F1078" s="314">
        <v>28</v>
      </c>
      <c r="G1078" s="314"/>
      <c r="H1078" s="314">
        <v>2</v>
      </c>
      <c r="I1078" s="314"/>
      <c r="J1078" s="314">
        <v>0</v>
      </c>
      <c r="K1078" s="314">
        <v>0</v>
      </c>
      <c r="L1078" s="314">
        <v>0</v>
      </c>
      <c r="M1078" s="314"/>
      <c r="N1078" s="314"/>
      <c r="O1078" s="314">
        <v>30</v>
      </c>
      <c r="P1078" s="314">
        <v>597</v>
      </c>
      <c r="Q1078" s="314"/>
      <c r="R1078" s="314">
        <v>30</v>
      </c>
      <c r="S1078" s="314" t="s">
        <v>2565</v>
      </c>
      <c r="T1078" s="314">
        <v>479195</v>
      </c>
      <c r="U1078" s="320"/>
      <c r="V1078" s="320"/>
      <c r="W1078" s="320"/>
      <c r="X1078" s="331"/>
      <c r="Y1078" s="355"/>
    </row>
    <row r="1079" spans="1:25" x14ac:dyDescent="0.45">
      <c r="A1079" s="313">
        <v>38</v>
      </c>
      <c r="B1079" s="424" t="s">
        <v>758</v>
      </c>
      <c r="C1079" s="425" t="s">
        <v>1442</v>
      </c>
      <c r="D1079" s="314">
        <v>613638</v>
      </c>
      <c r="E1079" s="314"/>
      <c r="F1079" s="314">
        <v>584150</v>
      </c>
      <c r="G1079" s="314"/>
      <c r="H1079" s="314">
        <v>28544</v>
      </c>
      <c r="I1079" s="314"/>
      <c r="J1079" s="314">
        <v>944</v>
      </c>
      <c r="K1079" s="314">
        <v>937</v>
      </c>
      <c r="L1079" s="314">
        <v>7</v>
      </c>
      <c r="M1079" s="314"/>
      <c r="N1079" s="314"/>
      <c r="O1079" s="314">
        <v>613638</v>
      </c>
      <c r="P1079" s="314">
        <v>598</v>
      </c>
      <c r="Q1079" s="314"/>
      <c r="R1079" s="314">
        <v>613638</v>
      </c>
      <c r="S1079" s="314" t="s">
        <v>2565</v>
      </c>
      <c r="T1079" s="314"/>
      <c r="U1079" s="320"/>
      <c r="V1079" s="320"/>
      <c r="W1079" s="320"/>
      <c r="X1079" s="331"/>
      <c r="Y1079" s="327"/>
    </row>
    <row r="1080" spans="1:25" x14ac:dyDescent="0.45">
      <c r="A1080" s="313">
        <v>39</v>
      </c>
      <c r="B1080" s="424" t="s">
        <v>759</v>
      </c>
      <c r="C1080" s="312"/>
      <c r="D1080" s="314">
        <v>32775935</v>
      </c>
      <c r="E1080" s="314"/>
      <c r="F1080" s="314">
        <v>30717186</v>
      </c>
      <c r="G1080" s="314"/>
      <c r="H1080" s="314">
        <v>2043245</v>
      </c>
      <c r="I1080" s="314"/>
      <c r="J1080" s="314">
        <v>15504</v>
      </c>
      <c r="K1080" s="314">
        <v>15496</v>
      </c>
      <c r="L1080" s="314">
        <v>8</v>
      </c>
      <c r="M1080" s="314"/>
      <c r="N1080" s="314"/>
      <c r="O1080" s="314"/>
      <c r="P1080" s="314"/>
      <c r="Q1080" s="314"/>
      <c r="R1080" s="314"/>
      <c r="S1080" s="314"/>
      <c r="T1080" s="314"/>
      <c r="U1080" s="320"/>
      <c r="V1080" s="320"/>
      <c r="W1080" s="320"/>
      <c r="X1080" s="331"/>
      <c r="Y1080" s="320"/>
    </row>
    <row r="1081" spans="1:25" x14ac:dyDescent="0.45">
      <c r="A1081" s="45"/>
      <c r="B1081" s="45"/>
      <c r="C1081" s="312"/>
      <c r="D1081" s="314"/>
      <c r="E1081" s="314"/>
      <c r="F1081" s="314"/>
      <c r="G1081" s="314"/>
      <c r="H1081" s="314"/>
      <c r="I1081" s="314"/>
      <c r="J1081" s="314"/>
      <c r="K1081" s="314"/>
      <c r="L1081" s="314"/>
      <c r="M1081" s="314"/>
      <c r="N1081" s="314"/>
      <c r="O1081" s="314"/>
      <c r="P1081" s="314"/>
      <c r="Q1081" s="314"/>
      <c r="R1081" s="314"/>
      <c r="S1081" s="314"/>
      <c r="T1081" s="314"/>
      <c r="U1081" s="320"/>
      <c r="V1081" s="320"/>
      <c r="W1081" s="320"/>
      <c r="X1081" s="331"/>
    </row>
    <row r="1082" spans="1:25" x14ac:dyDescent="0.45">
      <c r="A1082" s="313">
        <v>40</v>
      </c>
      <c r="B1082" s="424" t="s">
        <v>760</v>
      </c>
      <c r="C1082" s="312"/>
      <c r="D1082" s="314">
        <v>63822145</v>
      </c>
      <c r="E1082" s="314"/>
      <c r="F1082" s="314">
        <v>60130492</v>
      </c>
      <c r="G1082" s="314"/>
      <c r="H1082" s="314">
        <v>3626199</v>
      </c>
      <c r="I1082" s="314"/>
      <c r="J1082" s="314">
        <v>65454</v>
      </c>
      <c r="K1082" s="314">
        <v>61942</v>
      </c>
      <c r="L1082" s="314">
        <v>3512</v>
      </c>
      <c r="M1082" s="314"/>
      <c r="N1082" s="314"/>
      <c r="O1082" s="314"/>
      <c r="P1082" s="314"/>
      <c r="Q1082" s="314"/>
      <c r="R1082" s="314"/>
      <c r="S1082" s="314"/>
      <c r="T1082" s="314"/>
      <c r="U1082" s="320"/>
      <c r="V1082" s="320"/>
      <c r="W1082" s="320"/>
      <c r="X1082" s="331"/>
    </row>
    <row r="1083" spans="1:25" x14ac:dyDescent="0.45">
      <c r="A1083" s="45"/>
      <c r="B1083" s="45"/>
      <c r="C1083" s="312"/>
      <c r="D1083" s="314"/>
      <c r="E1083" s="314"/>
      <c r="F1083" s="314"/>
      <c r="G1083" s="314"/>
      <c r="H1083" s="314"/>
      <c r="I1083" s="314"/>
      <c r="J1083" s="314"/>
      <c r="K1083" s="314"/>
      <c r="L1083" s="314"/>
      <c r="M1083" s="314"/>
      <c r="N1083" s="314"/>
      <c r="O1083" s="314"/>
      <c r="P1083" s="314"/>
      <c r="Q1083" s="314"/>
      <c r="R1083" s="314"/>
      <c r="S1083" s="314"/>
      <c r="T1083" s="314"/>
      <c r="U1083" s="320"/>
      <c r="V1083" s="320"/>
      <c r="W1083" s="320"/>
      <c r="X1083" s="331"/>
    </row>
    <row r="1084" spans="1:25" x14ac:dyDescent="0.45">
      <c r="A1084" s="45"/>
      <c r="B1084" s="45"/>
      <c r="C1084" s="45"/>
      <c r="D1084" s="314"/>
      <c r="E1084" s="314"/>
      <c r="F1084" s="314"/>
      <c r="G1084" s="314"/>
      <c r="H1084" s="314"/>
      <c r="I1084" s="314"/>
      <c r="J1084" s="314"/>
      <c r="K1084" s="314"/>
      <c r="L1084" s="314"/>
      <c r="M1084" s="314"/>
      <c r="N1084" s="314"/>
      <c r="O1084" s="314"/>
      <c r="P1084" s="314"/>
      <c r="Q1084" s="314"/>
      <c r="R1084" s="314"/>
      <c r="S1084" s="314"/>
      <c r="T1084" s="314"/>
      <c r="U1084" s="320"/>
      <c r="V1084" s="320"/>
      <c r="W1084" s="320"/>
      <c r="X1084" s="331"/>
    </row>
    <row r="1085" spans="1:25" x14ac:dyDescent="0.45">
      <c r="A1085" s="45"/>
      <c r="B1085" s="426" t="s">
        <v>1094</v>
      </c>
      <c r="C1085" s="45"/>
      <c r="D1085" s="314"/>
      <c r="E1085" s="314"/>
      <c r="F1085" s="314"/>
      <c r="G1085" s="314"/>
      <c r="H1085" s="314"/>
      <c r="I1085" s="314"/>
      <c r="J1085" s="314"/>
      <c r="K1085" s="314"/>
      <c r="L1085" s="314"/>
      <c r="M1085" s="314"/>
      <c r="N1085" s="314"/>
      <c r="O1085" s="314"/>
      <c r="P1085" s="314"/>
      <c r="Q1085" s="314"/>
      <c r="R1085" s="314"/>
      <c r="S1085" s="314"/>
      <c r="T1085" s="314"/>
      <c r="U1085" s="320"/>
      <c r="V1085" s="320"/>
      <c r="W1085" s="320"/>
      <c r="X1085" s="331"/>
    </row>
    <row r="1086" spans="1:25" x14ac:dyDescent="0.45">
      <c r="A1086" s="45"/>
      <c r="B1086" s="45"/>
      <c r="C1086" s="45"/>
      <c r="D1086" s="314"/>
      <c r="E1086" s="314"/>
      <c r="F1086" s="314"/>
      <c r="G1086" s="314"/>
      <c r="H1086" s="314"/>
      <c r="I1086" s="314"/>
      <c r="J1086" s="314"/>
      <c r="K1086" s="314"/>
      <c r="L1086" s="314"/>
      <c r="M1086" s="314"/>
      <c r="N1086" s="314"/>
      <c r="O1086" s="314"/>
      <c r="P1086" s="314"/>
      <c r="Q1086" s="314"/>
      <c r="R1086" s="314"/>
      <c r="S1086" s="314"/>
      <c r="T1086" s="314"/>
      <c r="U1086" s="320"/>
      <c r="V1086" s="320"/>
      <c r="W1086" s="320"/>
      <c r="X1086" s="331"/>
    </row>
    <row r="1087" spans="1:25" x14ac:dyDescent="0.45">
      <c r="A1087" s="45"/>
      <c r="B1087" s="424" t="s">
        <v>761</v>
      </c>
      <c r="C1087" s="45"/>
      <c r="D1087" s="314"/>
      <c r="E1087" s="314"/>
      <c r="F1087" s="314"/>
      <c r="G1087" s="314"/>
      <c r="H1087" s="314"/>
      <c r="I1087" s="314"/>
      <c r="J1087" s="314"/>
      <c r="K1087" s="314"/>
      <c r="L1087" s="314"/>
      <c r="M1087" s="314"/>
      <c r="N1087" s="314"/>
      <c r="O1087" s="314"/>
      <c r="P1087" s="314"/>
      <c r="Q1087" s="314"/>
      <c r="R1087" s="314"/>
      <c r="S1087" s="314"/>
      <c r="T1087" s="314"/>
      <c r="U1087" s="320"/>
      <c r="V1087" s="320"/>
      <c r="W1087" s="320"/>
      <c r="X1087" s="331"/>
    </row>
    <row r="1088" spans="1:25" x14ac:dyDescent="0.45">
      <c r="A1088" s="313">
        <v>1</v>
      </c>
      <c r="B1088" s="424" t="s">
        <v>737</v>
      </c>
      <c r="C1088" s="425" t="s">
        <v>535</v>
      </c>
      <c r="D1088" s="314">
        <v>4454051</v>
      </c>
      <c r="E1088" s="314"/>
      <c r="F1088" s="314">
        <v>4235757</v>
      </c>
      <c r="G1088" s="314"/>
      <c r="H1088" s="314">
        <v>216500</v>
      </c>
      <c r="I1088" s="314"/>
      <c r="J1088" s="314">
        <v>1795</v>
      </c>
      <c r="K1088" s="314">
        <v>718</v>
      </c>
      <c r="L1088" s="314">
        <v>1077</v>
      </c>
      <c r="M1088" s="314"/>
      <c r="N1088" s="314"/>
      <c r="O1088" s="314">
        <v>4454051</v>
      </c>
      <c r="P1088" s="314">
        <v>901</v>
      </c>
      <c r="Q1088" s="314"/>
      <c r="R1088" s="314">
        <v>4454051</v>
      </c>
      <c r="S1088" s="314" t="s">
        <v>2565</v>
      </c>
      <c r="T1088" s="314"/>
      <c r="U1088" s="320"/>
      <c r="V1088" s="320"/>
      <c r="W1088" s="320"/>
      <c r="X1088" s="331"/>
    </row>
    <row r="1089" spans="1:25" x14ac:dyDescent="0.45">
      <c r="A1089" s="313">
        <v>2</v>
      </c>
      <c r="B1089" s="424" t="s">
        <v>327</v>
      </c>
      <c r="C1089" s="425" t="s">
        <v>1395</v>
      </c>
      <c r="D1089" s="314">
        <v>10412449</v>
      </c>
      <c r="E1089" s="314"/>
      <c r="F1089" s="314">
        <v>9902132</v>
      </c>
      <c r="G1089" s="314"/>
      <c r="H1089" s="314">
        <v>506122</v>
      </c>
      <c r="I1089" s="314"/>
      <c r="J1089" s="314">
        <v>4196</v>
      </c>
      <c r="K1089" s="314">
        <v>1678</v>
      </c>
      <c r="L1089" s="314">
        <v>2518</v>
      </c>
      <c r="M1089" s="314"/>
      <c r="N1089" s="314"/>
      <c r="O1089" s="314">
        <v>10412449</v>
      </c>
      <c r="P1089" s="314">
        <v>902</v>
      </c>
      <c r="Q1089" s="314"/>
      <c r="R1089" s="314">
        <v>10412449</v>
      </c>
      <c r="S1089" s="314" t="s">
        <v>2565</v>
      </c>
      <c r="T1089" s="314"/>
      <c r="U1089" s="320"/>
      <c r="V1089" s="320"/>
      <c r="W1089" s="320"/>
      <c r="X1089" s="331"/>
      <c r="Y1089" s="320"/>
    </row>
    <row r="1090" spans="1:25" x14ac:dyDescent="0.45">
      <c r="A1090" s="313">
        <v>3</v>
      </c>
      <c r="B1090" s="424" t="s">
        <v>328</v>
      </c>
      <c r="C1090" s="425" t="s">
        <v>1397</v>
      </c>
      <c r="D1090" s="314">
        <v>22595043</v>
      </c>
      <c r="E1090" s="314"/>
      <c r="F1090" s="314">
        <v>21487653</v>
      </c>
      <c r="G1090" s="314"/>
      <c r="H1090" s="314">
        <v>1098285</v>
      </c>
      <c r="I1090" s="314"/>
      <c r="J1090" s="314">
        <v>9105</v>
      </c>
      <c r="K1090" s="314">
        <v>3642</v>
      </c>
      <c r="L1090" s="314">
        <v>5463</v>
      </c>
      <c r="M1090" s="314"/>
      <c r="N1090" s="314"/>
      <c r="O1090" s="314">
        <v>22595043</v>
      </c>
      <c r="P1090" s="314">
        <v>903</v>
      </c>
      <c r="Q1090" s="314"/>
      <c r="R1090" s="314">
        <v>22595043</v>
      </c>
      <c r="S1090" s="314" t="s">
        <v>2565</v>
      </c>
      <c r="T1090" s="314"/>
      <c r="U1090" s="320"/>
      <c r="V1090" s="320"/>
      <c r="W1090" s="320"/>
      <c r="X1090" s="331"/>
      <c r="Y1090" s="320"/>
    </row>
    <row r="1091" spans="1:25" x14ac:dyDescent="0.45">
      <c r="A1091" s="313">
        <v>4</v>
      </c>
      <c r="B1091" s="424" t="s">
        <v>329</v>
      </c>
      <c r="C1091" s="425" t="s">
        <v>1399</v>
      </c>
      <c r="D1091" s="314">
        <v>4885488</v>
      </c>
      <c r="E1091" s="314"/>
      <c r="F1091" s="314">
        <v>4646049</v>
      </c>
      <c r="G1091" s="314"/>
      <c r="H1091" s="314">
        <v>237471</v>
      </c>
      <c r="I1091" s="314"/>
      <c r="J1091" s="314">
        <v>1969</v>
      </c>
      <c r="K1091" s="314">
        <v>787</v>
      </c>
      <c r="L1091" s="314">
        <v>1181</v>
      </c>
      <c r="M1091" s="314"/>
      <c r="N1091" s="314"/>
      <c r="O1091" s="314">
        <v>4885488</v>
      </c>
      <c r="P1091" s="314">
        <v>904</v>
      </c>
      <c r="Q1091" s="314"/>
      <c r="R1091" s="314">
        <v>4885488</v>
      </c>
      <c r="S1091" s="314" t="s">
        <v>2565</v>
      </c>
      <c r="T1091" s="314"/>
      <c r="U1091" s="320"/>
      <c r="V1091" s="320"/>
      <c r="W1091" s="320"/>
      <c r="X1091" s="331"/>
      <c r="Y1091" s="320"/>
    </row>
    <row r="1092" spans="1:25" x14ac:dyDescent="0.45">
      <c r="A1092" s="313">
        <v>5</v>
      </c>
      <c r="B1092" s="424" t="s">
        <v>330</v>
      </c>
      <c r="C1092" s="428" t="s">
        <v>1926</v>
      </c>
      <c r="D1092" s="314">
        <v>174346</v>
      </c>
      <c r="E1092" s="314"/>
      <c r="F1092" s="314">
        <v>165801</v>
      </c>
      <c r="G1092" s="314"/>
      <c r="H1092" s="314">
        <v>8474</v>
      </c>
      <c r="I1092" s="314"/>
      <c r="J1092" s="314">
        <v>70</v>
      </c>
      <c r="K1092" s="314">
        <v>28</v>
      </c>
      <c r="L1092" s="314">
        <v>42</v>
      </c>
      <c r="M1092" s="314"/>
      <c r="N1092" s="314"/>
      <c r="O1092" s="314">
        <v>174346</v>
      </c>
      <c r="P1092" s="314">
        <v>905</v>
      </c>
      <c r="Q1092" s="314"/>
      <c r="R1092" s="314">
        <v>174346</v>
      </c>
      <c r="S1092" s="314" t="s">
        <v>2565</v>
      </c>
      <c r="T1092" s="314"/>
      <c r="U1092" s="320"/>
      <c r="V1092" s="320"/>
      <c r="W1092" s="320"/>
      <c r="X1092" s="331"/>
      <c r="Y1092" s="320"/>
    </row>
    <row r="1093" spans="1:25" x14ac:dyDescent="0.45">
      <c r="A1093" s="313">
        <v>6</v>
      </c>
      <c r="B1093" s="424" t="s">
        <v>331</v>
      </c>
      <c r="C1093" s="45"/>
      <c r="D1093" s="314">
        <v>42521377</v>
      </c>
      <c r="E1093" s="314"/>
      <c r="F1093" s="314">
        <v>40437391</v>
      </c>
      <c r="G1093" s="314"/>
      <c r="H1093" s="314">
        <v>2066851</v>
      </c>
      <c r="I1093" s="314"/>
      <c r="J1093" s="314">
        <v>17135</v>
      </c>
      <c r="K1093" s="314">
        <v>6854</v>
      </c>
      <c r="L1093" s="314">
        <v>10281</v>
      </c>
      <c r="M1093" s="314"/>
      <c r="N1093" s="314"/>
      <c r="O1093" s="314"/>
      <c r="P1093" s="314"/>
      <c r="Q1093" s="314"/>
      <c r="R1093" s="314"/>
      <c r="S1093" s="314"/>
      <c r="T1093" s="314"/>
      <c r="U1093" s="320"/>
      <c r="V1093" s="320"/>
      <c r="W1093" s="320"/>
      <c r="X1093" s="331"/>
      <c r="Y1093" s="320"/>
    </row>
    <row r="1094" spans="1:25" x14ac:dyDescent="0.45">
      <c r="A1094" s="45"/>
      <c r="B1094" s="45"/>
      <c r="C1094" s="45"/>
      <c r="D1094" s="314"/>
      <c r="E1094" s="314"/>
      <c r="F1094" s="314"/>
      <c r="G1094" s="314"/>
      <c r="H1094" s="314"/>
      <c r="I1094" s="314"/>
      <c r="J1094" s="314"/>
      <c r="K1094" s="314"/>
      <c r="L1094" s="314"/>
      <c r="M1094" s="314"/>
      <c r="N1094" s="314"/>
      <c r="O1094" s="314"/>
      <c r="P1094" s="314"/>
      <c r="Q1094" s="314"/>
      <c r="R1094" s="314"/>
      <c r="S1094" s="314"/>
      <c r="T1094" s="314"/>
      <c r="U1094" s="320"/>
      <c r="V1094" s="320"/>
      <c r="W1094" s="320"/>
      <c r="X1094" s="331"/>
    </row>
    <row r="1095" spans="1:25" x14ac:dyDescent="0.45">
      <c r="A1095" s="45"/>
      <c r="B1095" s="424" t="s">
        <v>332</v>
      </c>
      <c r="C1095" s="45"/>
      <c r="D1095" s="314"/>
      <c r="E1095" s="314"/>
      <c r="F1095" s="314"/>
      <c r="G1095" s="314"/>
      <c r="H1095" s="314"/>
      <c r="I1095" s="314"/>
      <c r="J1095" s="314"/>
      <c r="K1095" s="314"/>
      <c r="L1095" s="314"/>
      <c r="M1095" s="314"/>
      <c r="N1095" s="314"/>
      <c r="O1095" s="314"/>
      <c r="P1095" s="314"/>
      <c r="Q1095" s="314"/>
      <c r="R1095" s="314"/>
      <c r="S1095" s="314"/>
      <c r="T1095" s="314"/>
      <c r="U1095" s="320"/>
      <c r="V1095" s="320"/>
      <c r="W1095" s="320"/>
      <c r="X1095" s="331"/>
    </row>
    <row r="1096" spans="1:25" x14ac:dyDescent="0.45">
      <c r="A1096" s="313">
        <v>7</v>
      </c>
      <c r="B1096" s="424" t="s">
        <v>333</v>
      </c>
      <c r="C1096" s="425" t="s">
        <v>541</v>
      </c>
      <c r="D1096" s="314">
        <v>373399</v>
      </c>
      <c r="E1096" s="314"/>
      <c r="F1096" s="314">
        <v>368993</v>
      </c>
      <c r="G1096" s="314"/>
      <c r="H1096" s="314">
        <v>4406</v>
      </c>
      <c r="I1096" s="314"/>
      <c r="J1096" s="314">
        <v>0</v>
      </c>
      <c r="K1096" s="314">
        <v>0</v>
      </c>
      <c r="L1096" s="314">
        <v>0</v>
      </c>
      <c r="M1096" s="314"/>
      <c r="N1096" s="314"/>
      <c r="O1096" s="314">
        <v>373399</v>
      </c>
      <c r="P1096" s="314">
        <v>907</v>
      </c>
      <c r="Q1096" s="314"/>
      <c r="R1096" s="314">
        <v>373399</v>
      </c>
      <c r="S1096" s="314" t="s">
        <v>2565</v>
      </c>
      <c r="T1096" s="314"/>
      <c r="U1096" s="320"/>
      <c r="V1096" s="320"/>
      <c r="W1096" s="320"/>
      <c r="X1096" s="331"/>
    </row>
    <row r="1097" spans="1:25" x14ac:dyDescent="0.45">
      <c r="A1097" s="313">
        <v>8</v>
      </c>
      <c r="B1097" s="424" t="s">
        <v>334</v>
      </c>
      <c r="C1097" s="425" t="s">
        <v>1409</v>
      </c>
      <c r="D1097" s="314">
        <v>9171811</v>
      </c>
      <c r="E1097" s="314"/>
      <c r="F1097" s="314">
        <v>9171811</v>
      </c>
      <c r="G1097" s="314"/>
      <c r="H1097" s="314">
        <v>0</v>
      </c>
      <c r="I1097" s="314"/>
      <c r="J1097" s="314">
        <v>0</v>
      </c>
      <c r="K1097" s="314">
        <v>0</v>
      </c>
      <c r="L1097" s="314">
        <v>0</v>
      </c>
      <c r="M1097" s="314"/>
      <c r="N1097" s="314"/>
      <c r="O1097" s="314">
        <v>9171811</v>
      </c>
      <c r="P1097" s="314">
        <v>908</v>
      </c>
      <c r="Q1097" s="314"/>
      <c r="R1097" s="314">
        <v>9171811</v>
      </c>
      <c r="S1097" s="314" t="s">
        <v>2565</v>
      </c>
      <c r="T1097" s="314"/>
      <c r="U1097" s="320"/>
      <c r="V1097" s="320"/>
      <c r="W1097" s="320"/>
      <c r="X1097" s="331"/>
      <c r="Y1097" s="320"/>
    </row>
    <row r="1098" spans="1:25" x14ac:dyDescent="0.45">
      <c r="A1098" s="313">
        <v>9</v>
      </c>
      <c r="B1098" s="424" t="s">
        <v>335</v>
      </c>
      <c r="C1098" s="425" t="s">
        <v>1411</v>
      </c>
      <c r="D1098" s="314">
        <v>1788015</v>
      </c>
      <c r="E1098" s="314"/>
      <c r="F1098" s="314">
        <v>1698677</v>
      </c>
      <c r="G1098" s="314"/>
      <c r="H1098" s="314">
        <v>89338</v>
      </c>
      <c r="I1098" s="314"/>
      <c r="J1098" s="314">
        <v>0</v>
      </c>
      <c r="K1098" s="314">
        <v>0</v>
      </c>
      <c r="L1098" s="314">
        <v>0</v>
      </c>
      <c r="M1098" s="314"/>
      <c r="N1098" s="314"/>
      <c r="O1098" s="314">
        <v>1788015</v>
      </c>
      <c r="P1098" s="314">
        <v>909</v>
      </c>
      <c r="Q1098" s="314"/>
      <c r="R1098" s="314">
        <v>1788015</v>
      </c>
      <c r="S1098" s="314" t="s">
        <v>2565</v>
      </c>
      <c r="T1098" s="314"/>
      <c r="U1098" s="320"/>
      <c r="V1098" s="320"/>
      <c r="W1098" s="320"/>
      <c r="X1098" s="331"/>
      <c r="Y1098" s="320"/>
    </row>
    <row r="1099" spans="1:25" x14ac:dyDescent="0.45">
      <c r="A1099" s="313">
        <v>10</v>
      </c>
      <c r="B1099" s="424" t="s">
        <v>336</v>
      </c>
      <c r="C1099" s="428" t="s">
        <v>1927</v>
      </c>
      <c r="D1099" s="314">
        <v>1833884</v>
      </c>
      <c r="E1099" s="314"/>
      <c r="F1099" s="314">
        <v>1818935</v>
      </c>
      <c r="G1099" s="314"/>
      <c r="H1099" s="314">
        <v>14949</v>
      </c>
      <c r="I1099" s="314"/>
      <c r="J1099" s="314">
        <v>0</v>
      </c>
      <c r="K1099" s="314">
        <v>0</v>
      </c>
      <c r="L1099" s="314">
        <v>0</v>
      </c>
      <c r="M1099" s="314"/>
      <c r="N1099" s="314"/>
      <c r="O1099" s="314">
        <v>1833884</v>
      </c>
      <c r="P1099" s="314">
        <v>910</v>
      </c>
      <c r="Q1099" s="314"/>
      <c r="R1099" s="314">
        <v>1833884</v>
      </c>
      <c r="S1099" s="314" t="s">
        <v>2565</v>
      </c>
      <c r="T1099" s="314"/>
      <c r="U1099" s="320"/>
      <c r="V1099" s="320"/>
      <c r="W1099" s="320"/>
      <c r="X1099" s="331"/>
      <c r="Y1099" s="320"/>
    </row>
    <row r="1100" spans="1:25" x14ac:dyDescent="0.45">
      <c r="A1100" s="313">
        <v>11</v>
      </c>
      <c r="B1100" s="424" t="s">
        <v>337</v>
      </c>
      <c r="C1100" s="45"/>
      <c r="D1100" s="314">
        <v>13167109</v>
      </c>
      <c r="E1100" s="314"/>
      <c r="F1100" s="314">
        <v>13058416</v>
      </c>
      <c r="G1100" s="314"/>
      <c r="H1100" s="314">
        <v>108693</v>
      </c>
      <c r="I1100" s="314"/>
      <c r="J1100" s="314">
        <v>0</v>
      </c>
      <c r="K1100" s="314">
        <v>0</v>
      </c>
      <c r="L1100" s="314">
        <v>0</v>
      </c>
      <c r="M1100" s="314"/>
      <c r="N1100" s="314"/>
      <c r="O1100" s="314"/>
      <c r="P1100" s="314"/>
      <c r="Q1100" s="314"/>
      <c r="R1100" s="314"/>
      <c r="S1100" s="314"/>
      <c r="T1100" s="314"/>
      <c r="U1100" s="320"/>
      <c r="V1100" s="320"/>
      <c r="W1100" s="320"/>
      <c r="X1100" s="331"/>
      <c r="Y1100" s="320"/>
    </row>
    <row r="1101" spans="1:25" x14ac:dyDescent="0.45">
      <c r="A1101" s="45"/>
      <c r="B1101" s="45"/>
      <c r="C1101" s="45"/>
      <c r="D1101" s="314"/>
      <c r="E1101" s="314"/>
      <c r="F1101" s="314"/>
      <c r="G1101" s="314"/>
      <c r="H1101" s="314"/>
      <c r="I1101" s="314"/>
      <c r="J1101" s="314"/>
      <c r="K1101" s="314"/>
      <c r="L1101" s="314"/>
      <c r="M1101" s="314"/>
      <c r="N1101" s="314"/>
      <c r="O1101" s="314"/>
      <c r="P1101" s="314"/>
      <c r="Q1101" s="314"/>
      <c r="R1101" s="314"/>
      <c r="S1101" s="314"/>
      <c r="T1101" s="314"/>
      <c r="U1101" s="320"/>
      <c r="V1101" s="320"/>
      <c r="W1101" s="320"/>
      <c r="X1101" s="331"/>
    </row>
    <row r="1102" spans="1:25" x14ac:dyDescent="0.45">
      <c r="A1102" s="45"/>
      <c r="B1102" s="424" t="s">
        <v>338</v>
      </c>
      <c r="C1102" s="45"/>
      <c r="D1102" s="314"/>
      <c r="E1102" s="314"/>
      <c r="F1102" s="314"/>
      <c r="G1102" s="314"/>
      <c r="H1102" s="314"/>
      <c r="I1102" s="314"/>
      <c r="J1102" s="314"/>
      <c r="K1102" s="314"/>
      <c r="L1102" s="314"/>
      <c r="M1102" s="314"/>
      <c r="N1102" s="314"/>
      <c r="O1102" s="314"/>
      <c r="P1102" s="314"/>
      <c r="Q1102" s="314"/>
      <c r="R1102" s="314"/>
      <c r="S1102" s="314"/>
      <c r="T1102" s="314"/>
      <c r="U1102" s="320"/>
      <c r="V1102" s="320"/>
      <c r="W1102" s="320"/>
      <c r="X1102" s="331"/>
    </row>
    <row r="1103" spans="1:25" x14ac:dyDescent="0.45">
      <c r="A1103" s="313">
        <v>12</v>
      </c>
      <c r="B1103" s="424" t="s">
        <v>339</v>
      </c>
      <c r="C1103" s="425" t="s">
        <v>541</v>
      </c>
      <c r="D1103" s="314">
        <v>0</v>
      </c>
      <c r="E1103" s="314"/>
      <c r="F1103" s="314">
        <v>0</v>
      </c>
      <c r="G1103" s="314"/>
      <c r="H1103" s="314">
        <v>0</v>
      </c>
      <c r="I1103" s="314"/>
      <c r="J1103" s="314">
        <v>0</v>
      </c>
      <c r="K1103" s="314">
        <v>0</v>
      </c>
      <c r="L1103" s="314">
        <v>0</v>
      </c>
      <c r="M1103" s="314"/>
      <c r="N1103" s="314"/>
      <c r="O1103" s="314">
        <v>0</v>
      </c>
      <c r="P1103" s="314">
        <v>911</v>
      </c>
      <c r="Q1103" s="314"/>
      <c r="R1103" s="314">
        <v>0</v>
      </c>
      <c r="S1103" s="314" t="s">
        <v>2565</v>
      </c>
      <c r="T1103" s="314"/>
      <c r="U1103" s="320"/>
      <c r="V1103" s="320"/>
      <c r="W1103" s="320"/>
      <c r="X1103" s="331"/>
    </row>
    <row r="1104" spans="1:25" x14ac:dyDescent="0.45">
      <c r="A1104" s="313">
        <v>13</v>
      </c>
      <c r="B1104" s="424" t="s">
        <v>340</v>
      </c>
      <c r="C1104" s="425" t="s">
        <v>1413</v>
      </c>
      <c r="D1104" s="314">
        <v>128000</v>
      </c>
      <c r="E1104" s="314"/>
      <c r="F1104" s="314">
        <v>121604</v>
      </c>
      <c r="G1104" s="314"/>
      <c r="H1104" s="314">
        <v>6396</v>
      </c>
      <c r="I1104" s="314"/>
      <c r="J1104" s="314">
        <v>0</v>
      </c>
      <c r="K1104" s="314">
        <v>0</v>
      </c>
      <c r="L1104" s="314">
        <v>0</v>
      </c>
      <c r="M1104" s="314"/>
      <c r="N1104" s="314"/>
      <c r="O1104" s="314">
        <v>128000</v>
      </c>
      <c r="P1104" s="314">
        <v>912</v>
      </c>
      <c r="Q1104" s="314"/>
      <c r="R1104" s="314">
        <v>128000</v>
      </c>
      <c r="S1104" s="314" t="s">
        <v>2565</v>
      </c>
      <c r="T1104" s="314"/>
      <c r="U1104" s="320"/>
      <c r="V1104" s="320"/>
      <c r="W1104" s="320"/>
      <c r="X1104" s="331"/>
      <c r="Y1104" s="320"/>
    </row>
    <row r="1105" spans="1:25" x14ac:dyDescent="0.45">
      <c r="A1105" s="313">
        <v>14</v>
      </c>
      <c r="B1105" s="424" t="s">
        <v>341</v>
      </c>
      <c r="C1105" s="425" t="s">
        <v>1415</v>
      </c>
      <c r="D1105" s="314">
        <v>1095256</v>
      </c>
      <c r="E1105" s="314"/>
      <c r="F1105" s="314">
        <v>1040532</v>
      </c>
      <c r="G1105" s="314"/>
      <c r="H1105" s="314">
        <v>54724</v>
      </c>
      <c r="I1105" s="314"/>
      <c r="J1105" s="314">
        <v>0</v>
      </c>
      <c r="K1105" s="314">
        <v>0</v>
      </c>
      <c r="L1105" s="314">
        <v>0</v>
      </c>
      <c r="M1105" s="314"/>
      <c r="N1105" s="314"/>
      <c r="O1105" s="314">
        <v>1095256</v>
      </c>
      <c r="P1105" s="314">
        <v>913</v>
      </c>
      <c r="Q1105" s="314"/>
      <c r="R1105" s="314">
        <v>1095256</v>
      </c>
      <c r="S1105" s="314" t="s">
        <v>2565</v>
      </c>
      <c r="T1105" s="314"/>
      <c r="U1105" s="320"/>
      <c r="V1105" s="320"/>
      <c r="W1105" s="320"/>
      <c r="X1105" s="331"/>
      <c r="Y1105" s="320"/>
    </row>
    <row r="1106" spans="1:25" x14ac:dyDescent="0.45">
      <c r="A1106" s="313">
        <v>15</v>
      </c>
      <c r="B1106" s="424" t="s">
        <v>342</v>
      </c>
      <c r="C1106" s="428" t="s">
        <v>1928</v>
      </c>
      <c r="D1106" s="314">
        <v>0</v>
      </c>
      <c r="E1106" s="314"/>
      <c r="F1106" s="314">
        <v>0</v>
      </c>
      <c r="G1106" s="314"/>
      <c r="H1106" s="314">
        <v>0</v>
      </c>
      <c r="I1106" s="314"/>
      <c r="J1106" s="314">
        <v>0</v>
      </c>
      <c r="K1106" s="314">
        <v>0</v>
      </c>
      <c r="L1106" s="314">
        <v>0</v>
      </c>
      <c r="M1106" s="314"/>
      <c r="N1106" s="314"/>
      <c r="O1106" s="314">
        <v>0</v>
      </c>
      <c r="P1106" s="314">
        <v>916</v>
      </c>
      <c r="Q1106" s="314"/>
      <c r="R1106" s="314">
        <v>0</v>
      </c>
      <c r="S1106" s="314" t="s">
        <v>2565</v>
      </c>
      <c r="T1106" s="314"/>
      <c r="U1106" s="320"/>
      <c r="V1106" s="320"/>
      <c r="W1106" s="320"/>
      <c r="X1106" s="331"/>
      <c r="Y1106" s="320"/>
    </row>
    <row r="1107" spans="1:25" x14ac:dyDescent="0.45">
      <c r="A1107" s="313">
        <v>16</v>
      </c>
      <c r="B1107" s="424" t="s">
        <v>343</v>
      </c>
      <c r="C1107" s="45"/>
      <c r="D1107" s="314">
        <v>1223256</v>
      </c>
      <c r="E1107" s="314"/>
      <c r="F1107" s="314">
        <v>1162136</v>
      </c>
      <c r="G1107" s="314"/>
      <c r="H1107" s="314">
        <v>61120</v>
      </c>
      <c r="I1107" s="314"/>
      <c r="J1107" s="314">
        <v>0</v>
      </c>
      <c r="K1107" s="314">
        <v>0</v>
      </c>
      <c r="L1107" s="314">
        <v>0</v>
      </c>
      <c r="M1107" s="314"/>
      <c r="N1107" s="314"/>
      <c r="O1107" s="314"/>
      <c r="P1107" s="314"/>
      <c r="Q1107" s="314"/>
      <c r="R1107" s="314"/>
      <c r="S1107" s="314"/>
      <c r="T1107" s="314"/>
      <c r="U1107" s="320"/>
      <c r="V1107" s="320"/>
      <c r="W1107" s="320"/>
      <c r="X1107" s="331"/>
      <c r="Y1107" s="320"/>
    </row>
    <row r="1108" spans="1:25" x14ac:dyDescent="0.45">
      <c r="A1108" s="45"/>
      <c r="B1108" s="45"/>
      <c r="C1108" s="312"/>
      <c r="D1108" s="314"/>
      <c r="E1108" s="314"/>
      <c r="F1108" s="314"/>
      <c r="G1108" s="314"/>
      <c r="H1108" s="314"/>
      <c r="I1108" s="314"/>
      <c r="J1108" s="314"/>
      <c r="K1108" s="314"/>
      <c r="L1108" s="314"/>
      <c r="M1108" s="314"/>
      <c r="N1108" s="314"/>
      <c r="O1108" s="314"/>
      <c r="P1108" s="314"/>
      <c r="Q1108" s="314"/>
      <c r="R1108" s="314"/>
      <c r="S1108" s="314"/>
      <c r="T1108" s="314"/>
      <c r="U1108" s="320"/>
      <c r="V1108" s="320"/>
      <c r="W1108" s="320"/>
      <c r="X1108" s="331"/>
    </row>
    <row r="1109" spans="1:25" x14ac:dyDescent="0.45">
      <c r="A1109" s="45"/>
      <c r="B1109" s="424" t="s">
        <v>344</v>
      </c>
      <c r="C1109" s="312"/>
      <c r="D1109" s="314"/>
      <c r="E1109" s="314"/>
      <c r="F1109" s="314"/>
      <c r="G1109" s="314"/>
      <c r="H1109" s="314"/>
      <c r="I1109" s="314"/>
      <c r="J1109" s="314"/>
      <c r="K1109" s="314"/>
      <c r="L1109" s="314"/>
      <c r="M1109" s="314"/>
      <c r="N1109" s="314"/>
      <c r="O1109" s="314"/>
      <c r="P1109" s="314"/>
      <c r="Q1109" s="314"/>
      <c r="R1109" s="314"/>
      <c r="S1109" s="314"/>
      <c r="T1109" s="314"/>
      <c r="U1109" s="320"/>
      <c r="V1109" s="320"/>
      <c r="W1109" s="320"/>
      <c r="X1109" s="331"/>
    </row>
    <row r="1110" spans="1:25" x14ac:dyDescent="0.45">
      <c r="A1110" s="45"/>
      <c r="B1110" s="45"/>
      <c r="C1110" s="312"/>
      <c r="D1110" s="314"/>
      <c r="E1110" s="314"/>
      <c r="F1110" s="314"/>
      <c r="G1110" s="314"/>
      <c r="H1110" s="314"/>
      <c r="I1110" s="314"/>
      <c r="J1110" s="314"/>
      <c r="K1110" s="314"/>
      <c r="L1110" s="314"/>
      <c r="M1110" s="314"/>
      <c r="N1110" s="314"/>
      <c r="O1110" s="314"/>
      <c r="P1110" s="314"/>
      <c r="Q1110" s="314"/>
      <c r="R1110" s="314"/>
      <c r="S1110" s="314"/>
      <c r="T1110" s="314"/>
      <c r="U1110" s="320"/>
      <c r="V1110" s="320"/>
      <c r="W1110" s="320"/>
      <c r="X1110" s="331"/>
    </row>
    <row r="1111" spans="1:25" x14ac:dyDescent="0.45">
      <c r="A1111" s="45"/>
      <c r="B1111" s="424" t="s">
        <v>267</v>
      </c>
      <c r="C1111" s="312"/>
      <c r="D1111" s="314"/>
      <c r="E1111" s="314"/>
      <c r="F1111" s="314"/>
      <c r="G1111" s="314"/>
      <c r="H1111" s="314"/>
      <c r="I1111" s="314"/>
      <c r="J1111" s="314"/>
      <c r="K1111" s="314"/>
      <c r="L1111" s="314"/>
      <c r="M1111" s="314"/>
      <c r="N1111" s="314"/>
      <c r="O1111" s="314"/>
      <c r="P1111" s="314"/>
      <c r="Q1111" s="314"/>
      <c r="R1111" s="314"/>
      <c r="S1111" s="314"/>
      <c r="T1111" s="314"/>
      <c r="U1111" s="320"/>
      <c r="V1111" s="320"/>
      <c r="W1111" s="320"/>
      <c r="X1111" s="331"/>
    </row>
    <row r="1112" spans="1:25" x14ac:dyDescent="0.45">
      <c r="A1112" s="313">
        <v>17</v>
      </c>
      <c r="B1112" s="424" t="s">
        <v>268</v>
      </c>
      <c r="C1112" s="425" t="s">
        <v>1347</v>
      </c>
      <c r="D1112" s="314">
        <v>9336254</v>
      </c>
      <c r="E1112" s="314"/>
      <c r="F1112" s="314">
        <v>8726372</v>
      </c>
      <c r="G1112" s="314"/>
      <c r="H1112" s="314">
        <v>486703</v>
      </c>
      <c r="I1112" s="314"/>
      <c r="J1112" s="314">
        <v>123179</v>
      </c>
      <c r="K1112" s="314">
        <v>64452</v>
      </c>
      <c r="L1112" s="314">
        <v>58727</v>
      </c>
      <c r="M1112" s="314"/>
      <c r="N1112" s="314"/>
      <c r="O1112" s="314">
        <v>9336254</v>
      </c>
      <c r="P1112" s="314">
        <v>924</v>
      </c>
      <c r="Q1112" s="314"/>
      <c r="R1112" s="314">
        <v>9336254</v>
      </c>
      <c r="S1112" s="314" t="s">
        <v>2565</v>
      </c>
      <c r="T1112" s="314"/>
      <c r="U1112" s="320"/>
      <c r="V1112" s="320"/>
      <c r="W1112" s="320"/>
      <c r="X1112" s="331"/>
    </row>
    <row r="1113" spans="1:25" x14ac:dyDescent="0.45">
      <c r="A1113" s="313">
        <v>18</v>
      </c>
      <c r="B1113" s="424" t="s">
        <v>269</v>
      </c>
      <c r="C1113" s="312"/>
      <c r="D1113" s="314">
        <v>9336254</v>
      </c>
      <c r="E1113" s="314"/>
      <c r="F1113" s="314">
        <v>8726372</v>
      </c>
      <c r="G1113" s="314"/>
      <c r="H1113" s="314">
        <v>486703</v>
      </c>
      <c r="I1113" s="314"/>
      <c r="J1113" s="314">
        <v>123179</v>
      </c>
      <c r="K1113" s="314">
        <v>64452</v>
      </c>
      <c r="L1113" s="314">
        <v>58727</v>
      </c>
      <c r="M1113" s="314"/>
      <c r="N1113" s="314"/>
      <c r="O1113" s="314"/>
      <c r="P1113" s="314"/>
      <c r="Q1113" s="314"/>
      <c r="R1113" s="314"/>
      <c r="S1113" s="314"/>
      <c r="T1113" s="314"/>
      <c r="U1113" s="320"/>
      <c r="V1113" s="320"/>
      <c r="W1113" s="320"/>
      <c r="X1113" s="331"/>
      <c r="Y1113" s="320"/>
    </row>
    <row r="1114" spans="1:25" x14ac:dyDescent="0.45">
      <c r="A1114" s="45"/>
      <c r="B1114" s="45"/>
      <c r="C1114" s="312"/>
      <c r="D1114" s="314"/>
      <c r="E1114" s="314"/>
      <c r="F1114" s="314"/>
      <c r="G1114" s="314"/>
      <c r="H1114" s="314"/>
      <c r="I1114" s="314"/>
      <c r="J1114" s="314"/>
      <c r="K1114" s="314"/>
      <c r="L1114" s="314"/>
      <c r="M1114" s="314"/>
      <c r="N1114" s="314"/>
      <c r="O1114" s="314"/>
      <c r="P1114" s="314"/>
      <c r="Q1114" s="314"/>
      <c r="R1114" s="314"/>
      <c r="S1114" s="314"/>
      <c r="T1114" s="314"/>
      <c r="U1114" s="320"/>
      <c r="V1114" s="320"/>
      <c r="W1114" s="320"/>
      <c r="X1114" s="331"/>
    </row>
    <row r="1115" spans="1:25" x14ac:dyDescent="0.45">
      <c r="A1115" s="45"/>
      <c r="B1115" s="424" t="s">
        <v>270</v>
      </c>
      <c r="C1115" s="312"/>
      <c r="D1115" s="314"/>
      <c r="E1115" s="314"/>
      <c r="F1115" s="314"/>
      <c r="G1115" s="314"/>
      <c r="H1115" s="314"/>
      <c r="I1115" s="314"/>
      <c r="J1115" s="314"/>
      <c r="K1115" s="314"/>
      <c r="L1115" s="314"/>
      <c r="M1115" s="314"/>
      <c r="N1115" s="314"/>
      <c r="O1115" s="314"/>
      <c r="P1115" s="314"/>
      <c r="Q1115" s="314"/>
      <c r="R1115" s="314"/>
      <c r="S1115" s="314"/>
      <c r="T1115" s="314"/>
      <c r="U1115" s="320"/>
      <c r="V1115" s="320"/>
      <c r="W1115" s="320"/>
      <c r="X1115" s="331"/>
    </row>
    <row r="1116" spans="1:25" x14ac:dyDescent="0.45">
      <c r="A1116" s="313">
        <v>19</v>
      </c>
      <c r="B1116" s="424" t="s">
        <v>271</v>
      </c>
      <c r="C1116" s="425" t="s">
        <v>1426</v>
      </c>
      <c r="D1116" s="314">
        <v>35051944</v>
      </c>
      <c r="E1116" s="314"/>
      <c r="F1116" s="314">
        <v>32982894</v>
      </c>
      <c r="G1116" s="314"/>
      <c r="H1116" s="314">
        <v>1667662</v>
      </c>
      <c r="I1116" s="314"/>
      <c r="J1116" s="314">
        <v>401388</v>
      </c>
      <c r="K1116" s="314">
        <v>209288</v>
      </c>
      <c r="L1116" s="314">
        <v>192100</v>
      </c>
      <c r="M1116" s="314"/>
      <c r="N1116" s="314"/>
      <c r="O1116" s="314">
        <v>35051944</v>
      </c>
      <c r="P1116" s="314">
        <v>920</v>
      </c>
      <c r="Q1116" s="314"/>
      <c r="R1116" s="314">
        <v>35051944</v>
      </c>
      <c r="S1116" s="314" t="s">
        <v>2565</v>
      </c>
      <c r="T1116" s="314"/>
      <c r="U1116" s="320"/>
      <c r="V1116" s="320"/>
      <c r="W1116" s="320"/>
      <c r="X1116" s="331"/>
    </row>
    <row r="1117" spans="1:25" x14ac:dyDescent="0.45">
      <c r="A1117" s="313">
        <v>20</v>
      </c>
      <c r="B1117" s="424" t="s">
        <v>272</v>
      </c>
      <c r="C1117" s="425" t="s">
        <v>1426</v>
      </c>
      <c r="D1117" s="314">
        <v>10953868</v>
      </c>
      <c r="E1117" s="314"/>
      <c r="F1117" s="314">
        <v>10307282</v>
      </c>
      <c r="G1117" s="314"/>
      <c r="H1117" s="314">
        <v>521151</v>
      </c>
      <c r="I1117" s="314"/>
      <c r="J1117" s="314">
        <v>125435</v>
      </c>
      <c r="K1117" s="314">
        <v>65403</v>
      </c>
      <c r="L1117" s="314">
        <v>60032</v>
      </c>
      <c r="M1117" s="314"/>
      <c r="N1117" s="314"/>
      <c r="O1117" s="314">
        <v>10953868</v>
      </c>
      <c r="P1117" s="314">
        <v>921</v>
      </c>
      <c r="Q1117" s="314"/>
      <c r="R1117" s="314">
        <v>10953868</v>
      </c>
      <c r="S1117" s="314" t="s">
        <v>2565</v>
      </c>
      <c r="T1117" s="314"/>
      <c r="U1117" s="320"/>
      <c r="V1117" s="320"/>
      <c r="W1117" s="320"/>
      <c r="X1117" s="331"/>
      <c r="Y1117" s="320"/>
    </row>
    <row r="1118" spans="1:25" x14ac:dyDescent="0.45">
      <c r="A1118" s="313">
        <v>21</v>
      </c>
      <c r="B1118" s="424" t="s">
        <v>273</v>
      </c>
      <c r="C1118" s="425" t="s">
        <v>1426</v>
      </c>
      <c r="D1118" s="314">
        <v>-6601177</v>
      </c>
      <c r="E1118" s="314"/>
      <c r="F1118" s="314">
        <v>-6211522</v>
      </c>
      <c r="G1118" s="314"/>
      <c r="H1118" s="314">
        <v>-314063</v>
      </c>
      <c r="I1118" s="314"/>
      <c r="J1118" s="314">
        <v>-75592</v>
      </c>
      <c r="K1118" s="314">
        <v>-39414</v>
      </c>
      <c r="L1118" s="314">
        <v>-36177</v>
      </c>
      <c r="M1118" s="314"/>
      <c r="N1118" s="314"/>
      <c r="O1118" s="314">
        <v>-6601177</v>
      </c>
      <c r="P1118" s="314">
        <v>922</v>
      </c>
      <c r="Q1118" s="314"/>
      <c r="R1118" s="314">
        <v>-6601177</v>
      </c>
      <c r="S1118" s="314" t="s">
        <v>2565</v>
      </c>
      <c r="T1118" s="314"/>
      <c r="U1118" s="320"/>
      <c r="V1118" s="320"/>
      <c r="W1118" s="320"/>
      <c r="X1118" s="331"/>
      <c r="Y1118" s="320"/>
    </row>
    <row r="1119" spans="1:25" x14ac:dyDescent="0.45">
      <c r="A1119" s="313">
        <v>22</v>
      </c>
      <c r="B1119" s="424" t="s">
        <v>274</v>
      </c>
      <c r="C1119" s="425" t="s">
        <v>1426</v>
      </c>
      <c r="D1119" s="314">
        <v>22671063</v>
      </c>
      <c r="E1119" s="314"/>
      <c r="F1119" s="314">
        <v>21332833</v>
      </c>
      <c r="G1119" s="314"/>
      <c r="H1119" s="314">
        <v>1078619</v>
      </c>
      <c r="I1119" s="314"/>
      <c r="J1119" s="314">
        <v>259612</v>
      </c>
      <c r="K1119" s="314">
        <v>135365</v>
      </c>
      <c r="L1119" s="314">
        <v>124247</v>
      </c>
      <c r="M1119" s="314"/>
      <c r="N1119" s="314"/>
      <c r="O1119" s="314">
        <v>22671063</v>
      </c>
      <c r="P1119" s="314">
        <v>923</v>
      </c>
      <c r="Q1119" s="314"/>
      <c r="R1119" s="314">
        <v>22671063</v>
      </c>
      <c r="S1119" s="314" t="s">
        <v>2565</v>
      </c>
      <c r="T1119" s="314"/>
      <c r="U1119" s="320"/>
      <c r="V1119" s="320"/>
      <c r="W1119" s="320"/>
      <c r="X1119" s="331"/>
      <c r="Y1119" s="320"/>
    </row>
    <row r="1120" spans="1:25" x14ac:dyDescent="0.45">
      <c r="A1120" s="313">
        <v>23</v>
      </c>
      <c r="B1120" s="424" t="s">
        <v>275</v>
      </c>
      <c r="C1120" s="425" t="s">
        <v>1426</v>
      </c>
      <c r="D1120" s="314">
        <v>5077359</v>
      </c>
      <c r="E1120" s="314"/>
      <c r="F1120" s="314">
        <v>4777652</v>
      </c>
      <c r="G1120" s="314"/>
      <c r="H1120" s="314">
        <v>241565</v>
      </c>
      <c r="I1120" s="314"/>
      <c r="J1120" s="314">
        <v>58142</v>
      </c>
      <c r="K1120" s="314">
        <v>30316</v>
      </c>
      <c r="L1120" s="314">
        <v>27826</v>
      </c>
      <c r="M1120" s="314"/>
      <c r="N1120" s="314"/>
      <c r="O1120" s="314">
        <v>5077359</v>
      </c>
      <c r="P1120" s="314">
        <v>925</v>
      </c>
      <c r="Q1120" s="314"/>
      <c r="R1120" s="314">
        <v>5077359</v>
      </c>
      <c r="S1120" s="314" t="s">
        <v>2565</v>
      </c>
      <c r="T1120" s="314"/>
      <c r="U1120" s="320"/>
      <c r="V1120" s="320"/>
      <c r="W1120" s="320"/>
      <c r="X1120" s="331"/>
      <c r="Y1120" s="355"/>
    </row>
    <row r="1121" spans="1:32" x14ac:dyDescent="0.45">
      <c r="A1121" s="313">
        <v>24</v>
      </c>
      <c r="B1121" s="424" t="s">
        <v>276</v>
      </c>
      <c r="C1121" s="425" t="s">
        <v>1426</v>
      </c>
      <c r="D1121" s="314">
        <v>33447777</v>
      </c>
      <c r="E1121" s="314"/>
      <c r="F1121" s="314">
        <v>31473418</v>
      </c>
      <c r="G1121" s="314"/>
      <c r="H1121" s="314">
        <v>1591341</v>
      </c>
      <c r="I1121" s="314"/>
      <c r="J1121" s="314">
        <v>383018</v>
      </c>
      <c r="K1121" s="314">
        <v>199710</v>
      </c>
      <c r="L1121" s="314">
        <v>183308</v>
      </c>
      <c r="M1121" s="314"/>
      <c r="N1121" s="314"/>
      <c r="O1121" s="314">
        <v>33447777</v>
      </c>
      <c r="P1121" s="314">
        <v>926</v>
      </c>
      <c r="Q1121" s="314"/>
      <c r="R1121" s="314">
        <v>33659765</v>
      </c>
      <c r="S1121" s="314" t="s">
        <v>2565</v>
      </c>
      <c r="T1121" s="314"/>
      <c r="U1121" s="320" t="s">
        <v>2289</v>
      </c>
      <c r="V1121" s="320" t="s">
        <v>2290</v>
      </c>
      <c r="W1121" s="320" t="s">
        <v>2312</v>
      </c>
      <c r="X1121" s="331" t="s">
        <v>1253</v>
      </c>
      <c r="Y1121" s="332" t="s">
        <v>62</v>
      </c>
      <c r="Z1121" s="320" t="s">
        <v>2057</v>
      </c>
      <c r="AA1121" s="53" t="s">
        <v>2290</v>
      </c>
      <c r="AB1121" s="53" t="s">
        <v>2312</v>
      </c>
      <c r="AC1121" s="53" t="s">
        <v>1253</v>
      </c>
      <c r="AD1121" s="53" t="s">
        <v>62</v>
      </c>
      <c r="AE1121" s="53" t="s">
        <v>2057</v>
      </c>
      <c r="AF1121" s="53" t="s">
        <v>439</v>
      </c>
    </row>
    <row r="1122" spans="1:32" x14ac:dyDescent="0.45">
      <c r="A1122" s="313">
        <v>25</v>
      </c>
      <c r="B1122" s="424" t="s">
        <v>2203</v>
      </c>
      <c r="C1122" s="425" t="s">
        <v>2064</v>
      </c>
      <c r="D1122" s="314">
        <v>0</v>
      </c>
      <c r="E1122" s="314"/>
      <c r="F1122" s="314">
        <v>0</v>
      </c>
      <c r="G1122" s="314"/>
      <c r="H1122" s="314">
        <v>0</v>
      </c>
      <c r="I1122" s="314"/>
      <c r="J1122" s="314">
        <v>0</v>
      </c>
      <c r="K1122" s="314">
        <v>0</v>
      </c>
      <c r="L1122" s="314">
        <v>0</v>
      </c>
      <c r="M1122" s="314"/>
      <c r="N1122" s="314"/>
      <c r="O1122" s="314">
        <v>0</v>
      </c>
      <c r="P1122" s="314"/>
      <c r="Q1122" s="314"/>
      <c r="R1122" s="314"/>
      <c r="S1122" s="314">
        <v>0</v>
      </c>
      <c r="T1122" s="314" t="s">
        <v>2233</v>
      </c>
      <c r="U1122" s="320"/>
      <c r="V1122" s="496">
        <v>170006</v>
      </c>
      <c r="W1122" s="320">
        <v>0</v>
      </c>
      <c r="X1122" s="331">
        <v>41982</v>
      </c>
      <c r="Y1122" s="498">
        <v>211988</v>
      </c>
      <c r="Z1122" s="499">
        <v>21890</v>
      </c>
      <c r="AA1122" s="327">
        <v>170006.27363436497</v>
      </c>
      <c r="AB1122" s="59">
        <v>0</v>
      </c>
      <c r="AC1122" s="59">
        <v>41981.726365635048</v>
      </c>
      <c r="AD1122" s="59">
        <v>211988.00000000003</v>
      </c>
      <c r="AE1122" s="53">
        <v>21889.768764126271</v>
      </c>
      <c r="AF1122" s="53">
        <v>20091.95760150878</v>
      </c>
    </row>
    <row r="1123" spans="1:32" x14ac:dyDescent="0.45">
      <c r="A1123" s="313">
        <v>26</v>
      </c>
      <c r="B1123" s="424" t="s">
        <v>2204</v>
      </c>
      <c r="C1123" s="425" t="s">
        <v>2064</v>
      </c>
      <c r="D1123" s="314">
        <v>170006</v>
      </c>
      <c r="E1123" s="314"/>
      <c r="F1123" s="314">
        <v>0</v>
      </c>
      <c r="G1123" s="314"/>
      <c r="H1123" s="314">
        <v>170006</v>
      </c>
      <c r="I1123" s="314"/>
      <c r="J1123" s="314">
        <v>0</v>
      </c>
      <c r="K1123" s="314">
        <v>0</v>
      </c>
      <c r="L1123" s="314">
        <v>0</v>
      </c>
      <c r="M1123" s="314"/>
      <c r="N1123" s="314"/>
      <c r="O1123" s="314">
        <v>170006</v>
      </c>
      <c r="P1123" s="314"/>
      <c r="Q1123" s="314"/>
      <c r="R1123" s="314"/>
      <c r="S1123" s="314">
        <v>0</v>
      </c>
      <c r="T1123" s="314" t="s">
        <v>2234</v>
      </c>
      <c r="U1123" s="500">
        <v>0.94096999999999997</v>
      </c>
      <c r="V1123" s="500">
        <v>4.7579999999999997E-2</v>
      </c>
      <c r="W1123" s="500">
        <v>0</v>
      </c>
      <c r="X1123" s="500">
        <v>1.145E-2</v>
      </c>
      <c r="Y1123" s="327"/>
      <c r="Z1123" s="501">
        <v>0.52141000000000004</v>
      </c>
      <c r="AA1123" s="59">
        <v>4.7576975215123322E-2</v>
      </c>
      <c r="AB1123" s="59">
        <v>0</v>
      </c>
      <c r="AC1123" s="59">
        <v>1.1451235035014841E-2</v>
      </c>
      <c r="AD1123" s="59"/>
      <c r="AE1123" s="59">
        <v>0.52141182983948375</v>
      </c>
      <c r="AF1123" s="59">
        <v>0.4785881701605163</v>
      </c>
    </row>
    <row r="1124" spans="1:32" x14ac:dyDescent="0.45">
      <c r="A1124" s="313">
        <v>27</v>
      </c>
      <c r="B1124" s="424" t="s">
        <v>2205</v>
      </c>
      <c r="C1124" s="425" t="s">
        <v>2064</v>
      </c>
      <c r="D1124" s="314">
        <v>0</v>
      </c>
      <c r="E1124" s="314"/>
      <c r="F1124" s="314">
        <v>0</v>
      </c>
      <c r="G1124" s="314"/>
      <c r="H1124" s="314">
        <v>0</v>
      </c>
      <c r="I1124" s="314"/>
      <c r="J1124" s="314">
        <v>0</v>
      </c>
      <c r="K1124" s="314">
        <v>0</v>
      </c>
      <c r="L1124" s="314">
        <v>0</v>
      </c>
      <c r="M1124" s="314"/>
      <c r="N1124" s="314"/>
      <c r="O1124" s="314"/>
      <c r="P1124" s="314"/>
      <c r="Q1124" s="314"/>
      <c r="R1124" s="314"/>
      <c r="S1124" s="314">
        <v>0</v>
      </c>
      <c r="T1124" s="314">
        <v>184095229</v>
      </c>
      <c r="U1124" s="496">
        <v>173228434</v>
      </c>
      <c r="V1124" s="496">
        <v>8758678</v>
      </c>
      <c r="W1124" s="320">
        <v>0</v>
      </c>
      <c r="X1124" s="491">
        <v>2108117</v>
      </c>
      <c r="Y1124" s="361"/>
      <c r="Z1124" s="335">
        <v>1099197</v>
      </c>
      <c r="AA1124" s="335">
        <v>8758694.1473554522</v>
      </c>
      <c r="AB1124" s="335">
        <v>0</v>
      </c>
      <c r="AC1124" s="335">
        <v>2108117.7361038802</v>
      </c>
      <c r="AE1124" s="335">
        <v>1099197.5262989942</v>
      </c>
      <c r="AF1124" s="335">
        <v>1008920.2098048863</v>
      </c>
    </row>
    <row r="1125" spans="1:32" x14ac:dyDescent="0.45">
      <c r="A1125" s="313">
        <v>28</v>
      </c>
      <c r="B1125" s="424" t="s">
        <v>2206</v>
      </c>
      <c r="C1125" s="425" t="s">
        <v>2064</v>
      </c>
      <c r="D1125" s="314">
        <v>41982</v>
      </c>
      <c r="E1125" s="314"/>
      <c r="F1125" s="314">
        <v>0</v>
      </c>
      <c r="G1125" s="314"/>
      <c r="H1125" s="314">
        <v>0</v>
      </c>
      <c r="I1125" s="314"/>
      <c r="J1125" s="314">
        <v>41982</v>
      </c>
      <c r="K1125" s="314">
        <v>21890</v>
      </c>
      <c r="L1125" s="314">
        <v>20092</v>
      </c>
      <c r="M1125" s="314"/>
      <c r="N1125" s="314"/>
      <c r="O1125" s="314">
        <v>41982</v>
      </c>
      <c r="P1125" s="314"/>
      <c r="Q1125" s="314"/>
      <c r="R1125" s="314"/>
      <c r="S1125" s="314">
        <v>0</v>
      </c>
      <c r="T1125" s="314"/>
      <c r="U1125" s="320"/>
      <c r="V1125" s="320"/>
      <c r="W1125" s="320"/>
      <c r="Y1125" s="327"/>
      <c r="Z1125" s="327"/>
      <c r="AA1125" s="327"/>
      <c r="AB1125" s="327"/>
      <c r="AE1125" s="327"/>
      <c r="AF1125" s="327"/>
    </row>
    <row r="1126" spans="1:32" x14ac:dyDescent="0.45">
      <c r="A1126" s="313">
        <v>29</v>
      </c>
      <c r="B1126" s="424" t="s">
        <v>2207</v>
      </c>
      <c r="C1126" s="425" t="s">
        <v>2139</v>
      </c>
      <c r="D1126" s="314">
        <v>2965</v>
      </c>
      <c r="E1126" s="314"/>
      <c r="F1126" s="314">
        <v>2822</v>
      </c>
      <c r="G1126" s="314"/>
      <c r="H1126" s="314">
        <v>143</v>
      </c>
      <c r="I1126" s="314"/>
      <c r="J1126" s="314">
        <v>0</v>
      </c>
      <c r="K1126" s="314">
        <v>0</v>
      </c>
      <c r="L1126" s="314">
        <v>0</v>
      </c>
      <c r="M1126" s="314"/>
      <c r="N1126" s="314"/>
      <c r="O1126" s="314">
        <v>2965</v>
      </c>
      <c r="P1126" s="314">
        <v>930.1</v>
      </c>
      <c r="Q1126" s="314"/>
      <c r="R1126" s="314">
        <v>2965</v>
      </c>
      <c r="S1126" s="314"/>
      <c r="T1126" s="314"/>
      <c r="U1126" s="320"/>
      <c r="V1126" s="320"/>
      <c r="W1126" s="320"/>
    </row>
    <row r="1127" spans="1:32" x14ac:dyDescent="0.45">
      <c r="A1127" s="313">
        <v>30</v>
      </c>
      <c r="B1127" s="424" t="s">
        <v>2208</v>
      </c>
      <c r="C1127" s="425" t="s">
        <v>1426</v>
      </c>
      <c r="D1127" s="314">
        <v>3522245</v>
      </c>
      <c r="E1127" s="314"/>
      <c r="F1127" s="314">
        <v>3314333</v>
      </c>
      <c r="G1127" s="314"/>
      <c r="H1127" s="314">
        <v>167577</v>
      </c>
      <c r="I1127" s="314"/>
      <c r="J1127" s="314">
        <v>40334</v>
      </c>
      <c r="K1127" s="314">
        <v>21031</v>
      </c>
      <c r="L1127" s="314">
        <v>19303</v>
      </c>
      <c r="M1127" s="314"/>
      <c r="N1127" s="314"/>
      <c r="O1127" s="314">
        <v>3522245</v>
      </c>
      <c r="P1127" s="314">
        <v>930.2</v>
      </c>
      <c r="Q1127" s="314"/>
      <c r="R1127" s="314">
        <v>3522245</v>
      </c>
      <c r="S1127" s="314" t="s">
        <v>2565</v>
      </c>
      <c r="T1127" s="314" t="s">
        <v>2235</v>
      </c>
      <c r="U1127" s="362"/>
      <c r="V1127" s="362"/>
      <c r="W1127" s="320"/>
      <c r="X1127" s="331"/>
      <c r="Y1127" s="327"/>
      <c r="Z1127" s="327"/>
      <c r="AA1127" s="327"/>
      <c r="AB1127" s="59"/>
      <c r="AC1127" s="59"/>
      <c r="AD1127" s="59"/>
    </row>
    <row r="1128" spans="1:32" x14ac:dyDescent="0.45">
      <c r="A1128" s="313">
        <v>31</v>
      </c>
      <c r="B1128" s="424" t="s">
        <v>278</v>
      </c>
      <c r="C1128" s="425" t="s">
        <v>1426</v>
      </c>
      <c r="D1128" s="314">
        <v>3272215</v>
      </c>
      <c r="E1128" s="314"/>
      <c r="F1128" s="314">
        <v>3079062</v>
      </c>
      <c r="G1128" s="314"/>
      <c r="H1128" s="314">
        <v>155682</v>
      </c>
      <c r="I1128" s="314"/>
      <c r="J1128" s="314">
        <v>37471</v>
      </c>
      <c r="K1128" s="314">
        <v>19538</v>
      </c>
      <c r="L1128" s="314">
        <v>17933</v>
      </c>
      <c r="M1128" s="314"/>
      <c r="N1128" s="314"/>
      <c r="O1128" s="314">
        <v>3272215</v>
      </c>
      <c r="P1128" s="314">
        <v>931</v>
      </c>
      <c r="Q1128" s="314"/>
      <c r="R1128" s="314">
        <v>3272215</v>
      </c>
      <c r="S1128" s="314" t="s">
        <v>2565</v>
      </c>
      <c r="T1128" s="314" t="s">
        <v>2236</v>
      </c>
      <c r="U1128" s="362">
        <v>0</v>
      </c>
      <c r="V1128" s="362" t="s">
        <v>2313</v>
      </c>
      <c r="W1128" s="320"/>
      <c r="X1128" s="331"/>
      <c r="Y1128" s="320"/>
      <c r="AA1128" s="327" t="s">
        <v>2313</v>
      </c>
      <c r="AB1128" s="59"/>
      <c r="AC1128" s="59"/>
      <c r="AD1128" s="59"/>
    </row>
    <row r="1129" spans="1:32" x14ac:dyDescent="0.45">
      <c r="A1129" s="313">
        <v>32</v>
      </c>
      <c r="B1129" s="424" t="s">
        <v>279</v>
      </c>
      <c r="C1129" s="425" t="s">
        <v>1426</v>
      </c>
      <c r="D1129" s="314">
        <v>1777230</v>
      </c>
      <c r="E1129" s="314"/>
      <c r="F1129" s="314">
        <v>1672323</v>
      </c>
      <c r="G1129" s="314"/>
      <c r="H1129" s="314">
        <v>84555</v>
      </c>
      <c r="I1129" s="314"/>
      <c r="J1129" s="314">
        <v>20351</v>
      </c>
      <c r="K1129" s="314">
        <v>10611</v>
      </c>
      <c r="L1129" s="314">
        <v>9740</v>
      </c>
      <c r="M1129" s="314"/>
      <c r="N1129" s="314"/>
      <c r="O1129" s="314">
        <v>1777230</v>
      </c>
      <c r="P1129" s="314">
        <v>935</v>
      </c>
      <c r="Q1129" s="314"/>
      <c r="R1129" s="314">
        <v>1777230</v>
      </c>
      <c r="S1129" s="314" t="s">
        <v>2565</v>
      </c>
      <c r="T1129" s="314"/>
      <c r="U1129" s="320"/>
      <c r="V1129" s="320"/>
      <c r="W1129" s="320"/>
      <c r="X1129" s="331"/>
    </row>
    <row r="1130" spans="1:32" x14ac:dyDescent="0.45">
      <c r="A1130" s="313">
        <v>33</v>
      </c>
      <c r="B1130" s="424" t="s">
        <v>280</v>
      </c>
      <c r="C1130" s="45"/>
      <c r="D1130" s="314">
        <v>109387477</v>
      </c>
      <c r="E1130" s="314"/>
      <c r="F1130" s="314">
        <v>102731097</v>
      </c>
      <c r="G1130" s="314"/>
      <c r="H1130" s="314">
        <v>5364238</v>
      </c>
      <c r="I1130" s="314"/>
      <c r="J1130" s="314">
        <v>1292142</v>
      </c>
      <c r="K1130" s="314">
        <v>673738</v>
      </c>
      <c r="L1130" s="314">
        <v>618404</v>
      </c>
      <c r="M1130" s="314"/>
      <c r="N1130" s="314"/>
      <c r="O1130" s="314"/>
      <c r="P1130" s="314"/>
      <c r="Q1130" s="314"/>
      <c r="R1130" s="314"/>
      <c r="S1130" s="314"/>
      <c r="T1130" s="314"/>
      <c r="U1130" s="362"/>
      <c r="V1130" s="362"/>
      <c r="W1130" s="320"/>
      <c r="X1130" s="331"/>
      <c r="Y1130" s="320"/>
      <c r="AE1130" s="318"/>
    </row>
    <row r="1131" spans="1:32" x14ac:dyDescent="0.45">
      <c r="A1131" s="45"/>
      <c r="B1131" s="45"/>
      <c r="C1131" s="45"/>
      <c r="D1131" s="314"/>
      <c r="E1131" s="314"/>
      <c r="F1131" s="314"/>
      <c r="G1131" s="314"/>
      <c r="H1131" s="314"/>
      <c r="I1131" s="314"/>
      <c r="J1131" s="314"/>
      <c r="K1131" s="314"/>
      <c r="L1131" s="314"/>
      <c r="M1131" s="314"/>
      <c r="N1131" s="314"/>
      <c r="O1131" s="314"/>
      <c r="P1131" s="314"/>
      <c r="Q1131" s="314"/>
      <c r="R1131" s="314"/>
      <c r="S1131" s="314"/>
      <c r="T1131" s="314"/>
      <c r="U1131" s="320"/>
      <c r="V1131" s="320"/>
      <c r="W1131" s="320"/>
      <c r="Y1131" s="334"/>
    </row>
    <row r="1132" spans="1:32" x14ac:dyDescent="0.45">
      <c r="A1132" s="45"/>
      <c r="B1132" s="424" t="s">
        <v>281</v>
      </c>
      <c r="C1132" s="45"/>
      <c r="D1132" s="314"/>
      <c r="E1132" s="314"/>
      <c r="F1132" s="314"/>
      <c r="G1132" s="314"/>
      <c r="H1132" s="314"/>
      <c r="I1132" s="314"/>
      <c r="J1132" s="314"/>
      <c r="K1132" s="314"/>
      <c r="L1132" s="314"/>
      <c r="M1132" s="314"/>
      <c r="N1132" s="314"/>
      <c r="O1132" s="314"/>
      <c r="P1132" s="314"/>
      <c r="Q1132" s="314"/>
      <c r="R1132" s="314"/>
      <c r="S1132" s="314"/>
      <c r="T1132" s="314"/>
      <c r="U1132" s="320"/>
      <c r="V1132" s="320"/>
      <c r="W1132" s="320"/>
      <c r="AE1132" s="318"/>
    </row>
    <row r="1133" spans="1:32" x14ac:dyDescent="0.45">
      <c r="A1133" s="313">
        <v>34</v>
      </c>
      <c r="B1133" s="424" t="s">
        <v>2209</v>
      </c>
      <c r="C1133" s="425" t="s">
        <v>2064</v>
      </c>
      <c r="D1133" s="314">
        <v>434570</v>
      </c>
      <c r="E1133" s="314"/>
      <c r="F1133" s="314">
        <v>434570</v>
      </c>
      <c r="G1133" s="314"/>
      <c r="H1133" s="314">
        <v>0</v>
      </c>
      <c r="I1133" s="314"/>
      <c r="J1133" s="314">
        <v>0</v>
      </c>
      <c r="K1133" s="314">
        <v>0</v>
      </c>
      <c r="L1133" s="314">
        <v>0</v>
      </c>
      <c r="M1133" s="314"/>
      <c r="N1133" s="314"/>
      <c r="O1133" s="314">
        <v>434570</v>
      </c>
      <c r="P1133" s="314">
        <v>0</v>
      </c>
      <c r="Q1133" s="314"/>
      <c r="R1133" s="314"/>
      <c r="S1133" s="314"/>
      <c r="T1133" s="314"/>
      <c r="U1133" s="320"/>
      <c r="V1133" s="320"/>
      <c r="W1133" s="320"/>
    </row>
    <row r="1134" spans="1:32" x14ac:dyDescent="0.45">
      <c r="A1134" s="313">
        <v>35</v>
      </c>
      <c r="B1134" s="424" t="s">
        <v>283</v>
      </c>
      <c r="C1134" s="425" t="s">
        <v>2064</v>
      </c>
      <c r="D1134" s="314">
        <v>30000</v>
      </c>
      <c r="E1134" s="314"/>
      <c r="F1134" s="314">
        <v>0</v>
      </c>
      <c r="G1134" s="314"/>
      <c r="H1134" s="314">
        <v>30000</v>
      </c>
      <c r="I1134" s="314"/>
      <c r="J1134" s="314">
        <v>0</v>
      </c>
      <c r="K1134" s="314">
        <v>0</v>
      </c>
      <c r="L1134" s="314">
        <v>0</v>
      </c>
      <c r="M1134" s="314"/>
      <c r="N1134" s="314"/>
      <c r="O1134" s="314">
        <v>30000</v>
      </c>
      <c r="P1134" s="314"/>
      <c r="Q1134" s="314"/>
      <c r="R1134" s="314"/>
      <c r="S1134" s="314"/>
      <c r="T1134" s="314"/>
      <c r="U1134" s="320"/>
      <c r="V1134" s="320"/>
      <c r="W1134" s="320"/>
      <c r="X1134" s="320"/>
      <c r="Y1134" s="320"/>
      <c r="AE1134" s="336"/>
    </row>
    <row r="1135" spans="1:32" x14ac:dyDescent="0.45">
      <c r="A1135" s="313">
        <v>36</v>
      </c>
      <c r="B1135" s="424" t="s">
        <v>282</v>
      </c>
      <c r="C1135" s="425" t="s">
        <v>53</v>
      </c>
      <c r="D1135" s="314">
        <v>0</v>
      </c>
      <c r="E1135" s="314"/>
      <c r="F1135" s="314">
        <v>0</v>
      </c>
      <c r="G1135" s="314"/>
      <c r="H1135" s="314">
        <v>0</v>
      </c>
      <c r="I1135" s="314"/>
      <c r="J1135" s="314">
        <v>0</v>
      </c>
      <c r="K1135" s="314">
        <v>0</v>
      </c>
      <c r="L1135" s="314">
        <v>0</v>
      </c>
      <c r="M1135" s="314"/>
      <c r="N1135" s="314"/>
      <c r="O1135" s="314">
        <v>0</v>
      </c>
      <c r="P1135" s="314"/>
      <c r="Q1135" s="314"/>
      <c r="R1135" s="314"/>
      <c r="S1135" s="314"/>
      <c r="T1135" s="314" t="s">
        <v>1772</v>
      </c>
      <c r="U1135" s="320" t="s">
        <v>1773</v>
      </c>
      <c r="V1135" s="320" t="s">
        <v>1774</v>
      </c>
      <c r="W1135" s="320" t="s">
        <v>1775</v>
      </c>
      <c r="X1135" s="320" t="s">
        <v>1253</v>
      </c>
      <c r="Y1135" s="320" t="s">
        <v>62</v>
      </c>
      <c r="AA1135" s="53" t="s">
        <v>1774</v>
      </c>
      <c r="AB1135" s="53" t="s">
        <v>1775</v>
      </c>
      <c r="AC1135" s="53" t="s">
        <v>1253</v>
      </c>
      <c r="AD1135" s="53" t="s">
        <v>62</v>
      </c>
      <c r="AE1135" s="336"/>
    </row>
    <row r="1136" spans="1:32" x14ac:dyDescent="0.45">
      <c r="A1136" s="313">
        <v>37</v>
      </c>
      <c r="B1136" s="424" t="s">
        <v>284</v>
      </c>
      <c r="C1136" s="425" t="s">
        <v>1377</v>
      </c>
      <c r="D1136" s="314">
        <v>442476</v>
      </c>
      <c r="E1136" s="314"/>
      <c r="F1136" s="314">
        <v>416735</v>
      </c>
      <c r="G1136" s="314"/>
      <c r="H1136" s="314">
        <v>16736</v>
      </c>
      <c r="I1136" s="314"/>
      <c r="J1136" s="314">
        <v>9005</v>
      </c>
      <c r="K1136" s="314">
        <v>4622</v>
      </c>
      <c r="L1136" s="314">
        <v>4383</v>
      </c>
      <c r="M1136" s="314"/>
      <c r="N1136" s="314"/>
      <c r="O1136" s="314">
        <v>442476</v>
      </c>
      <c r="P1136" s="314">
        <v>928</v>
      </c>
      <c r="Q1136" s="314"/>
      <c r="R1136" s="314">
        <v>442476</v>
      </c>
      <c r="S1136" s="314" t="s">
        <v>2565</v>
      </c>
      <c r="T1136" s="314">
        <v>907046</v>
      </c>
      <c r="U1136" s="496">
        <v>434570</v>
      </c>
      <c r="V1136" s="496">
        <v>30000</v>
      </c>
      <c r="W1136" s="320">
        <v>0</v>
      </c>
      <c r="X1136" s="320">
        <v>0</v>
      </c>
      <c r="Y1136" s="498">
        <v>464570</v>
      </c>
      <c r="Z1136" s="327"/>
      <c r="AA1136" s="327">
        <v>30000</v>
      </c>
      <c r="AB1136" s="59">
        <v>0</v>
      </c>
      <c r="AC1136" s="59">
        <v>0</v>
      </c>
      <c r="AD1136" s="59">
        <v>464570</v>
      </c>
      <c r="AE1136" s="336"/>
    </row>
    <row r="1137" spans="1:34" x14ac:dyDescent="0.45">
      <c r="A1137" s="313">
        <v>38</v>
      </c>
      <c r="B1137" s="424" t="s">
        <v>285</v>
      </c>
      <c r="C1137" s="45"/>
      <c r="D1137" s="314">
        <v>907046</v>
      </c>
      <c r="E1137" s="314"/>
      <c r="F1137" s="314">
        <v>851305</v>
      </c>
      <c r="G1137" s="314"/>
      <c r="H1137" s="314">
        <v>46736</v>
      </c>
      <c r="I1137" s="314"/>
      <c r="J1137" s="314">
        <v>9005</v>
      </c>
      <c r="K1137" s="314">
        <v>4622</v>
      </c>
      <c r="L1137" s="314">
        <v>4383</v>
      </c>
      <c r="M1137" s="314"/>
      <c r="N1137" s="314"/>
      <c r="O1137" s="314"/>
      <c r="P1137" s="314"/>
      <c r="Q1137" s="314"/>
      <c r="R1137" s="314"/>
      <c r="S1137" s="314"/>
      <c r="T1137" s="314" t="s">
        <v>2314</v>
      </c>
      <c r="U1137" s="496">
        <v>422128</v>
      </c>
      <c r="V1137" s="320"/>
      <c r="W1137" s="320"/>
      <c r="X1137" s="331"/>
      <c r="Y1137" s="327"/>
      <c r="Z1137" s="327"/>
      <c r="AA1137" s="59"/>
      <c r="AB1137" s="59"/>
      <c r="AC1137" s="59"/>
      <c r="AD1137" s="59"/>
    </row>
    <row r="1138" spans="1:34" x14ac:dyDescent="0.45">
      <c r="A1138" s="45"/>
      <c r="B1138" s="45"/>
      <c r="C1138" s="45"/>
      <c r="D1138" s="314"/>
      <c r="E1138" s="314"/>
      <c r="F1138" s="314"/>
      <c r="G1138" s="314"/>
      <c r="H1138" s="314"/>
      <c r="I1138" s="314"/>
      <c r="J1138" s="314"/>
      <c r="K1138" s="314"/>
      <c r="L1138" s="314"/>
      <c r="M1138" s="314"/>
      <c r="N1138" s="314"/>
      <c r="O1138" s="314"/>
      <c r="P1138" s="314"/>
      <c r="Q1138" s="314"/>
      <c r="R1138" s="314"/>
      <c r="S1138" s="314"/>
      <c r="T1138" s="314" t="s">
        <v>2315</v>
      </c>
      <c r="U1138" s="496">
        <v>12442</v>
      </c>
      <c r="V1138" s="320"/>
      <c r="W1138" s="320"/>
      <c r="Y1138" s="317"/>
      <c r="Z1138" s="327"/>
      <c r="AC1138" s="59"/>
    </row>
    <row r="1139" spans="1:34" x14ac:dyDescent="0.45">
      <c r="A1139" s="313">
        <v>39</v>
      </c>
      <c r="B1139" s="424" t="s">
        <v>286</v>
      </c>
      <c r="C1139" s="425" t="s">
        <v>876</v>
      </c>
      <c r="D1139" s="314">
        <v>0</v>
      </c>
      <c r="E1139" s="314"/>
      <c r="F1139" s="314">
        <v>0</v>
      </c>
      <c r="G1139" s="314"/>
      <c r="H1139" s="314">
        <v>0</v>
      </c>
      <c r="I1139" s="314"/>
      <c r="J1139" s="314">
        <v>0</v>
      </c>
      <c r="K1139" s="314">
        <v>0</v>
      </c>
      <c r="L1139" s="314">
        <v>0</v>
      </c>
      <c r="M1139" s="314"/>
      <c r="N1139" s="314"/>
      <c r="O1139" s="314">
        <v>0</v>
      </c>
      <c r="P1139" s="314">
        <v>927</v>
      </c>
      <c r="Q1139" s="314"/>
      <c r="R1139" s="314">
        <v>0</v>
      </c>
      <c r="S1139" s="314" t="s">
        <v>2565</v>
      </c>
      <c r="T1139" s="314"/>
      <c r="U1139" s="320"/>
      <c r="V1139" s="320"/>
      <c r="W1139" s="320"/>
      <c r="Y1139" s="317"/>
      <c r="Z1139" s="59"/>
      <c r="AE1139" s="318"/>
    </row>
    <row r="1140" spans="1:34" x14ac:dyDescent="0.45">
      <c r="A1140" s="313">
        <v>40</v>
      </c>
      <c r="B1140" s="424" t="s">
        <v>277</v>
      </c>
      <c r="C1140" s="425" t="s">
        <v>876</v>
      </c>
      <c r="D1140" s="314">
        <v>0</v>
      </c>
      <c r="E1140" s="314"/>
      <c r="F1140" s="314">
        <v>0</v>
      </c>
      <c r="G1140" s="314"/>
      <c r="H1140" s="314">
        <v>0</v>
      </c>
      <c r="I1140" s="314"/>
      <c r="J1140" s="314">
        <v>0</v>
      </c>
      <c r="K1140" s="314">
        <v>0</v>
      </c>
      <c r="L1140" s="314">
        <v>0</v>
      </c>
      <c r="M1140" s="314"/>
      <c r="N1140" s="314"/>
      <c r="O1140" s="314">
        <v>0</v>
      </c>
      <c r="P1140" s="314">
        <v>929</v>
      </c>
      <c r="Q1140" s="314"/>
      <c r="R1140" s="314">
        <v>0</v>
      </c>
      <c r="S1140" s="314" t="s">
        <v>2565</v>
      </c>
      <c r="T1140" s="314"/>
      <c r="U1140" s="496">
        <v>434570</v>
      </c>
      <c r="V1140" s="320"/>
      <c r="W1140" s="320"/>
      <c r="X1140" s="331"/>
      <c r="Y1140" s="317"/>
      <c r="Z1140" s="59"/>
    </row>
    <row r="1141" spans="1:34" x14ac:dyDescent="0.45">
      <c r="A1141" s="45"/>
      <c r="B1141" s="45"/>
      <c r="C1141" s="45"/>
      <c r="D1141" s="314"/>
      <c r="E1141" s="314"/>
      <c r="F1141" s="314"/>
      <c r="G1141" s="314"/>
      <c r="H1141" s="314"/>
      <c r="I1141" s="314"/>
      <c r="J1141" s="314"/>
      <c r="K1141" s="314"/>
      <c r="L1141" s="314"/>
      <c r="M1141" s="314"/>
      <c r="N1141" s="314"/>
      <c r="O1141" s="314"/>
      <c r="P1141" s="314"/>
      <c r="Q1141" s="314"/>
      <c r="R1141" s="314"/>
      <c r="S1141" s="314"/>
      <c r="T1141" s="314"/>
      <c r="U1141" s="320"/>
      <c r="V1141" s="320"/>
      <c r="W1141" s="320"/>
      <c r="X1141" s="331"/>
      <c r="Z1141" s="337"/>
      <c r="AE1141" s="317"/>
      <c r="AH1141" s="317"/>
    </row>
    <row r="1142" spans="1:34" x14ac:dyDescent="0.45">
      <c r="A1142" s="313">
        <v>41</v>
      </c>
      <c r="B1142" s="424" t="s">
        <v>287</v>
      </c>
      <c r="C1142" s="312"/>
      <c r="D1142" s="314">
        <v>119630777</v>
      </c>
      <c r="E1142" s="314"/>
      <c r="F1142" s="314">
        <v>112308775</v>
      </c>
      <c r="G1142" s="314"/>
      <c r="H1142" s="314">
        <v>5897677</v>
      </c>
      <c r="I1142" s="314"/>
      <c r="J1142" s="314">
        <v>1424325</v>
      </c>
      <c r="K1142" s="314">
        <v>742812</v>
      </c>
      <c r="L1142" s="314">
        <v>681513</v>
      </c>
      <c r="M1142" s="314"/>
      <c r="N1142" s="314"/>
      <c r="O1142" s="314"/>
      <c r="P1142" s="314"/>
      <c r="Q1142" s="314"/>
      <c r="R1142" s="314"/>
      <c r="S1142" s="314"/>
      <c r="T1142" s="314"/>
      <c r="U1142" s="320"/>
      <c r="V1142" s="320"/>
      <c r="W1142" s="338"/>
      <c r="Z1142" s="349"/>
      <c r="AA1142" s="318"/>
      <c r="AE1142" s="317"/>
      <c r="AF1142" s="317"/>
      <c r="AH1142" s="317"/>
    </row>
    <row r="1143" spans="1:34" x14ac:dyDescent="0.45">
      <c r="A1143" s="45"/>
      <c r="B1143" s="45"/>
      <c r="C1143" s="312"/>
      <c r="D1143" s="314"/>
      <c r="E1143" s="314"/>
      <c r="F1143" s="314"/>
      <c r="G1143" s="314"/>
      <c r="H1143" s="314"/>
      <c r="I1143" s="314"/>
      <c r="J1143" s="314"/>
      <c r="K1143" s="314"/>
      <c r="L1143" s="314"/>
      <c r="M1143" s="314"/>
      <c r="N1143" s="314"/>
      <c r="O1143" s="314"/>
      <c r="P1143" s="314"/>
      <c r="Q1143" s="314"/>
      <c r="R1143" s="314"/>
      <c r="S1143" s="314"/>
      <c r="T1143" s="314"/>
      <c r="U1143" s="320" t="s">
        <v>2316</v>
      </c>
      <c r="V1143" s="496">
        <v>935841768</v>
      </c>
      <c r="W1143" s="327">
        <v>0</v>
      </c>
      <c r="X1143" s="59"/>
      <c r="Y1143" s="59"/>
      <c r="Z1143" s="59"/>
      <c r="AA1143" s="53">
        <v>935841767.74844038</v>
      </c>
      <c r="AB1143" s="53">
        <v>-1.6689300537109375E-6</v>
      </c>
    </row>
    <row r="1144" spans="1:34" x14ac:dyDescent="0.45">
      <c r="A1144" s="313">
        <v>42</v>
      </c>
      <c r="B1144" s="424" t="s">
        <v>262</v>
      </c>
      <c r="C1144" s="312"/>
      <c r="D1144" s="314">
        <v>935841768</v>
      </c>
      <c r="E1144" s="314"/>
      <c r="F1144" s="314">
        <v>879083724</v>
      </c>
      <c r="G1144" s="314"/>
      <c r="H1144" s="314">
        <v>42365201</v>
      </c>
      <c r="I1144" s="314"/>
      <c r="J1144" s="314">
        <v>14392842</v>
      </c>
      <c r="K1144" s="314">
        <v>7409946</v>
      </c>
      <c r="L1144" s="314">
        <v>6982896</v>
      </c>
      <c r="M1144" s="314"/>
      <c r="N1144" s="314"/>
      <c r="O1144" s="314"/>
      <c r="P1144" s="314"/>
      <c r="Q1144" s="314"/>
      <c r="R1144" s="314"/>
      <c r="S1144" s="314"/>
      <c r="T1144" s="314"/>
      <c r="V1144" s="320"/>
      <c r="W1144" s="327"/>
      <c r="X1144" s="59"/>
      <c r="Y1144" s="59"/>
      <c r="Z1144" s="59"/>
      <c r="AA1144" s="327"/>
      <c r="AB1144" s="330"/>
    </row>
    <row r="1145" spans="1:34" x14ac:dyDescent="0.45">
      <c r="A1145" s="45"/>
      <c r="B1145" s="45" t="s">
        <v>263</v>
      </c>
      <c r="C1145" s="312"/>
      <c r="D1145" s="314">
        <v>777407797</v>
      </c>
      <c r="E1145" s="314"/>
      <c r="F1145" s="314">
        <v>730737983</v>
      </c>
      <c r="G1145" s="314"/>
      <c r="H1145" s="314">
        <v>34450299</v>
      </c>
      <c r="I1145" s="314"/>
      <c r="J1145" s="314">
        <v>12219515</v>
      </c>
      <c r="K1145" s="314"/>
      <c r="L1145" s="314"/>
      <c r="M1145" s="314"/>
      <c r="N1145" s="314"/>
      <c r="O1145" s="314"/>
      <c r="P1145" s="314"/>
      <c r="Q1145" s="314"/>
      <c r="R1145" s="314"/>
      <c r="S1145" s="314"/>
      <c r="T1145" s="314"/>
      <c r="V1145" s="320"/>
      <c r="W1145" s="320"/>
    </row>
    <row r="1146" spans="1:34" x14ac:dyDescent="0.45">
      <c r="A1146" s="45"/>
      <c r="B1146" s="45" t="s">
        <v>264</v>
      </c>
      <c r="C1146" s="312"/>
      <c r="D1146" s="314">
        <v>158433971</v>
      </c>
      <c r="E1146" s="314"/>
      <c r="F1146" s="314">
        <v>148345742</v>
      </c>
      <c r="G1146" s="314"/>
      <c r="H1146" s="314">
        <v>7914902</v>
      </c>
      <c r="I1146" s="314"/>
      <c r="J1146" s="314">
        <v>2173327</v>
      </c>
      <c r="K1146" s="314"/>
      <c r="L1146" s="314"/>
      <c r="M1146" s="314"/>
      <c r="N1146" s="314"/>
      <c r="O1146" s="314"/>
      <c r="P1146" s="314"/>
      <c r="Q1146" s="314"/>
      <c r="R1146" s="314"/>
      <c r="S1146" s="314"/>
      <c r="T1146" s="314"/>
      <c r="W1146" s="320"/>
    </row>
    <row r="1147" spans="1:34" x14ac:dyDescent="0.45">
      <c r="A1147" s="45"/>
      <c r="B1147" s="45" t="s">
        <v>265</v>
      </c>
      <c r="C1147" s="312"/>
      <c r="D1147" s="314">
        <v>320586648</v>
      </c>
      <c r="E1147" s="314"/>
      <c r="F1147" s="314">
        <v>300510510</v>
      </c>
      <c r="G1147" s="314"/>
      <c r="H1147" s="314">
        <v>17134567</v>
      </c>
      <c r="I1147" s="314"/>
      <c r="J1147" s="314">
        <v>2941571</v>
      </c>
      <c r="K1147" s="314"/>
      <c r="L1147" s="314"/>
      <c r="M1147" s="314"/>
      <c r="N1147" s="314"/>
      <c r="O1147" s="314"/>
      <c r="P1147" s="314"/>
      <c r="Q1147" s="314"/>
      <c r="R1147" s="314"/>
      <c r="S1147" s="314"/>
      <c r="T1147" s="314"/>
      <c r="W1147" s="320"/>
    </row>
    <row r="1148" spans="1:34" x14ac:dyDescent="0.45">
      <c r="A1148" s="45"/>
      <c r="B1148" s="426" t="s">
        <v>1170</v>
      </c>
      <c r="C1148" s="312"/>
      <c r="D1148" s="314"/>
      <c r="E1148" s="314"/>
      <c r="F1148" s="314"/>
      <c r="G1148" s="314"/>
      <c r="H1148" s="314"/>
      <c r="I1148" s="314"/>
      <c r="J1148" s="314"/>
      <c r="K1148" s="314"/>
      <c r="L1148" s="314"/>
      <c r="M1148" s="314"/>
      <c r="N1148" s="314"/>
      <c r="O1148" s="314"/>
      <c r="P1148" s="314"/>
      <c r="Q1148" s="314"/>
      <c r="R1148" s="314"/>
      <c r="S1148" s="314"/>
      <c r="T1148" s="314"/>
      <c r="W1148" s="320"/>
    </row>
    <row r="1149" spans="1:34" x14ac:dyDescent="0.45">
      <c r="A1149" s="45"/>
      <c r="B1149" s="45"/>
      <c r="C1149" s="312"/>
      <c r="D1149" s="314"/>
      <c r="E1149" s="314"/>
      <c r="F1149" s="314"/>
      <c r="G1149" s="314"/>
      <c r="H1149" s="314"/>
      <c r="I1149" s="314"/>
      <c r="J1149" s="314"/>
      <c r="K1149" s="314"/>
      <c r="L1149" s="314"/>
      <c r="M1149" s="314"/>
      <c r="N1149" s="314"/>
      <c r="O1149" s="314"/>
      <c r="P1149" s="314"/>
      <c r="Q1149" s="314"/>
      <c r="R1149" s="314"/>
      <c r="S1149" s="314"/>
      <c r="T1149" s="314"/>
      <c r="W1149" s="320"/>
    </row>
    <row r="1150" spans="1:34" x14ac:dyDescent="0.45">
      <c r="A1150" s="45"/>
      <c r="B1150" s="424" t="s">
        <v>1171</v>
      </c>
      <c r="C1150" s="312"/>
      <c r="D1150" s="314"/>
      <c r="E1150" s="314"/>
      <c r="F1150" s="314"/>
      <c r="G1150" s="314"/>
      <c r="H1150" s="314"/>
      <c r="I1150" s="314"/>
      <c r="J1150" s="314"/>
      <c r="K1150" s="314"/>
      <c r="L1150" s="314"/>
      <c r="M1150" s="314"/>
      <c r="N1150" s="314"/>
      <c r="O1150" s="314"/>
      <c r="P1150" s="314"/>
      <c r="Q1150" s="314"/>
      <c r="R1150" s="314"/>
      <c r="S1150" s="314"/>
      <c r="T1150" s="314"/>
      <c r="W1150" s="320"/>
    </row>
    <row r="1151" spans="1:34" x14ac:dyDescent="0.45">
      <c r="A1151" s="45"/>
      <c r="B1151" s="45"/>
      <c r="C1151" s="312"/>
      <c r="D1151" s="314"/>
      <c r="E1151" s="314"/>
      <c r="F1151" s="314"/>
      <c r="G1151" s="314"/>
      <c r="H1151" s="314"/>
      <c r="I1151" s="314"/>
      <c r="J1151" s="314"/>
      <c r="K1151" s="314"/>
      <c r="L1151" s="314"/>
      <c r="M1151" s="314"/>
      <c r="N1151" s="314"/>
      <c r="O1151" s="314"/>
      <c r="P1151" s="314"/>
      <c r="Q1151" s="314"/>
      <c r="R1151" s="314"/>
      <c r="S1151" s="314"/>
      <c r="T1151" s="314"/>
      <c r="W1151" s="320"/>
    </row>
    <row r="1152" spans="1:34" x14ac:dyDescent="0.45">
      <c r="A1152" s="45"/>
      <c r="B1152" s="424" t="s">
        <v>7</v>
      </c>
      <c r="C1152" s="45"/>
      <c r="D1152" s="314"/>
      <c r="E1152" s="314"/>
      <c r="F1152" s="314"/>
      <c r="G1152" s="314"/>
      <c r="H1152" s="314"/>
      <c r="I1152" s="314"/>
      <c r="J1152" s="314"/>
      <c r="K1152" s="314"/>
      <c r="L1152" s="314"/>
      <c r="M1152" s="314"/>
      <c r="N1152" s="314"/>
      <c r="O1152" s="314"/>
      <c r="P1152" s="314"/>
      <c r="Q1152" s="314"/>
      <c r="R1152" s="314"/>
      <c r="S1152" s="314"/>
      <c r="T1152" s="314"/>
      <c r="W1152" s="320"/>
    </row>
    <row r="1153" spans="1:25" x14ac:dyDescent="0.45">
      <c r="A1153" s="45"/>
      <c r="B1153" s="424" t="s">
        <v>8</v>
      </c>
      <c r="C1153" s="45"/>
      <c r="D1153" s="314"/>
      <c r="E1153" s="314"/>
      <c r="F1153" s="314"/>
      <c r="G1153" s="314"/>
      <c r="H1153" s="314"/>
      <c r="I1153" s="314"/>
      <c r="J1153" s="314"/>
      <c r="K1153" s="314"/>
      <c r="L1153" s="314"/>
      <c r="M1153" s="314"/>
      <c r="N1153" s="314"/>
      <c r="O1153" s="314"/>
      <c r="P1153" s="314"/>
      <c r="Q1153" s="314"/>
      <c r="R1153" s="314"/>
      <c r="S1153" s="314"/>
      <c r="T1153" s="314"/>
      <c r="W1153" s="320"/>
    </row>
    <row r="1154" spans="1:25" x14ac:dyDescent="0.45">
      <c r="A1154" s="313">
        <v>1</v>
      </c>
      <c r="B1154" s="424" t="s">
        <v>9</v>
      </c>
      <c r="C1154" s="425" t="s">
        <v>1428</v>
      </c>
      <c r="D1154" s="314">
        <v>269575373</v>
      </c>
      <c r="E1154" s="314"/>
      <c r="F1154" s="314">
        <v>252892159</v>
      </c>
      <c r="G1154" s="314"/>
      <c r="H1154" s="314">
        <v>11452943</v>
      </c>
      <c r="I1154" s="314"/>
      <c r="J1154" s="314">
        <v>5230271</v>
      </c>
      <c r="K1154" s="314">
        <v>2653086</v>
      </c>
      <c r="L1154" s="314">
        <v>2577185</v>
      </c>
      <c r="M1154" s="314"/>
      <c r="N1154" s="314"/>
      <c r="O1154" s="314">
        <v>269575373</v>
      </c>
      <c r="P1154" s="314"/>
      <c r="Q1154" s="314"/>
      <c r="R1154" s="314"/>
      <c r="S1154" s="314"/>
      <c r="T1154" s="314"/>
      <c r="V1154" s="339"/>
      <c r="W1154" s="320"/>
    </row>
    <row r="1155" spans="1:25" x14ac:dyDescent="0.45">
      <c r="A1155" s="313">
        <v>2</v>
      </c>
      <c r="B1155" s="424" t="s">
        <v>11</v>
      </c>
      <c r="C1155" s="425" t="s">
        <v>1271</v>
      </c>
      <c r="D1155" s="314">
        <v>287079</v>
      </c>
      <c r="E1155" s="314"/>
      <c r="F1155" s="314">
        <v>147666</v>
      </c>
      <c r="G1155" s="314"/>
      <c r="H1155" s="314">
        <v>95706</v>
      </c>
      <c r="I1155" s="314"/>
      <c r="J1155" s="314">
        <v>43707</v>
      </c>
      <c r="K1155" s="314">
        <v>22171</v>
      </c>
      <c r="L1155" s="314">
        <v>21536</v>
      </c>
      <c r="M1155" s="314"/>
      <c r="N1155" s="314"/>
      <c r="O1155" s="314">
        <v>287079</v>
      </c>
      <c r="P1155" s="314"/>
      <c r="Q1155" s="314" t="s">
        <v>1172</v>
      </c>
      <c r="R1155" s="314"/>
      <c r="S1155" s="314"/>
      <c r="T1155" s="314"/>
      <c r="U1155" s="320"/>
      <c r="W1155" s="320"/>
      <c r="X1155" s="320"/>
      <c r="Y1155" s="320"/>
    </row>
    <row r="1156" spans="1:25" x14ac:dyDescent="0.45">
      <c r="A1156" s="313">
        <v>3</v>
      </c>
      <c r="B1156" s="424" t="s">
        <v>12</v>
      </c>
      <c r="C1156" s="425" t="s">
        <v>1277</v>
      </c>
      <c r="D1156" s="314">
        <v>188563</v>
      </c>
      <c r="E1156" s="314"/>
      <c r="F1156" s="314">
        <v>145498</v>
      </c>
      <c r="G1156" s="314"/>
      <c r="H1156" s="314">
        <v>0</v>
      </c>
      <c r="I1156" s="314"/>
      <c r="J1156" s="314">
        <v>43065</v>
      </c>
      <c r="K1156" s="314">
        <v>21845</v>
      </c>
      <c r="L1156" s="314">
        <v>21220</v>
      </c>
      <c r="M1156" s="314"/>
      <c r="N1156" s="314"/>
      <c r="O1156" s="314">
        <v>188563</v>
      </c>
      <c r="P1156" s="314"/>
      <c r="Q1156" s="314" t="s">
        <v>1172</v>
      </c>
      <c r="R1156" s="314"/>
      <c r="S1156" s="314"/>
      <c r="T1156" s="314"/>
      <c r="U1156" s="320"/>
      <c r="V1156" s="320"/>
      <c r="W1156" s="320"/>
      <c r="X1156" s="320"/>
      <c r="Y1156" s="320"/>
    </row>
    <row r="1157" spans="1:25" x14ac:dyDescent="0.45">
      <c r="A1157" s="313">
        <v>4</v>
      </c>
      <c r="B1157" s="424" t="s">
        <v>13</v>
      </c>
      <c r="C1157" s="45"/>
      <c r="D1157" s="314">
        <v>270051015</v>
      </c>
      <c r="E1157" s="314"/>
      <c r="F1157" s="314">
        <v>253185323</v>
      </c>
      <c r="G1157" s="314"/>
      <c r="H1157" s="314">
        <v>11548650</v>
      </c>
      <c r="I1157" s="314"/>
      <c r="J1157" s="314">
        <v>5317043</v>
      </c>
      <c r="K1157" s="314">
        <v>2697102</v>
      </c>
      <c r="L1157" s="314">
        <v>2619941</v>
      </c>
      <c r="M1157" s="314"/>
      <c r="N1157" s="314"/>
      <c r="O1157" s="314">
        <v>270051015</v>
      </c>
      <c r="P1157" s="314" t="s">
        <v>2514</v>
      </c>
      <c r="Q1157" s="314" t="s">
        <v>1173</v>
      </c>
      <c r="R1157" s="314"/>
      <c r="S1157" s="314" t="s">
        <v>2289</v>
      </c>
      <c r="T1157" s="314"/>
      <c r="U1157" s="320"/>
      <c r="V1157" s="320"/>
      <c r="W1157" s="320"/>
      <c r="Y1157" s="320"/>
    </row>
    <row r="1158" spans="1:25" x14ac:dyDescent="0.45">
      <c r="A1158" s="313"/>
      <c r="B1158" s="424"/>
      <c r="C1158" s="45"/>
      <c r="D1158" s="314"/>
      <c r="E1158" s="314"/>
      <c r="F1158" s="314"/>
      <c r="G1158" s="314"/>
      <c r="H1158" s="314"/>
      <c r="I1158" s="314"/>
      <c r="J1158" s="314"/>
      <c r="K1158" s="314"/>
      <c r="L1158" s="314"/>
      <c r="M1158" s="314"/>
      <c r="N1158" s="314"/>
      <c r="O1158" s="314"/>
      <c r="P1158" s="314"/>
      <c r="Q1158" s="314"/>
      <c r="R1158" s="314"/>
      <c r="S1158" s="314"/>
      <c r="T1158" s="314"/>
      <c r="V1158" s="317"/>
      <c r="W1158" s="320"/>
    </row>
    <row r="1159" spans="1:25" x14ac:dyDescent="0.45">
      <c r="A1159" s="45"/>
      <c r="B1159" s="424" t="s">
        <v>14</v>
      </c>
      <c r="C1159" s="45"/>
      <c r="D1159" s="314"/>
      <c r="E1159" s="314"/>
      <c r="F1159" s="314"/>
      <c r="G1159" s="314"/>
      <c r="H1159" s="314"/>
      <c r="I1159" s="314"/>
      <c r="J1159" s="314"/>
      <c r="K1159" s="314"/>
      <c r="L1159" s="314"/>
      <c r="M1159" s="314"/>
      <c r="N1159" s="314"/>
      <c r="O1159" s="314"/>
      <c r="P1159" s="314"/>
      <c r="Q1159" s="314"/>
      <c r="R1159" s="314"/>
      <c r="S1159" s="314"/>
      <c r="T1159" s="314"/>
      <c r="V1159" s="317"/>
      <c r="W1159" s="320"/>
    </row>
    <row r="1160" spans="1:25" x14ac:dyDescent="0.45">
      <c r="A1160" s="313">
        <v>5</v>
      </c>
      <c r="B1160" s="424" t="s">
        <v>9</v>
      </c>
      <c r="C1160" s="425" t="s">
        <v>1432</v>
      </c>
      <c r="D1160" s="314">
        <v>1534883</v>
      </c>
      <c r="E1160" s="314"/>
      <c r="F1160" s="314">
        <v>1439894</v>
      </c>
      <c r="G1160" s="314"/>
      <c r="H1160" s="314">
        <v>65210</v>
      </c>
      <c r="I1160" s="314"/>
      <c r="J1160" s="314">
        <v>29780</v>
      </c>
      <c r="K1160" s="314">
        <v>15106</v>
      </c>
      <c r="L1160" s="314">
        <v>14674</v>
      </c>
      <c r="M1160" s="314"/>
      <c r="N1160" s="314"/>
      <c r="O1160" s="314">
        <v>1534883</v>
      </c>
      <c r="P1160" s="314"/>
      <c r="Q1160" s="314"/>
      <c r="R1160" s="314"/>
      <c r="S1160" s="314"/>
      <c r="T1160" s="314"/>
      <c r="W1160" s="320"/>
    </row>
    <row r="1161" spans="1:25" x14ac:dyDescent="0.45">
      <c r="A1161" s="313">
        <v>6</v>
      </c>
      <c r="B1161" s="424" t="s">
        <v>11</v>
      </c>
      <c r="C1161" s="425" t="s">
        <v>1271</v>
      </c>
      <c r="D1161" s="314">
        <v>12</v>
      </c>
      <c r="E1161" s="314"/>
      <c r="F1161" s="314">
        <v>6</v>
      </c>
      <c r="G1161" s="314"/>
      <c r="H1161" s="314">
        <v>4</v>
      </c>
      <c r="I1161" s="314"/>
      <c r="J1161" s="314">
        <v>2</v>
      </c>
      <c r="K1161" s="314">
        <v>1</v>
      </c>
      <c r="L1161" s="314">
        <v>1</v>
      </c>
      <c r="M1161" s="314"/>
      <c r="N1161" s="314"/>
      <c r="O1161" s="314">
        <v>12</v>
      </c>
      <c r="P1161" s="314"/>
      <c r="Q1161" s="314" t="s">
        <v>1172</v>
      </c>
      <c r="R1161" s="314"/>
      <c r="S1161" s="314"/>
      <c r="T1161" s="314"/>
      <c r="U1161" s="320"/>
      <c r="V1161" s="320"/>
      <c r="W1161" s="320"/>
      <c r="X1161" s="320"/>
    </row>
    <row r="1162" spans="1:25" x14ac:dyDescent="0.45">
      <c r="A1162" s="313">
        <v>7</v>
      </c>
      <c r="B1162" s="424" t="s">
        <v>12</v>
      </c>
      <c r="C1162" s="425" t="s">
        <v>1277</v>
      </c>
      <c r="D1162" s="314">
        <v>736</v>
      </c>
      <c r="E1162" s="314"/>
      <c r="F1162" s="314">
        <v>568</v>
      </c>
      <c r="G1162" s="314"/>
      <c r="H1162" s="314">
        <v>0</v>
      </c>
      <c r="I1162" s="314"/>
      <c r="J1162" s="314">
        <v>168</v>
      </c>
      <c r="K1162" s="314">
        <v>85</v>
      </c>
      <c r="L1162" s="314">
        <v>83</v>
      </c>
      <c r="M1162" s="314"/>
      <c r="N1162" s="314"/>
      <c r="O1162" s="314">
        <v>736</v>
      </c>
      <c r="P1162" s="314"/>
      <c r="Q1162" s="314" t="s">
        <v>1172</v>
      </c>
      <c r="R1162" s="314"/>
      <c r="S1162" s="314"/>
      <c r="T1162" s="314"/>
      <c r="U1162" s="320"/>
      <c r="V1162" s="320"/>
      <c r="W1162" s="320"/>
      <c r="X1162" s="320"/>
      <c r="Y1162" s="320"/>
    </row>
    <row r="1163" spans="1:25" x14ac:dyDescent="0.45">
      <c r="A1163" s="313">
        <v>8</v>
      </c>
      <c r="B1163" s="424" t="s">
        <v>15</v>
      </c>
      <c r="C1163" s="45"/>
      <c r="D1163" s="314">
        <v>1535631</v>
      </c>
      <c r="E1163" s="314"/>
      <c r="F1163" s="314">
        <v>1440468</v>
      </c>
      <c r="G1163" s="314"/>
      <c r="H1163" s="314">
        <v>65214</v>
      </c>
      <c r="I1163" s="314"/>
      <c r="J1163" s="314">
        <v>29950</v>
      </c>
      <c r="K1163" s="314">
        <v>15192</v>
      </c>
      <c r="L1163" s="314">
        <v>14757</v>
      </c>
      <c r="M1163" s="314"/>
      <c r="N1163" s="314"/>
      <c r="O1163" s="314">
        <v>1535631</v>
      </c>
      <c r="P1163" s="314" t="s">
        <v>2515</v>
      </c>
      <c r="Q1163" s="314" t="s">
        <v>1173</v>
      </c>
      <c r="R1163" s="314"/>
      <c r="S1163" s="314" t="s">
        <v>2289</v>
      </c>
      <c r="T1163" s="314"/>
      <c r="U1163" s="320"/>
      <c r="V1163" s="320"/>
      <c r="W1163" s="320"/>
    </row>
    <row r="1164" spans="1:25" x14ac:dyDescent="0.45">
      <c r="A1164" s="313"/>
      <c r="B1164" s="424"/>
      <c r="C1164" s="45"/>
      <c r="D1164" s="314"/>
      <c r="E1164" s="314"/>
      <c r="F1164" s="314"/>
      <c r="G1164" s="314"/>
      <c r="H1164" s="314"/>
      <c r="I1164" s="314"/>
      <c r="J1164" s="314"/>
      <c r="K1164" s="314"/>
      <c r="L1164" s="314"/>
      <c r="M1164" s="314"/>
      <c r="N1164" s="314"/>
      <c r="O1164" s="314"/>
      <c r="P1164" s="314"/>
      <c r="Q1164" s="314"/>
      <c r="R1164" s="314"/>
      <c r="S1164" s="314"/>
      <c r="T1164" s="314"/>
      <c r="V1164" s="317"/>
      <c r="W1164" s="320"/>
    </row>
    <row r="1165" spans="1:25" x14ac:dyDescent="0.45">
      <c r="A1165" s="45"/>
      <c r="B1165" s="424" t="s">
        <v>16</v>
      </c>
      <c r="C1165" s="45"/>
      <c r="D1165" s="314"/>
      <c r="E1165" s="314"/>
      <c r="F1165" s="314"/>
      <c r="G1165" s="314"/>
      <c r="H1165" s="314"/>
      <c r="I1165" s="314"/>
      <c r="J1165" s="314"/>
      <c r="K1165" s="314"/>
      <c r="L1165" s="314"/>
      <c r="M1165" s="314"/>
      <c r="N1165" s="314"/>
      <c r="O1165" s="314"/>
      <c r="P1165" s="314"/>
      <c r="Q1165" s="314"/>
      <c r="R1165" s="314"/>
      <c r="S1165" s="314"/>
      <c r="T1165" s="314"/>
      <c r="V1165" s="317"/>
      <c r="W1165" s="320"/>
    </row>
    <row r="1166" spans="1:25" x14ac:dyDescent="0.45">
      <c r="A1166" s="313">
        <v>9</v>
      </c>
      <c r="B1166" s="424" t="s">
        <v>9</v>
      </c>
      <c r="C1166" s="425" t="s">
        <v>1434</v>
      </c>
      <c r="D1166" s="314">
        <v>31558650</v>
      </c>
      <c r="E1166" s="314"/>
      <c r="F1166" s="314">
        <v>29611195</v>
      </c>
      <c r="G1166" s="314"/>
      <c r="H1166" s="314">
        <v>1336918</v>
      </c>
      <c r="I1166" s="314"/>
      <c r="J1166" s="314">
        <v>610537</v>
      </c>
      <c r="K1166" s="314">
        <v>309699</v>
      </c>
      <c r="L1166" s="314">
        <v>300838</v>
      </c>
      <c r="M1166" s="314"/>
      <c r="N1166" s="314"/>
      <c r="O1166" s="314">
        <v>31558650</v>
      </c>
      <c r="P1166" s="314"/>
      <c r="Q1166" s="314"/>
      <c r="R1166" s="314"/>
      <c r="S1166" s="314"/>
      <c r="T1166" s="314"/>
      <c r="W1166" s="320"/>
    </row>
    <row r="1167" spans="1:25" x14ac:dyDescent="0.45">
      <c r="A1167" s="313">
        <v>10</v>
      </c>
      <c r="B1167" s="424" t="s">
        <v>11</v>
      </c>
      <c r="C1167" s="425" t="s">
        <v>1271</v>
      </c>
      <c r="D1167" s="314">
        <v>44</v>
      </c>
      <c r="E1167" s="314"/>
      <c r="F1167" s="314">
        <v>23</v>
      </c>
      <c r="G1167" s="314"/>
      <c r="H1167" s="314">
        <v>15</v>
      </c>
      <c r="I1167" s="314"/>
      <c r="J1167" s="314">
        <v>7</v>
      </c>
      <c r="K1167" s="314">
        <v>3</v>
      </c>
      <c r="L1167" s="314">
        <v>3</v>
      </c>
      <c r="M1167" s="314"/>
      <c r="N1167" s="314"/>
      <c r="O1167" s="314">
        <v>44</v>
      </c>
      <c r="P1167" s="314"/>
      <c r="Q1167" s="314" t="s">
        <v>1172</v>
      </c>
      <c r="R1167" s="314"/>
      <c r="S1167" s="314"/>
      <c r="T1167" s="314"/>
      <c r="U1167" s="320"/>
      <c r="V1167" s="320"/>
      <c r="W1167" s="320"/>
      <c r="X1167" s="320"/>
      <c r="Y1167" s="320"/>
    </row>
    <row r="1168" spans="1:25" x14ac:dyDescent="0.45">
      <c r="A1168" s="313">
        <v>11</v>
      </c>
      <c r="B1168" s="424" t="s">
        <v>12</v>
      </c>
      <c r="C1168" s="425" t="s">
        <v>1277</v>
      </c>
      <c r="D1168" s="314">
        <v>40387</v>
      </c>
      <c r="E1168" s="314"/>
      <c r="F1168" s="314">
        <v>31163</v>
      </c>
      <c r="G1168" s="314"/>
      <c r="H1168" s="314">
        <v>0</v>
      </c>
      <c r="I1168" s="314"/>
      <c r="J1168" s="314">
        <v>9224</v>
      </c>
      <c r="K1168" s="314">
        <v>4679</v>
      </c>
      <c r="L1168" s="314">
        <v>4545</v>
      </c>
      <c r="M1168" s="314"/>
      <c r="N1168" s="314"/>
      <c r="O1168" s="314">
        <v>40387</v>
      </c>
      <c r="P1168" s="314"/>
      <c r="Q1168" s="314" t="s">
        <v>1172</v>
      </c>
      <c r="R1168" s="314"/>
      <c r="S1168" s="314"/>
      <c r="T1168" s="314"/>
      <c r="U1168" s="320"/>
      <c r="V1168" s="320"/>
      <c r="W1168" s="320"/>
      <c r="X1168" s="320"/>
      <c r="Y1168" s="320"/>
    </row>
    <row r="1169" spans="1:28" x14ac:dyDescent="0.45">
      <c r="A1169" s="313">
        <v>12</v>
      </c>
      <c r="B1169" s="424" t="s">
        <v>17</v>
      </c>
      <c r="C1169" s="45"/>
      <c r="D1169" s="314">
        <v>31599081</v>
      </c>
      <c r="E1169" s="314"/>
      <c r="F1169" s="314">
        <v>29642381</v>
      </c>
      <c r="G1169" s="314"/>
      <c r="H1169" s="314">
        <v>1336933</v>
      </c>
      <c r="I1169" s="314"/>
      <c r="J1169" s="314">
        <v>619767</v>
      </c>
      <c r="K1169" s="314">
        <v>314381</v>
      </c>
      <c r="L1169" s="314">
        <v>305387</v>
      </c>
      <c r="M1169" s="314"/>
      <c r="N1169" s="314"/>
      <c r="O1169" s="314">
        <v>31599081</v>
      </c>
      <c r="P1169" s="314" t="s">
        <v>1296</v>
      </c>
      <c r="Q1169" s="314" t="s">
        <v>1173</v>
      </c>
      <c r="R1169" s="314"/>
      <c r="S1169" s="314" t="s">
        <v>2289</v>
      </c>
      <c r="T1169" s="314"/>
      <c r="U1169" s="320"/>
      <c r="V1169" s="320"/>
      <c r="W1169" s="320"/>
    </row>
    <row r="1170" spans="1:28" x14ac:dyDescent="0.45">
      <c r="A1170" s="313"/>
      <c r="B1170" s="424"/>
      <c r="C1170" s="45"/>
      <c r="D1170" s="314"/>
      <c r="E1170" s="314"/>
      <c r="F1170" s="314"/>
      <c r="G1170" s="314"/>
      <c r="H1170" s="314"/>
      <c r="I1170" s="314"/>
      <c r="J1170" s="314"/>
      <c r="K1170" s="314"/>
      <c r="L1170" s="314"/>
      <c r="M1170" s="314"/>
      <c r="N1170" s="314"/>
      <c r="O1170" s="314"/>
      <c r="P1170" s="314"/>
      <c r="Q1170" s="314"/>
      <c r="R1170" s="314"/>
      <c r="S1170" s="314"/>
      <c r="T1170" s="314"/>
      <c r="V1170" s="317"/>
      <c r="W1170" s="320"/>
    </row>
    <row r="1171" spans="1:28" x14ac:dyDescent="0.45">
      <c r="A1171" s="313">
        <v>13</v>
      </c>
      <c r="B1171" s="424" t="s">
        <v>18</v>
      </c>
      <c r="C1171" s="45"/>
      <c r="D1171" s="314">
        <v>303185727</v>
      </c>
      <c r="E1171" s="314"/>
      <c r="F1171" s="314">
        <v>284268171</v>
      </c>
      <c r="G1171" s="314"/>
      <c r="H1171" s="314">
        <v>12950796</v>
      </c>
      <c r="I1171" s="314"/>
      <c r="J1171" s="314">
        <v>5966760</v>
      </c>
      <c r="K1171" s="314">
        <v>3026675</v>
      </c>
      <c r="L1171" s="314">
        <v>2940085</v>
      </c>
      <c r="M1171" s="314"/>
      <c r="N1171" s="314"/>
      <c r="O1171" s="314"/>
      <c r="P1171" s="314"/>
      <c r="Q1171" s="314"/>
      <c r="R1171" s="314"/>
      <c r="S1171" s="314"/>
      <c r="T1171" s="314"/>
      <c r="V1171" s="317"/>
      <c r="W1171" s="320"/>
    </row>
    <row r="1172" spans="1:28" x14ac:dyDescent="0.45">
      <c r="A1172" s="45"/>
      <c r="B1172" s="45"/>
      <c r="C1172" s="45"/>
      <c r="D1172" s="314"/>
      <c r="E1172" s="314"/>
      <c r="F1172" s="314"/>
      <c r="G1172" s="314"/>
      <c r="H1172" s="314"/>
      <c r="I1172" s="314"/>
      <c r="J1172" s="314"/>
      <c r="K1172" s="314"/>
      <c r="L1172" s="314"/>
      <c r="M1172" s="314"/>
      <c r="N1172" s="314"/>
      <c r="O1172" s="314"/>
      <c r="P1172" s="314"/>
      <c r="Q1172" s="314"/>
      <c r="R1172" s="314"/>
      <c r="S1172" s="314"/>
      <c r="T1172" s="314"/>
      <c r="W1172" s="320"/>
    </row>
    <row r="1173" spans="1:28" x14ac:dyDescent="0.45">
      <c r="A1173" s="45"/>
      <c r="B1173" s="424" t="s">
        <v>19</v>
      </c>
      <c r="C1173" s="45"/>
      <c r="D1173" s="314"/>
      <c r="E1173" s="314"/>
      <c r="F1173" s="314"/>
      <c r="G1173" s="314"/>
      <c r="H1173" s="314"/>
      <c r="I1173" s="314"/>
      <c r="J1173" s="314"/>
      <c r="K1173" s="314"/>
      <c r="L1173" s="314"/>
      <c r="M1173" s="314"/>
      <c r="N1173" s="314"/>
      <c r="O1173" s="314"/>
      <c r="P1173" s="314"/>
      <c r="Q1173" s="314"/>
      <c r="R1173" s="314"/>
      <c r="S1173" s="314"/>
      <c r="T1173" s="314"/>
      <c r="W1173" s="320"/>
    </row>
    <row r="1174" spans="1:28" x14ac:dyDescent="0.45">
      <c r="A1174" s="313">
        <v>14</v>
      </c>
      <c r="B1174" s="424" t="s">
        <v>1067</v>
      </c>
      <c r="C1174" s="425" t="s">
        <v>2141</v>
      </c>
      <c r="D1174" s="314">
        <v>31568609</v>
      </c>
      <c r="E1174" s="314"/>
      <c r="F1174" s="314">
        <v>30191755</v>
      </c>
      <c r="G1174" s="314"/>
      <c r="H1174" s="314">
        <v>1376854</v>
      </c>
      <c r="I1174" s="314"/>
      <c r="J1174" s="314">
        <v>0</v>
      </c>
      <c r="K1174" s="314">
        <v>0</v>
      </c>
      <c r="L1174" s="314">
        <v>0</v>
      </c>
      <c r="M1174" s="314"/>
      <c r="N1174" s="314"/>
      <c r="O1174" s="314">
        <v>31568609</v>
      </c>
      <c r="P1174" s="314"/>
      <c r="Q1174" s="314" t="s">
        <v>1174</v>
      </c>
      <c r="R1174" s="314"/>
      <c r="S1174" s="314"/>
      <c r="T1174" s="314"/>
      <c r="W1174" s="320"/>
    </row>
    <row r="1175" spans="1:28" x14ac:dyDescent="0.45">
      <c r="A1175" s="313">
        <v>15</v>
      </c>
      <c r="B1175" s="424" t="s">
        <v>1070</v>
      </c>
      <c r="C1175" s="425" t="s">
        <v>1344</v>
      </c>
      <c r="D1175" s="314">
        <v>2398816</v>
      </c>
      <c r="E1175" s="314"/>
      <c r="F1175" s="314">
        <v>192228</v>
      </c>
      <c r="G1175" s="314"/>
      <c r="H1175" s="314">
        <v>2206588</v>
      </c>
      <c r="I1175" s="314"/>
      <c r="J1175" s="314">
        <v>0</v>
      </c>
      <c r="K1175" s="314">
        <v>0</v>
      </c>
      <c r="L1175" s="314">
        <v>0</v>
      </c>
      <c r="M1175" s="314"/>
      <c r="N1175" s="314"/>
      <c r="O1175" s="314">
        <v>2398816</v>
      </c>
      <c r="P1175" s="314" t="s">
        <v>1258</v>
      </c>
      <c r="Q1175" s="314" t="s">
        <v>1173</v>
      </c>
      <c r="R1175" s="314"/>
      <c r="S1175" s="314" t="s">
        <v>2290</v>
      </c>
      <c r="T1175" s="314"/>
      <c r="U1175" s="320"/>
      <c r="V1175" s="317"/>
      <c r="W1175" s="320"/>
      <c r="X1175" s="320"/>
      <c r="Y1175" s="320"/>
      <c r="Z1175" s="320"/>
      <c r="AA1175" s="320"/>
    </row>
    <row r="1176" spans="1:28" x14ac:dyDescent="0.45">
      <c r="A1176" s="313">
        <v>17</v>
      </c>
      <c r="B1176" s="424" t="s">
        <v>1058</v>
      </c>
      <c r="C1176" s="425" t="s">
        <v>1271</v>
      </c>
      <c r="D1176" s="314">
        <v>29637</v>
      </c>
      <c r="E1176" s="314"/>
      <c r="F1176" s="314">
        <v>15244</v>
      </c>
      <c r="G1176" s="314"/>
      <c r="H1176" s="314">
        <v>9880</v>
      </c>
      <c r="I1176" s="314"/>
      <c r="J1176" s="314">
        <v>4512</v>
      </c>
      <c r="K1176" s="314">
        <v>2289</v>
      </c>
      <c r="L1176" s="314">
        <v>2223</v>
      </c>
      <c r="M1176" s="314"/>
      <c r="N1176" s="314"/>
      <c r="O1176" s="314">
        <v>29637</v>
      </c>
      <c r="P1176" s="314"/>
      <c r="Q1176" s="314" t="s">
        <v>1172</v>
      </c>
      <c r="R1176" s="314"/>
      <c r="S1176" s="314"/>
      <c r="T1176" s="314"/>
      <c r="U1176" s="320"/>
      <c r="V1176" s="317"/>
      <c r="W1176" s="320"/>
    </row>
    <row r="1177" spans="1:28" x14ac:dyDescent="0.45">
      <c r="A1177" s="313">
        <v>18</v>
      </c>
      <c r="B1177" s="424" t="s">
        <v>1059</v>
      </c>
      <c r="C1177" s="425" t="s">
        <v>1277</v>
      </c>
      <c r="D1177" s="314">
        <v>7035</v>
      </c>
      <c r="E1177" s="314"/>
      <c r="F1177" s="314">
        <v>5428</v>
      </c>
      <c r="G1177" s="314"/>
      <c r="H1177" s="314">
        <v>0</v>
      </c>
      <c r="I1177" s="314"/>
      <c r="J1177" s="314">
        <v>1607</v>
      </c>
      <c r="K1177" s="314">
        <v>815</v>
      </c>
      <c r="L1177" s="314">
        <v>792</v>
      </c>
      <c r="M1177" s="314"/>
      <c r="N1177" s="314"/>
      <c r="O1177" s="314">
        <v>7035</v>
      </c>
      <c r="P1177" s="314"/>
      <c r="Q1177" s="314" t="s">
        <v>1172</v>
      </c>
      <c r="R1177" s="314"/>
      <c r="S1177" s="314"/>
      <c r="T1177" s="314"/>
      <c r="U1177" s="320"/>
      <c r="V1177" s="320"/>
      <c r="W1177" s="320"/>
      <c r="X1177" s="320"/>
      <c r="Y1177" s="320"/>
    </row>
    <row r="1178" spans="1:28" x14ac:dyDescent="0.45">
      <c r="A1178" s="313">
        <v>19</v>
      </c>
      <c r="B1178" s="424" t="s">
        <v>20</v>
      </c>
      <c r="C1178" s="45"/>
      <c r="D1178" s="314">
        <v>34004097</v>
      </c>
      <c r="E1178" s="314"/>
      <c r="F1178" s="314">
        <v>30404656</v>
      </c>
      <c r="G1178" s="314"/>
      <c r="H1178" s="314">
        <v>3593322</v>
      </c>
      <c r="I1178" s="314"/>
      <c r="J1178" s="314">
        <v>6119</v>
      </c>
      <c r="K1178" s="314">
        <v>3104</v>
      </c>
      <c r="L1178" s="314">
        <v>3015</v>
      </c>
      <c r="M1178" s="314"/>
      <c r="N1178" s="314"/>
      <c r="O1178" s="314">
        <v>34004097</v>
      </c>
      <c r="P1178" s="314" t="s">
        <v>1258</v>
      </c>
      <c r="Q1178" s="314" t="s">
        <v>1173</v>
      </c>
      <c r="R1178" s="314"/>
      <c r="S1178" s="314"/>
      <c r="T1178" s="314"/>
      <c r="U1178" s="320"/>
      <c r="V1178" s="320"/>
      <c r="W1178" s="320"/>
    </row>
    <row r="1179" spans="1:28" x14ac:dyDescent="0.45">
      <c r="A1179" s="45"/>
      <c r="B1179" s="45"/>
      <c r="C1179" s="45"/>
      <c r="D1179" s="314"/>
      <c r="E1179" s="314"/>
      <c r="F1179" s="314"/>
      <c r="G1179" s="314"/>
      <c r="H1179" s="314"/>
      <c r="I1179" s="314"/>
      <c r="J1179" s="314"/>
      <c r="K1179" s="314"/>
      <c r="L1179" s="314"/>
      <c r="M1179" s="314"/>
      <c r="N1179" s="314"/>
      <c r="O1179" s="314"/>
      <c r="P1179" s="314"/>
      <c r="Q1179" s="314"/>
      <c r="R1179" s="314"/>
      <c r="S1179" s="314"/>
      <c r="T1179" s="314"/>
      <c r="V1179" s="317"/>
      <c r="W1179" s="320"/>
    </row>
    <row r="1180" spans="1:28" x14ac:dyDescent="0.45">
      <c r="A1180" s="45"/>
      <c r="B1180" s="424" t="s">
        <v>807</v>
      </c>
      <c r="C1180" s="45"/>
      <c r="D1180" s="314"/>
      <c r="E1180" s="314"/>
      <c r="F1180" s="314"/>
      <c r="G1180" s="314"/>
      <c r="H1180" s="314"/>
      <c r="I1180" s="314"/>
      <c r="J1180" s="314"/>
      <c r="K1180" s="314"/>
      <c r="L1180" s="314"/>
      <c r="M1180" s="314"/>
      <c r="N1180" s="314"/>
      <c r="O1180" s="314"/>
      <c r="P1180" s="314"/>
      <c r="Q1180" s="314"/>
      <c r="R1180" s="314"/>
      <c r="S1180" s="314"/>
      <c r="T1180" s="314"/>
      <c r="W1180" s="320"/>
    </row>
    <row r="1181" spans="1:28" x14ac:dyDescent="0.45">
      <c r="A1181" s="313">
        <v>20</v>
      </c>
      <c r="B1181" s="427" t="s">
        <v>2065</v>
      </c>
      <c r="C1181" s="425" t="s">
        <v>927</v>
      </c>
      <c r="D1181" s="314">
        <v>40214485</v>
      </c>
      <c r="E1181" s="314"/>
      <c r="F1181" s="314">
        <v>40149605</v>
      </c>
      <c r="G1181" s="314"/>
      <c r="H1181" s="314">
        <v>0</v>
      </c>
      <c r="I1181" s="314"/>
      <c r="J1181" s="314">
        <v>64880</v>
      </c>
      <c r="K1181" s="314">
        <v>64386</v>
      </c>
      <c r="L1181" s="314">
        <v>494</v>
      </c>
      <c r="M1181" s="314"/>
      <c r="N1181" s="314"/>
      <c r="O1181" s="314">
        <v>40214485</v>
      </c>
      <c r="P1181" s="314" t="s">
        <v>2516</v>
      </c>
      <c r="Q1181" s="314" t="s">
        <v>1173</v>
      </c>
      <c r="R1181" s="314"/>
      <c r="S1181" s="314" t="s">
        <v>2289</v>
      </c>
      <c r="T1181" s="314"/>
      <c r="W1181" s="320"/>
    </row>
    <row r="1182" spans="1:28" x14ac:dyDescent="0.45">
      <c r="A1182" s="313">
        <v>21</v>
      </c>
      <c r="B1182" s="427" t="s">
        <v>2066</v>
      </c>
      <c r="C1182" s="425" t="s">
        <v>28</v>
      </c>
      <c r="D1182" s="314">
        <v>1886418</v>
      </c>
      <c r="E1182" s="314"/>
      <c r="F1182" s="314">
        <v>0</v>
      </c>
      <c r="G1182" s="314"/>
      <c r="H1182" s="314">
        <v>1886418</v>
      </c>
      <c r="I1182" s="314"/>
      <c r="J1182" s="314">
        <v>0</v>
      </c>
      <c r="K1182" s="314">
        <v>0</v>
      </c>
      <c r="L1182" s="314">
        <v>0</v>
      </c>
      <c r="M1182" s="314"/>
      <c r="N1182" s="314"/>
      <c r="O1182" s="314">
        <v>1886418</v>
      </c>
      <c r="P1182" s="314" t="s">
        <v>2516</v>
      </c>
      <c r="Q1182" s="314" t="s">
        <v>1173</v>
      </c>
      <c r="R1182" s="314"/>
      <c r="S1182" s="314" t="s">
        <v>2290</v>
      </c>
      <c r="T1182" s="314"/>
      <c r="U1182" s="320"/>
      <c r="V1182" s="317"/>
      <c r="W1182" s="320"/>
    </row>
    <row r="1183" spans="1:28" x14ac:dyDescent="0.45">
      <c r="A1183" s="313">
        <v>22</v>
      </c>
      <c r="B1183" s="427" t="s">
        <v>2067</v>
      </c>
      <c r="C1183" s="425" t="s">
        <v>30</v>
      </c>
      <c r="D1183" s="314">
        <v>1631</v>
      </c>
      <c r="E1183" s="314"/>
      <c r="F1183" s="314">
        <v>1631</v>
      </c>
      <c r="G1183" s="314"/>
      <c r="H1183" s="314">
        <v>0</v>
      </c>
      <c r="I1183" s="314"/>
      <c r="J1183" s="314">
        <v>0</v>
      </c>
      <c r="K1183" s="314">
        <v>0</v>
      </c>
      <c r="L1183" s="314">
        <v>0</v>
      </c>
      <c r="M1183" s="314"/>
      <c r="N1183" s="314"/>
      <c r="O1183" s="314">
        <v>1631</v>
      </c>
      <c r="P1183" s="314" t="s">
        <v>2516</v>
      </c>
      <c r="Q1183" s="314" t="s">
        <v>1173</v>
      </c>
      <c r="R1183" s="314"/>
      <c r="S1183" s="314" t="s">
        <v>2312</v>
      </c>
      <c r="T1183" s="314"/>
      <c r="U1183" s="320"/>
      <c r="V1183" s="317"/>
      <c r="W1183" s="320"/>
      <c r="Y1183" s="119"/>
      <c r="Z1183" s="119"/>
      <c r="AA1183" s="119"/>
      <c r="AB1183" s="119"/>
    </row>
    <row r="1184" spans="1:28" x14ac:dyDescent="0.45">
      <c r="A1184" s="313">
        <v>23</v>
      </c>
      <c r="B1184" s="424" t="s">
        <v>21</v>
      </c>
      <c r="C1184" s="312"/>
      <c r="D1184" s="314">
        <v>42102534</v>
      </c>
      <c r="E1184" s="314"/>
      <c r="F1184" s="314">
        <v>40151236</v>
      </c>
      <c r="G1184" s="314"/>
      <c r="H1184" s="314">
        <v>1886418</v>
      </c>
      <c r="I1184" s="314"/>
      <c r="J1184" s="314">
        <v>64880</v>
      </c>
      <c r="K1184" s="314">
        <v>64386</v>
      </c>
      <c r="L1184" s="314">
        <v>494</v>
      </c>
      <c r="M1184" s="314"/>
      <c r="N1184" s="314"/>
      <c r="O1184" s="314">
        <v>42102534</v>
      </c>
      <c r="P1184" s="314"/>
      <c r="Q1184" s="314" t="s">
        <v>1173</v>
      </c>
      <c r="R1184" s="314"/>
      <c r="S1184" s="314"/>
      <c r="T1184" s="314"/>
      <c r="U1184" s="320"/>
      <c r="V1184" s="317"/>
      <c r="W1184" s="320"/>
      <c r="X1184" s="320"/>
      <c r="Y1184" s="119"/>
      <c r="Z1184" s="119"/>
      <c r="AA1184" s="119"/>
      <c r="AB1184" s="119"/>
    </row>
    <row r="1185" spans="1:33" x14ac:dyDescent="0.45">
      <c r="A1185" s="45"/>
      <c r="B1185" s="45"/>
      <c r="C1185" s="312"/>
      <c r="D1185" s="314"/>
      <c r="E1185" s="314"/>
      <c r="F1185" s="314"/>
      <c r="G1185" s="314"/>
      <c r="H1185" s="314"/>
      <c r="I1185" s="314"/>
      <c r="J1185" s="314"/>
      <c r="K1185" s="314"/>
      <c r="L1185" s="314"/>
      <c r="M1185" s="314"/>
      <c r="N1185" s="314"/>
      <c r="O1185" s="314"/>
      <c r="P1185" s="314"/>
      <c r="Q1185" s="314"/>
      <c r="R1185" s="314"/>
      <c r="S1185" s="314"/>
      <c r="T1185" s="314"/>
      <c r="V1185" s="317"/>
      <c r="W1185" s="320"/>
      <c r="Y1185" s="119"/>
      <c r="Z1185" s="363"/>
      <c r="AA1185" s="119"/>
      <c r="AB1185" s="119"/>
    </row>
    <row r="1186" spans="1:33" x14ac:dyDescent="0.45">
      <c r="A1186" s="313">
        <v>24</v>
      </c>
      <c r="B1186" s="424" t="s">
        <v>22</v>
      </c>
      <c r="C1186" s="425" t="s">
        <v>1446</v>
      </c>
      <c r="D1186" s="314">
        <v>14649926</v>
      </c>
      <c r="E1186" s="314"/>
      <c r="F1186" s="314">
        <v>13809821</v>
      </c>
      <c r="G1186" s="314"/>
      <c r="H1186" s="314">
        <v>677128</v>
      </c>
      <c r="I1186" s="314"/>
      <c r="J1186" s="314">
        <v>162977</v>
      </c>
      <c r="K1186" s="314">
        <v>84978</v>
      </c>
      <c r="L1186" s="314">
        <v>77999</v>
      </c>
      <c r="M1186" s="314"/>
      <c r="N1186" s="314"/>
      <c r="O1186" s="314">
        <v>14649926</v>
      </c>
      <c r="P1186" s="314" t="s">
        <v>2517</v>
      </c>
      <c r="Q1186" s="314" t="s">
        <v>1173</v>
      </c>
      <c r="R1186" s="314"/>
      <c r="S1186" s="314"/>
      <c r="T1186" s="314"/>
      <c r="W1186" s="320"/>
      <c r="Y1186" s="119"/>
      <c r="Z1186" s="363"/>
      <c r="AA1186" s="119"/>
      <c r="AB1186" s="119"/>
    </row>
    <row r="1187" spans="1:33" x14ac:dyDescent="0.45">
      <c r="A1187" s="45"/>
      <c r="B1187" s="45"/>
      <c r="C1187" s="45"/>
      <c r="D1187" s="314"/>
      <c r="E1187" s="314"/>
      <c r="F1187" s="314"/>
      <c r="G1187" s="314"/>
      <c r="H1187" s="314"/>
      <c r="I1187" s="314"/>
      <c r="J1187" s="314"/>
      <c r="K1187" s="314"/>
      <c r="L1187" s="314"/>
      <c r="M1187" s="314"/>
      <c r="N1187" s="314"/>
      <c r="O1187" s="314"/>
      <c r="P1187" s="314"/>
      <c r="Q1187" s="314"/>
      <c r="R1187" s="314"/>
      <c r="S1187" s="314"/>
      <c r="T1187" s="314"/>
      <c r="U1187" s="320"/>
      <c r="V1187" s="317"/>
      <c r="W1187" s="320"/>
      <c r="X1187" s="320"/>
      <c r="Y1187" s="119"/>
      <c r="Z1187" s="363"/>
      <c r="AA1187" s="119"/>
      <c r="AB1187" s="119"/>
    </row>
    <row r="1188" spans="1:33" x14ac:dyDescent="0.45">
      <c r="A1188" s="313">
        <v>25</v>
      </c>
      <c r="B1188" s="427" t="s">
        <v>24</v>
      </c>
      <c r="C1188" s="428" t="s">
        <v>1916</v>
      </c>
      <c r="D1188" s="314">
        <v>21922140</v>
      </c>
      <c r="E1188" s="314"/>
      <c r="F1188" s="314">
        <v>20490079</v>
      </c>
      <c r="G1188" s="314"/>
      <c r="H1188" s="314">
        <v>1142825</v>
      </c>
      <c r="I1188" s="314"/>
      <c r="J1188" s="314">
        <v>289236</v>
      </c>
      <c r="K1188" s="314">
        <v>151340</v>
      </c>
      <c r="L1188" s="314">
        <v>137896</v>
      </c>
      <c r="M1188" s="314"/>
      <c r="N1188" s="314"/>
      <c r="O1188" s="314">
        <v>21922140</v>
      </c>
      <c r="P1188" s="314" t="s">
        <v>2518</v>
      </c>
      <c r="Q1188" s="314" t="s">
        <v>1173</v>
      </c>
      <c r="R1188" s="314"/>
      <c r="S1188" s="314">
        <v>303</v>
      </c>
      <c r="T1188" s="314"/>
      <c r="W1188" s="320"/>
      <c r="Y1188" s="119"/>
      <c r="Z1188" s="363"/>
      <c r="AA1188" s="119"/>
      <c r="AB1188" s="119"/>
    </row>
    <row r="1189" spans="1:33" x14ac:dyDescent="0.45">
      <c r="A1189" s="45"/>
      <c r="B1189" s="45"/>
      <c r="C1189" s="45"/>
      <c r="D1189" s="314"/>
      <c r="E1189" s="314"/>
      <c r="F1189" s="314"/>
      <c r="G1189" s="314"/>
      <c r="H1189" s="314"/>
      <c r="I1189" s="314"/>
      <c r="J1189" s="314"/>
      <c r="K1189" s="314"/>
      <c r="L1189" s="314"/>
      <c r="M1189" s="314"/>
      <c r="N1189" s="314"/>
      <c r="O1189" s="314"/>
      <c r="P1189" s="314"/>
      <c r="Q1189" s="314"/>
      <c r="R1189" s="314"/>
      <c r="S1189" s="314"/>
      <c r="T1189" s="314"/>
      <c r="U1189" s="320"/>
      <c r="V1189" s="317"/>
      <c r="W1189" s="320"/>
      <c r="X1189" s="320"/>
      <c r="Y1189" s="119"/>
      <c r="Z1189" s="119"/>
      <c r="AA1189" s="119"/>
      <c r="AB1189" s="119"/>
    </row>
    <row r="1190" spans="1:33" x14ac:dyDescent="0.45">
      <c r="A1190" s="313">
        <v>26</v>
      </c>
      <c r="B1190" s="427" t="s">
        <v>23</v>
      </c>
      <c r="C1190" s="428" t="s">
        <v>1915</v>
      </c>
      <c r="D1190" s="314">
        <v>5241</v>
      </c>
      <c r="E1190" s="314"/>
      <c r="F1190" s="314">
        <v>5241</v>
      </c>
      <c r="G1190" s="314"/>
      <c r="H1190" s="314">
        <v>0</v>
      </c>
      <c r="I1190" s="314"/>
      <c r="J1190" s="314">
        <v>0</v>
      </c>
      <c r="K1190" s="314">
        <v>0</v>
      </c>
      <c r="L1190" s="314">
        <v>0</v>
      </c>
      <c r="M1190" s="314"/>
      <c r="N1190" s="314"/>
      <c r="O1190" s="314">
        <v>5241</v>
      </c>
      <c r="P1190" s="314" t="s">
        <v>2518</v>
      </c>
      <c r="Q1190" s="314" t="s">
        <v>1173</v>
      </c>
      <c r="R1190" s="314"/>
      <c r="S1190" s="314">
        <v>302</v>
      </c>
      <c r="T1190" s="314"/>
      <c r="W1190" s="320"/>
      <c r="Y1190" s="119"/>
      <c r="Z1190" s="119"/>
      <c r="AA1190" s="119"/>
      <c r="AB1190" s="119"/>
    </row>
    <row r="1191" spans="1:33" x14ac:dyDescent="0.45">
      <c r="A1191" s="45"/>
      <c r="B1191" s="45"/>
      <c r="C1191" s="312"/>
      <c r="D1191" s="314"/>
      <c r="E1191" s="314"/>
      <c r="F1191" s="314"/>
      <c r="G1191" s="314"/>
      <c r="H1191" s="314"/>
      <c r="I1191" s="314"/>
      <c r="J1191" s="314"/>
      <c r="K1191" s="314"/>
      <c r="L1191" s="314"/>
      <c r="M1191" s="314"/>
      <c r="N1191" s="314"/>
      <c r="O1191" s="314"/>
      <c r="P1191" s="314"/>
      <c r="Q1191" s="314"/>
      <c r="R1191" s="314"/>
      <c r="S1191" s="314"/>
      <c r="T1191" s="314" t="s">
        <v>2317</v>
      </c>
      <c r="U1191" s="320"/>
      <c r="V1191" s="317"/>
      <c r="W1191" s="320"/>
      <c r="X1191" s="320"/>
      <c r="Y1191" s="320"/>
    </row>
    <row r="1192" spans="1:33" x14ac:dyDescent="0.45">
      <c r="A1192" s="313">
        <v>27</v>
      </c>
      <c r="B1192" s="424" t="s">
        <v>798</v>
      </c>
      <c r="C1192" s="312"/>
      <c r="D1192" s="314">
        <v>415869665</v>
      </c>
      <c r="E1192" s="314"/>
      <c r="F1192" s="314">
        <v>389129204</v>
      </c>
      <c r="G1192" s="314"/>
      <c r="H1192" s="314">
        <v>20250490</v>
      </c>
      <c r="I1192" s="314"/>
      <c r="J1192" s="314">
        <v>6489972</v>
      </c>
      <c r="K1192" s="314">
        <v>3330483</v>
      </c>
      <c r="L1192" s="314">
        <v>3159489</v>
      </c>
      <c r="M1192" s="314"/>
      <c r="N1192" s="314"/>
      <c r="O1192" s="314"/>
      <c r="P1192" s="314"/>
      <c r="Q1192" s="314"/>
      <c r="R1192" s="314"/>
      <c r="S1192" s="314"/>
      <c r="T1192" s="314">
        <v>415869665</v>
      </c>
      <c r="U1192" s="320"/>
      <c r="V1192" s="491">
        <v>415869665</v>
      </c>
      <c r="W1192" s="320">
        <v>0</v>
      </c>
      <c r="Y1192" s="59"/>
      <c r="Z1192" s="59"/>
      <c r="AA1192" s="59">
        <v>415869665.36114562</v>
      </c>
      <c r="AB1192" s="59">
        <v>0</v>
      </c>
    </row>
    <row r="1193" spans="1:33" x14ac:dyDescent="0.45">
      <c r="A1193" s="313"/>
      <c r="B1193" s="424"/>
      <c r="C1193" s="312"/>
      <c r="D1193" s="314"/>
      <c r="E1193" s="314"/>
      <c r="F1193" s="314"/>
      <c r="G1193" s="314"/>
      <c r="H1193" s="314"/>
      <c r="I1193" s="314"/>
      <c r="J1193" s="314"/>
      <c r="K1193" s="314"/>
      <c r="L1193" s="314"/>
      <c r="M1193" s="314"/>
      <c r="N1193" s="314"/>
      <c r="O1193" s="314"/>
      <c r="P1193" s="314"/>
      <c r="Q1193" s="314"/>
      <c r="R1193" s="314"/>
      <c r="S1193" s="314"/>
      <c r="T1193" s="314"/>
      <c r="U1193" s="320"/>
      <c r="W1193" s="320"/>
      <c r="Y1193" s="116"/>
      <c r="Z1193" s="59"/>
      <c r="AA1193" s="59"/>
      <c r="AB1193" s="330"/>
      <c r="AC1193" s="317"/>
    </row>
    <row r="1194" spans="1:33" x14ac:dyDescent="0.45">
      <c r="A1194" s="313"/>
      <c r="B1194" s="424"/>
      <c r="C1194" s="312"/>
      <c r="D1194" s="314"/>
      <c r="E1194" s="314"/>
      <c r="F1194" s="314"/>
      <c r="G1194" s="314"/>
      <c r="H1194" s="314"/>
      <c r="I1194" s="314"/>
      <c r="J1194" s="314"/>
      <c r="K1194" s="314"/>
      <c r="L1194" s="314"/>
      <c r="M1194" s="314"/>
      <c r="N1194" s="314"/>
      <c r="O1194" s="314"/>
      <c r="P1194" s="314"/>
      <c r="Q1194" s="314"/>
      <c r="R1194" s="314"/>
      <c r="S1194" s="314"/>
      <c r="T1194" s="314"/>
      <c r="U1194" s="320"/>
      <c r="W1194" s="320"/>
    </row>
    <row r="1195" spans="1:33" x14ac:dyDescent="0.45">
      <c r="A1195" s="313"/>
      <c r="B1195" s="436" t="s">
        <v>2210</v>
      </c>
      <c r="C1195" s="312"/>
      <c r="D1195" s="314"/>
      <c r="E1195" s="314"/>
      <c r="F1195" s="314"/>
      <c r="G1195" s="314"/>
      <c r="H1195" s="314"/>
      <c r="I1195" s="314"/>
      <c r="J1195" s="314"/>
      <c r="K1195" s="314"/>
      <c r="L1195" s="314"/>
      <c r="M1195" s="314"/>
      <c r="N1195" s="314"/>
      <c r="O1195" s="314"/>
      <c r="P1195" s="314"/>
      <c r="Q1195" s="314"/>
      <c r="R1195" s="314"/>
      <c r="S1195" s="314"/>
      <c r="T1195" s="314"/>
      <c r="U1195" s="320"/>
      <c r="W1195" s="320"/>
    </row>
    <row r="1196" spans="1:33" x14ac:dyDescent="0.45">
      <c r="A1196" s="313"/>
      <c r="B1196" s="436"/>
      <c r="C1196" s="312"/>
      <c r="D1196" s="314"/>
      <c r="E1196" s="314"/>
      <c r="F1196" s="314"/>
      <c r="G1196" s="314"/>
      <c r="H1196" s="314"/>
      <c r="I1196" s="314"/>
      <c r="J1196" s="314"/>
      <c r="K1196" s="314"/>
      <c r="L1196" s="314"/>
      <c r="M1196" s="314"/>
      <c r="N1196" s="314"/>
      <c r="O1196" s="314"/>
      <c r="P1196" s="314"/>
      <c r="Q1196" s="314"/>
      <c r="R1196" s="314"/>
      <c r="S1196" s="314"/>
      <c r="T1196" s="314"/>
      <c r="U1196" s="320"/>
      <c r="W1196" s="320"/>
    </row>
    <row r="1197" spans="1:33" x14ac:dyDescent="0.45">
      <c r="A1197" s="313"/>
      <c r="B1197" s="424" t="s">
        <v>2211</v>
      </c>
      <c r="C1197" s="312"/>
      <c r="D1197" s="314"/>
      <c r="E1197" s="314"/>
      <c r="F1197" s="314"/>
      <c r="G1197" s="314"/>
      <c r="H1197" s="314"/>
      <c r="I1197" s="314"/>
      <c r="J1197" s="314"/>
      <c r="K1197" s="314"/>
      <c r="L1197" s="314"/>
      <c r="M1197" s="314"/>
      <c r="N1197" s="314"/>
      <c r="O1197" s="314"/>
      <c r="P1197" s="314"/>
      <c r="Q1197" s="314"/>
      <c r="R1197" s="314"/>
      <c r="S1197" s="314"/>
      <c r="T1197" s="314"/>
      <c r="U1197" s="320"/>
      <c r="W1197" s="320"/>
      <c r="AB1197" s="340"/>
    </row>
    <row r="1198" spans="1:33" x14ac:dyDescent="0.45">
      <c r="A1198" s="313"/>
      <c r="B1198" s="424"/>
      <c r="C1198" s="312"/>
      <c r="D1198" s="314"/>
      <c r="E1198" s="314"/>
      <c r="F1198" s="314"/>
      <c r="G1198" s="314"/>
      <c r="H1198" s="314"/>
      <c r="I1198" s="314"/>
      <c r="J1198" s="314"/>
      <c r="K1198" s="314"/>
      <c r="L1198" s="314"/>
      <c r="M1198" s="314"/>
      <c r="N1198" s="314"/>
      <c r="O1198" s="314"/>
      <c r="P1198" s="314"/>
      <c r="Q1198" s="314"/>
      <c r="R1198" s="314"/>
      <c r="S1198" s="314"/>
      <c r="T1198" s="314"/>
      <c r="U1198" s="320"/>
      <c r="W1198" s="320"/>
    </row>
    <row r="1199" spans="1:33" x14ac:dyDescent="0.45">
      <c r="A1199" s="45"/>
      <c r="B1199" s="424" t="s">
        <v>7</v>
      </c>
      <c r="C1199" s="312"/>
      <c r="D1199" s="314"/>
      <c r="E1199" s="314"/>
      <c r="F1199" s="314"/>
      <c r="G1199" s="314"/>
      <c r="H1199" s="314"/>
      <c r="I1199" s="314"/>
      <c r="J1199" s="314"/>
      <c r="K1199" s="314"/>
      <c r="L1199" s="314"/>
      <c r="M1199" s="314"/>
      <c r="N1199" s="314"/>
      <c r="O1199" s="314"/>
      <c r="P1199" s="314"/>
      <c r="Q1199" s="314"/>
      <c r="R1199" s="314"/>
      <c r="S1199" s="314"/>
      <c r="T1199" s="314" t="s">
        <v>2237</v>
      </c>
      <c r="U1199" s="320" t="s">
        <v>2289</v>
      </c>
      <c r="V1199" s="53" t="s">
        <v>2290</v>
      </c>
      <c r="W1199" s="320" t="s">
        <v>2312</v>
      </c>
      <c r="X1199" s="53" t="s">
        <v>1253</v>
      </c>
      <c r="Y1199" s="53" t="s">
        <v>62</v>
      </c>
      <c r="Z1199" s="53" t="s">
        <v>2057</v>
      </c>
      <c r="AA1199" s="53" t="s">
        <v>2290</v>
      </c>
      <c r="AB1199" s="53" t="s">
        <v>2312</v>
      </c>
      <c r="AC1199" s="53" t="s">
        <v>1253</v>
      </c>
      <c r="AD1199" s="53" t="s">
        <v>62</v>
      </c>
      <c r="AE1199" s="53" t="s">
        <v>2057</v>
      </c>
      <c r="AF1199" s="53" t="s">
        <v>439</v>
      </c>
    </row>
    <row r="1200" spans="1:33" x14ac:dyDescent="0.45">
      <c r="A1200" s="45">
        <v>1</v>
      </c>
      <c r="B1200" s="424" t="s">
        <v>8</v>
      </c>
      <c r="C1200" s="425" t="s">
        <v>2064</v>
      </c>
      <c r="D1200" s="314">
        <v>15097734</v>
      </c>
      <c r="E1200" s="314"/>
      <c r="F1200" s="314">
        <v>14409914</v>
      </c>
      <c r="G1200" s="314"/>
      <c r="H1200" s="314">
        <v>573177</v>
      </c>
      <c r="I1200" s="314"/>
      <c r="J1200" s="314">
        <v>114644</v>
      </c>
      <c r="K1200" s="314">
        <v>58510</v>
      </c>
      <c r="L1200" s="314">
        <v>56133</v>
      </c>
      <c r="M1200" s="314"/>
      <c r="N1200" s="314"/>
      <c r="O1200" s="314">
        <v>0</v>
      </c>
      <c r="P1200" s="314"/>
      <c r="Q1200" s="314" t="s">
        <v>2238</v>
      </c>
      <c r="R1200" s="314"/>
      <c r="S1200" s="314">
        <v>0</v>
      </c>
      <c r="T1200" s="314">
        <v>15097734</v>
      </c>
      <c r="U1200" s="496">
        <v>14409914</v>
      </c>
      <c r="V1200" s="491">
        <v>573177</v>
      </c>
      <c r="W1200" s="320">
        <v>0</v>
      </c>
      <c r="X1200" s="491">
        <v>114644</v>
      </c>
      <c r="Y1200" s="498">
        <v>15097734</v>
      </c>
      <c r="Z1200" s="499">
        <v>58510</v>
      </c>
      <c r="AA1200" s="327">
        <v>573176.75</v>
      </c>
      <c r="AB1200" s="59">
        <v>0</v>
      </c>
      <c r="AC1200" s="59">
        <v>114643.74380373658</v>
      </c>
      <c r="AD1200" s="59">
        <v>15097734.217080034</v>
      </c>
      <c r="AE1200" s="53">
        <v>58510.406531572</v>
      </c>
      <c r="AF1200" s="53">
        <v>56133.337272164572</v>
      </c>
      <c r="AG1200" s="53" t="s">
        <v>2224</v>
      </c>
    </row>
    <row r="1201" spans="1:30" x14ac:dyDescent="0.45">
      <c r="A1201" s="45">
        <v>2</v>
      </c>
      <c r="B1201" s="424" t="s">
        <v>14</v>
      </c>
      <c r="C1201" s="425" t="s">
        <v>1432</v>
      </c>
      <c r="D1201" s="314">
        <v>0</v>
      </c>
      <c r="E1201" s="314"/>
      <c r="F1201" s="314">
        <v>0</v>
      </c>
      <c r="G1201" s="314"/>
      <c r="H1201" s="314">
        <v>0</v>
      </c>
      <c r="I1201" s="314"/>
      <c r="J1201" s="314">
        <v>0</v>
      </c>
      <c r="K1201" s="314">
        <v>0</v>
      </c>
      <c r="L1201" s="314">
        <v>0</v>
      </c>
      <c r="M1201" s="314"/>
      <c r="N1201" s="314"/>
      <c r="O1201" s="314">
        <v>0</v>
      </c>
      <c r="P1201" s="314"/>
      <c r="Q1201" s="314"/>
      <c r="R1201" s="314"/>
      <c r="S1201" s="314"/>
      <c r="T1201" s="314"/>
      <c r="U1201" s="320"/>
      <c r="W1201" s="320"/>
      <c r="X1201" s="281"/>
      <c r="Y1201" s="327"/>
      <c r="Z1201" s="327"/>
      <c r="AA1201" s="59"/>
      <c r="AB1201" s="59"/>
      <c r="AC1201" s="59"/>
      <c r="AD1201" s="59"/>
    </row>
    <row r="1202" spans="1:30" x14ac:dyDescent="0.45">
      <c r="A1202" s="45">
        <v>3</v>
      </c>
      <c r="B1202" s="424" t="s">
        <v>16</v>
      </c>
      <c r="C1202" s="425" t="s">
        <v>1434</v>
      </c>
      <c r="D1202" s="314">
        <v>0</v>
      </c>
      <c r="E1202" s="314"/>
      <c r="F1202" s="314">
        <v>0</v>
      </c>
      <c r="G1202" s="314"/>
      <c r="H1202" s="314">
        <v>0</v>
      </c>
      <c r="I1202" s="314"/>
      <c r="J1202" s="314">
        <v>0</v>
      </c>
      <c r="K1202" s="314">
        <v>0</v>
      </c>
      <c r="L1202" s="314">
        <v>0</v>
      </c>
      <c r="M1202" s="314"/>
      <c r="N1202" s="314"/>
      <c r="O1202" s="314">
        <v>0</v>
      </c>
      <c r="P1202" s="314"/>
      <c r="Q1202" s="314"/>
      <c r="R1202" s="314"/>
      <c r="S1202" s="314"/>
      <c r="T1202" s="314"/>
      <c r="U1202" s="320"/>
      <c r="W1202" s="320"/>
    </row>
    <row r="1203" spans="1:30" x14ac:dyDescent="0.45">
      <c r="A1203" s="45"/>
      <c r="B1203" s="424"/>
      <c r="C1203" s="425"/>
      <c r="D1203" s="314"/>
      <c r="E1203" s="314"/>
      <c r="F1203" s="314"/>
      <c r="G1203" s="314"/>
      <c r="H1203" s="314"/>
      <c r="I1203" s="314"/>
      <c r="J1203" s="314"/>
      <c r="K1203" s="314"/>
      <c r="L1203" s="314"/>
      <c r="M1203" s="314"/>
      <c r="N1203" s="314"/>
      <c r="O1203" s="314"/>
      <c r="P1203" s="314"/>
      <c r="Q1203" s="314"/>
      <c r="R1203" s="314"/>
      <c r="S1203" s="314"/>
      <c r="T1203" s="314"/>
      <c r="U1203" s="320"/>
      <c r="W1203" s="320"/>
    </row>
    <row r="1204" spans="1:30" x14ac:dyDescent="0.45">
      <c r="A1204" s="45">
        <v>4</v>
      </c>
      <c r="B1204" s="424" t="s">
        <v>18</v>
      </c>
      <c r="C1204" s="45"/>
      <c r="D1204" s="314">
        <v>15097734</v>
      </c>
      <c r="E1204" s="314"/>
      <c r="F1204" s="314">
        <v>14409914</v>
      </c>
      <c r="G1204" s="314"/>
      <c r="H1204" s="314">
        <v>573177</v>
      </c>
      <c r="I1204" s="314"/>
      <c r="J1204" s="314">
        <v>114644</v>
      </c>
      <c r="K1204" s="314">
        <v>58510</v>
      </c>
      <c r="L1204" s="314">
        <v>56133</v>
      </c>
      <c r="M1204" s="314"/>
      <c r="N1204" s="314"/>
      <c r="O1204" s="314"/>
      <c r="P1204" s="314"/>
      <c r="Q1204" s="314"/>
      <c r="R1204" s="314"/>
      <c r="S1204" s="314"/>
      <c r="T1204" s="314"/>
      <c r="U1204" s="320"/>
      <c r="W1204" s="320"/>
    </row>
    <row r="1205" spans="1:30" x14ac:dyDescent="0.45">
      <c r="A1205" s="45"/>
      <c r="B1205" s="424"/>
      <c r="C1205" s="45"/>
      <c r="D1205" s="314"/>
      <c r="E1205" s="314"/>
      <c r="F1205" s="314"/>
      <c r="G1205" s="314"/>
      <c r="H1205" s="314"/>
      <c r="I1205" s="314"/>
      <c r="J1205" s="314"/>
      <c r="K1205" s="314"/>
      <c r="L1205" s="314"/>
      <c r="M1205" s="314"/>
      <c r="N1205" s="314"/>
      <c r="O1205" s="314"/>
      <c r="P1205" s="314"/>
      <c r="Q1205" s="314"/>
      <c r="R1205" s="314"/>
      <c r="S1205" s="314"/>
      <c r="T1205" s="314"/>
      <c r="U1205" s="320"/>
      <c r="W1205" s="320"/>
    </row>
    <row r="1206" spans="1:30" x14ac:dyDescent="0.45">
      <c r="A1206" s="45"/>
      <c r="B1206" s="424" t="s">
        <v>19</v>
      </c>
      <c r="C1206" s="45"/>
      <c r="D1206" s="314"/>
      <c r="E1206" s="314"/>
      <c r="F1206" s="314"/>
      <c r="G1206" s="314"/>
      <c r="H1206" s="314"/>
      <c r="I1206" s="314"/>
      <c r="J1206" s="314"/>
      <c r="K1206" s="314"/>
      <c r="L1206" s="314"/>
      <c r="M1206" s="314"/>
      <c r="N1206" s="314"/>
      <c r="O1206" s="314"/>
      <c r="P1206" s="314"/>
      <c r="Q1206" s="314"/>
      <c r="R1206" s="314"/>
      <c r="S1206" s="314"/>
      <c r="T1206" s="314"/>
      <c r="U1206" s="320"/>
      <c r="W1206" s="320"/>
    </row>
    <row r="1207" spans="1:30" x14ac:dyDescent="0.45">
      <c r="A1207" s="45">
        <v>5</v>
      </c>
      <c r="B1207" s="424" t="s">
        <v>1067</v>
      </c>
      <c r="C1207" s="425" t="s">
        <v>2141</v>
      </c>
      <c r="D1207" s="314">
        <v>0</v>
      </c>
      <c r="E1207" s="314"/>
      <c r="F1207" s="314">
        <v>0</v>
      </c>
      <c r="G1207" s="314"/>
      <c r="H1207" s="314">
        <v>0</v>
      </c>
      <c r="I1207" s="314"/>
      <c r="J1207" s="314">
        <v>0</v>
      </c>
      <c r="K1207" s="314">
        <v>0</v>
      </c>
      <c r="L1207" s="314">
        <v>0</v>
      </c>
      <c r="M1207" s="314"/>
      <c r="N1207" s="314"/>
      <c r="O1207" s="314">
        <v>0</v>
      </c>
      <c r="P1207" s="314"/>
      <c r="Q1207" s="314" t="s">
        <v>2238</v>
      </c>
      <c r="R1207" s="314"/>
      <c r="S1207" s="314"/>
      <c r="T1207" s="314"/>
      <c r="U1207" s="320"/>
      <c r="W1207" s="320"/>
    </row>
    <row r="1208" spans="1:30" x14ac:dyDescent="0.45">
      <c r="A1208" s="45">
        <v>6</v>
      </c>
      <c r="B1208" s="424" t="s">
        <v>1070</v>
      </c>
      <c r="C1208" s="425" t="s">
        <v>1344</v>
      </c>
      <c r="D1208" s="314">
        <v>0</v>
      </c>
      <c r="E1208" s="314"/>
      <c r="F1208" s="314">
        <v>0</v>
      </c>
      <c r="G1208" s="314"/>
      <c r="H1208" s="314">
        <v>0</v>
      </c>
      <c r="I1208" s="314"/>
      <c r="J1208" s="314">
        <v>0</v>
      </c>
      <c r="K1208" s="314">
        <v>0</v>
      </c>
      <c r="L1208" s="314">
        <v>0</v>
      </c>
      <c r="M1208" s="314"/>
      <c r="N1208" s="314"/>
      <c r="O1208" s="314"/>
      <c r="P1208" s="314"/>
      <c r="Q1208" s="314"/>
      <c r="R1208" s="314"/>
      <c r="S1208" s="314"/>
      <c r="T1208" s="314"/>
      <c r="U1208" s="320"/>
      <c r="W1208" s="320"/>
      <c r="Y1208" s="320"/>
      <c r="Z1208" s="320"/>
    </row>
    <row r="1209" spans="1:30" x14ac:dyDescent="0.45">
      <c r="A1209" s="45"/>
      <c r="B1209" s="424"/>
      <c r="C1209" s="312"/>
      <c r="D1209" s="314"/>
      <c r="E1209" s="314"/>
      <c r="F1209" s="314"/>
      <c r="G1209" s="314"/>
      <c r="H1209" s="314"/>
      <c r="I1209" s="314"/>
      <c r="J1209" s="314"/>
      <c r="K1209" s="314"/>
      <c r="L1209" s="314"/>
      <c r="M1209" s="314"/>
      <c r="N1209" s="314"/>
      <c r="O1209" s="314"/>
      <c r="P1209" s="314"/>
      <c r="Q1209" s="314"/>
      <c r="R1209" s="314"/>
      <c r="S1209" s="314"/>
      <c r="T1209" s="314"/>
      <c r="U1209" s="320"/>
      <c r="W1209" s="320"/>
    </row>
    <row r="1210" spans="1:30" x14ac:dyDescent="0.45">
      <c r="A1210" s="45">
        <v>7</v>
      </c>
      <c r="B1210" s="424" t="s">
        <v>20</v>
      </c>
      <c r="C1210" s="312"/>
      <c r="D1210" s="314">
        <v>0</v>
      </c>
      <c r="E1210" s="314"/>
      <c r="F1210" s="314">
        <v>0</v>
      </c>
      <c r="G1210" s="314"/>
      <c r="H1210" s="314">
        <v>0</v>
      </c>
      <c r="I1210" s="314"/>
      <c r="J1210" s="314">
        <v>0</v>
      </c>
      <c r="K1210" s="314">
        <v>0</v>
      </c>
      <c r="L1210" s="314">
        <v>0</v>
      </c>
      <c r="M1210" s="314"/>
      <c r="N1210" s="314"/>
      <c r="O1210" s="314"/>
      <c r="P1210" s="314"/>
      <c r="Q1210" s="314"/>
      <c r="R1210" s="314"/>
      <c r="S1210" s="314"/>
      <c r="T1210" s="314"/>
      <c r="U1210" s="320"/>
      <c r="W1210" s="320"/>
    </row>
    <row r="1211" spans="1:30" x14ac:dyDescent="0.45">
      <c r="A1211" s="45"/>
      <c r="B1211" s="424"/>
      <c r="C1211" s="312"/>
      <c r="D1211" s="314"/>
      <c r="E1211" s="314"/>
      <c r="F1211" s="314"/>
      <c r="G1211" s="314"/>
      <c r="H1211" s="314"/>
      <c r="I1211" s="314"/>
      <c r="J1211" s="314"/>
      <c r="K1211" s="314"/>
      <c r="L1211" s="314"/>
      <c r="M1211" s="314"/>
      <c r="N1211" s="314"/>
      <c r="O1211" s="314"/>
      <c r="P1211" s="314"/>
      <c r="Q1211" s="314"/>
      <c r="R1211" s="314"/>
      <c r="S1211" s="314"/>
      <c r="T1211" s="314"/>
      <c r="U1211" s="320"/>
      <c r="W1211" s="320"/>
    </row>
    <row r="1212" spans="1:30" x14ac:dyDescent="0.45">
      <c r="A1212" s="45"/>
      <c r="B1212" s="424" t="s">
        <v>807</v>
      </c>
      <c r="C1212" s="45"/>
      <c r="D1212" s="314"/>
      <c r="E1212" s="314"/>
      <c r="F1212" s="314"/>
      <c r="G1212" s="314"/>
      <c r="H1212" s="314"/>
      <c r="I1212" s="314"/>
      <c r="J1212" s="314"/>
      <c r="K1212" s="314"/>
      <c r="L1212" s="314"/>
      <c r="M1212" s="314"/>
      <c r="N1212" s="314"/>
      <c r="O1212" s="314"/>
      <c r="P1212" s="314"/>
      <c r="Q1212" s="314"/>
      <c r="R1212" s="314"/>
      <c r="S1212" s="314"/>
      <c r="T1212" s="314"/>
      <c r="U1212" s="320"/>
      <c r="W1212" s="320"/>
    </row>
    <row r="1213" spans="1:30" x14ac:dyDescent="0.45">
      <c r="A1213" s="45">
        <v>8</v>
      </c>
      <c r="B1213" s="424" t="s">
        <v>799</v>
      </c>
      <c r="C1213" s="425" t="s">
        <v>927</v>
      </c>
      <c r="D1213" s="314">
        <v>0</v>
      </c>
      <c r="E1213" s="314"/>
      <c r="F1213" s="314">
        <v>0</v>
      </c>
      <c r="G1213" s="314"/>
      <c r="H1213" s="314">
        <v>0</v>
      </c>
      <c r="I1213" s="314"/>
      <c r="J1213" s="314">
        <v>0</v>
      </c>
      <c r="K1213" s="314">
        <v>0</v>
      </c>
      <c r="L1213" s="314">
        <v>0</v>
      </c>
      <c r="M1213" s="314"/>
      <c r="N1213" s="314"/>
      <c r="O1213" s="314">
        <v>0</v>
      </c>
      <c r="P1213" s="314"/>
      <c r="Q1213" s="314" t="s">
        <v>2238</v>
      </c>
      <c r="R1213" s="314"/>
      <c r="S1213" s="314"/>
      <c r="T1213" s="314"/>
      <c r="U1213" s="320"/>
      <c r="W1213" s="320"/>
    </row>
    <row r="1214" spans="1:30" x14ac:dyDescent="0.45">
      <c r="A1214" s="45">
        <v>9</v>
      </c>
      <c r="B1214" s="424" t="s">
        <v>800</v>
      </c>
      <c r="C1214" s="425" t="s">
        <v>28</v>
      </c>
      <c r="D1214" s="314">
        <v>0</v>
      </c>
      <c r="E1214" s="314"/>
      <c r="F1214" s="314">
        <v>0</v>
      </c>
      <c r="G1214" s="314"/>
      <c r="H1214" s="314">
        <v>0</v>
      </c>
      <c r="I1214" s="314"/>
      <c r="J1214" s="314">
        <v>0</v>
      </c>
      <c r="K1214" s="314">
        <v>0</v>
      </c>
      <c r="L1214" s="314">
        <v>0</v>
      </c>
      <c r="M1214" s="314"/>
      <c r="N1214" s="314"/>
      <c r="O1214" s="314"/>
      <c r="P1214" s="314"/>
      <c r="Q1214" s="314"/>
      <c r="R1214" s="314"/>
      <c r="S1214" s="314"/>
      <c r="T1214" s="314"/>
      <c r="U1214" s="320"/>
      <c r="W1214" s="320"/>
      <c r="Y1214" s="320"/>
      <c r="Z1214" s="320"/>
    </row>
    <row r="1215" spans="1:30" x14ac:dyDescent="0.45">
      <c r="A1215" s="45"/>
      <c r="B1215" s="424"/>
      <c r="C1215" s="312"/>
      <c r="D1215" s="314"/>
      <c r="E1215" s="314"/>
      <c r="F1215" s="314"/>
      <c r="G1215" s="314"/>
      <c r="H1215" s="314"/>
      <c r="I1215" s="314"/>
      <c r="J1215" s="314"/>
      <c r="K1215" s="314"/>
      <c r="L1215" s="314"/>
      <c r="M1215" s="314"/>
      <c r="N1215" s="314"/>
      <c r="O1215" s="314"/>
      <c r="P1215" s="314"/>
      <c r="Q1215" s="314"/>
      <c r="R1215" s="314"/>
      <c r="S1215" s="314"/>
      <c r="T1215" s="314"/>
      <c r="U1215" s="320"/>
      <c r="W1215" s="320"/>
    </row>
    <row r="1216" spans="1:30" x14ac:dyDescent="0.45">
      <c r="A1216" s="45">
        <v>10</v>
      </c>
      <c r="B1216" s="424" t="s">
        <v>21</v>
      </c>
      <c r="C1216" s="312"/>
      <c r="D1216" s="314">
        <v>0</v>
      </c>
      <c r="E1216" s="314"/>
      <c r="F1216" s="314">
        <v>0</v>
      </c>
      <c r="G1216" s="314"/>
      <c r="H1216" s="314">
        <v>0</v>
      </c>
      <c r="I1216" s="314"/>
      <c r="J1216" s="314">
        <v>0</v>
      </c>
      <c r="K1216" s="314">
        <v>0</v>
      </c>
      <c r="L1216" s="314">
        <v>0</v>
      </c>
      <c r="M1216" s="314"/>
      <c r="N1216" s="314"/>
      <c r="O1216" s="314"/>
      <c r="P1216" s="314"/>
      <c r="Q1216" s="314"/>
      <c r="R1216" s="314"/>
      <c r="S1216" s="314"/>
      <c r="T1216" s="314"/>
      <c r="U1216" s="320"/>
      <c r="W1216" s="320"/>
    </row>
    <row r="1217" spans="1:23" x14ac:dyDescent="0.45">
      <c r="A1217" s="45"/>
      <c r="B1217" s="424"/>
      <c r="C1217" s="312"/>
      <c r="D1217" s="314"/>
      <c r="E1217" s="314"/>
      <c r="F1217" s="314"/>
      <c r="G1217" s="314"/>
      <c r="H1217" s="314"/>
      <c r="I1217" s="314"/>
      <c r="J1217" s="314"/>
      <c r="K1217" s="314"/>
      <c r="L1217" s="314"/>
      <c r="M1217" s="314"/>
      <c r="N1217" s="314"/>
      <c r="O1217" s="314"/>
      <c r="P1217" s="314"/>
      <c r="Q1217" s="314"/>
      <c r="R1217" s="314"/>
      <c r="S1217" s="314"/>
      <c r="T1217" s="314"/>
      <c r="U1217" s="320"/>
      <c r="W1217" s="320"/>
    </row>
    <row r="1218" spans="1:23" x14ac:dyDescent="0.45">
      <c r="A1218" s="45">
        <v>11</v>
      </c>
      <c r="B1218" s="424" t="s">
        <v>2212</v>
      </c>
      <c r="C1218" s="312"/>
      <c r="D1218" s="314">
        <v>15097734</v>
      </c>
      <c r="E1218" s="314"/>
      <c r="F1218" s="314">
        <v>14409914</v>
      </c>
      <c r="G1218" s="314"/>
      <c r="H1218" s="314">
        <v>573177</v>
      </c>
      <c r="I1218" s="314"/>
      <c r="J1218" s="314">
        <v>114644</v>
      </c>
      <c r="K1218" s="314">
        <v>58510</v>
      </c>
      <c r="L1218" s="314">
        <v>56133</v>
      </c>
      <c r="M1218" s="314"/>
      <c r="N1218" s="314"/>
      <c r="O1218" s="314"/>
      <c r="P1218" s="314"/>
      <c r="Q1218" s="314"/>
      <c r="R1218" s="314"/>
      <c r="S1218" s="314"/>
      <c r="T1218" s="314"/>
      <c r="U1218" s="320"/>
      <c r="W1218" s="320"/>
    </row>
    <row r="1219" spans="1:23" x14ac:dyDescent="0.45">
      <c r="A1219" s="45"/>
      <c r="B1219" s="424"/>
      <c r="C1219" s="312"/>
      <c r="D1219" s="314"/>
      <c r="E1219" s="314"/>
      <c r="F1219" s="314"/>
      <c r="G1219" s="314"/>
      <c r="H1219" s="314"/>
      <c r="I1219" s="314"/>
      <c r="J1219" s="314"/>
      <c r="K1219" s="314"/>
      <c r="L1219" s="314"/>
      <c r="M1219" s="314"/>
      <c r="N1219" s="314"/>
      <c r="O1219" s="314"/>
      <c r="P1219" s="314"/>
      <c r="Q1219" s="314"/>
      <c r="R1219" s="314"/>
      <c r="S1219" s="314"/>
      <c r="T1219" s="314"/>
      <c r="U1219" s="320"/>
      <c r="W1219" s="320"/>
    </row>
    <row r="1220" spans="1:23" x14ac:dyDescent="0.45">
      <c r="A1220" s="313"/>
      <c r="B1220" s="424" t="s">
        <v>801</v>
      </c>
      <c r="C1220" s="312"/>
      <c r="D1220" s="314"/>
      <c r="E1220" s="314"/>
      <c r="F1220" s="314"/>
      <c r="G1220" s="314"/>
      <c r="H1220" s="314"/>
      <c r="I1220" s="314"/>
      <c r="J1220" s="314"/>
      <c r="K1220" s="314"/>
      <c r="L1220" s="314"/>
      <c r="M1220" s="314"/>
      <c r="N1220" s="314"/>
      <c r="O1220" s="314"/>
      <c r="P1220" s="314"/>
      <c r="Q1220" s="314"/>
      <c r="R1220" s="314"/>
      <c r="S1220" s="314"/>
      <c r="T1220" s="314"/>
      <c r="U1220" s="320"/>
      <c r="W1220" s="320"/>
    </row>
    <row r="1221" spans="1:23" x14ac:dyDescent="0.45">
      <c r="A1221" s="313"/>
      <c r="B1221" s="424"/>
      <c r="C1221" s="312"/>
      <c r="D1221" s="314"/>
      <c r="E1221" s="314"/>
      <c r="F1221" s="314"/>
      <c r="G1221" s="314"/>
      <c r="H1221" s="314"/>
      <c r="I1221" s="314"/>
      <c r="J1221" s="314"/>
      <c r="K1221" s="314"/>
      <c r="L1221" s="314"/>
      <c r="M1221" s="314"/>
      <c r="N1221" s="314"/>
      <c r="O1221" s="314"/>
      <c r="P1221" s="314"/>
      <c r="Q1221" s="314"/>
      <c r="R1221" s="314"/>
      <c r="S1221" s="314"/>
      <c r="T1221" s="314"/>
      <c r="U1221" s="320"/>
      <c r="W1221" s="320"/>
    </row>
    <row r="1222" spans="1:23" x14ac:dyDescent="0.45">
      <c r="A1222" s="45"/>
      <c r="B1222" s="424" t="s">
        <v>7</v>
      </c>
      <c r="C1222" s="312"/>
      <c r="D1222" s="314"/>
      <c r="E1222" s="314"/>
      <c r="F1222" s="314"/>
      <c r="G1222" s="314"/>
      <c r="H1222" s="314"/>
      <c r="I1222" s="314"/>
      <c r="J1222" s="314"/>
      <c r="K1222" s="314"/>
      <c r="L1222" s="314"/>
      <c r="M1222" s="314"/>
      <c r="N1222" s="314"/>
      <c r="O1222" s="314"/>
      <c r="P1222" s="314"/>
      <c r="Q1222" s="314"/>
      <c r="R1222" s="314"/>
      <c r="S1222" s="314"/>
      <c r="T1222" s="314"/>
      <c r="U1222" s="320"/>
      <c r="W1222" s="320"/>
    </row>
    <row r="1223" spans="1:23" x14ac:dyDescent="0.45">
      <c r="A1223" s="45">
        <v>12</v>
      </c>
      <c r="B1223" s="424" t="s">
        <v>8</v>
      </c>
      <c r="C1223" s="425" t="s">
        <v>1428</v>
      </c>
      <c r="D1223" s="314">
        <v>0</v>
      </c>
      <c r="E1223" s="314"/>
      <c r="F1223" s="314">
        <v>0</v>
      </c>
      <c r="G1223" s="314"/>
      <c r="H1223" s="314">
        <v>0</v>
      </c>
      <c r="I1223" s="314"/>
      <c r="J1223" s="314">
        <v>0</v>
      </c>
      <c r="K1223" s="314">
        <v>0</v>
      </c>
      <c r="L1223" s="314">
        <v>0</v>
      </c>
      <c r="M1223" s="314"/>
      <c r="N1223" s="314"/>
      <c r="O1223" s="314">
        <v>0</v>
      </c>
      <c r="P1223" s="314"/>
      <c r="Q1223" s="314" t="s">
        <v>2239</v>
      </c>
      <c r="R1223" s="314"/>
      <c r="S1223" s="314"/>
      <c r="T1223" s="314"/>
      <c r="U1223" s="320"/>
      <c r="W1223" s="320"/>
    </row>
    <row r="1224" spans="1:23" x14ac:dyDescent="0.45">
      <c r="A1224" s="45">
        <v>13</v>
      </c>
      <c r="B1224" s="424" t="s">
        <v>14</v>
      </c>
      <c r="C1224" s="425" t="s">
        <v>1432</v>
      </c>
      <c r="D1224" s="314">
        <v>0</v>
      </c>
      <c r="E1224" s="314"/>
      <c r="F1224" s="314">
        <v>0</v>
      </c>
      <c r="G1224" s="314"/>
      <c r="H1224" s="314">
        <v>0</v>
      </c>
      <c r="I1224" s="314"/>
      <c r="J1224" s="314">
        <v>0</v>
      </c>
      <c r="K1224" s="314">
        <v>0</v>
      </c>
      <c r="L1224" s="314">
        <v>0</v>
      </c>
      <c r="M1224" s="314"/>
      <c r="N1224" s="314"/>
      <c r="O1224" s="314">
        <v>0</v>
      </c>
      <c r="P1224" s="314"/>
      <c r="Q1224" s="314"/>
      <c r="R1224" s="314"/>
      <c r="S1224" s="314"/>
      <c r="T1224" s="314"/>
      <c r="U1224" s="320"/>
      <c r="V1224" s="317"/>
      <c r="W1224" s="320"/>
    </row>
    <row r="1225" spans="1:23" x14ac:dyDescent="0.45">
      <c r="A1225" s="45">
        <v>14</v>
      </c>
      <c r="B1225" s="424" t="s">
        <v>16</v>
      </c>
      <c r="C1225" s="425" t="s">
        <v>1434</v>
      </c>
      <c r="D1225" s="314">
        <v>0</v>
      </c>
      <c r="E1225" s="314"/>
      <c r="F1225" s="314">
        <v>0</v>
      </c>
      <c r="G1225" s="314"/>
      <c r="H1225" s="314">
        <v>0</v>
      </c>
      <c r="I1225" s="314"/>
      <c r="J1225" s="314">
        <v>0</v>
      </c>
      <c r="K1225" s="314">
        <v>0</v>
      </c>
      <c r="L1225" s="314">
        <v>0</v>
      </c>
      <c r="M1225" s="314"/>
      <c r="N1225" s="314"/>
      <c r="O1225" s="314">
        <v>0</v>
      </c>
      <c r="P1225" s="314"/>
      <c r="Q1225" s="314"/>
      <c r="R1225" s="314"/>
      <c r="S1225" s="314"/>
      <c r="T1225" s="314"/>
      <c r="U1225" s="320"/>
      <c r="W1225" s="320"/>
    </row>
    <row r="1226" spans="1:23" x14ac:dyDescent="0.45">
      <c r="A1226" s="45"/>
      <c r="B1226" s="424"/>
      <c r="C1226" s="425"/>
      <c r="D1226" s="314"/>
      <c r="E1226" s="314"/>
      <c r="F1226" s="314"/>
      <c r="G1226" s="314"/>
      <c r="H1226" s="314"/>
      <c r="I1226" s="314"/>
      <c r="J1226" s="314"/>
      <c r="K1226" s="314"/>
      <c r="L1226" s="314"/>
      <c r="M1226" s="314"/>
      <c r="N1226" s="314"/>
      <c r="O1226" s="314"/>
      <c r="P1226" s="314"/>
      <c r="Q1226" s="314"/>
      <c r="R1226" s="314"/>
      <c r="S1226" s="314"/>
      <c r="T1226" s="314"/>
      <c r="U1226" s="320"/>
      <c r="W1226" s="320"/>
    </row>
    <row r="1227" spans="1:23" x14ac:dyDescent="0.45">
      <c r="A1227" s="45">
        <v>15</v>
      </c>
      <c r="B1227" s="424" t="s">
        <v>18</v>
      </c>
      <c r="C1227" s="45"/>
      <c r="D1227" s="314">
        <v>0</v>
      </c>
      <c r="E1227" s="314"/>
      <c r="F1227" s="314">
        <v>0</v>
      </c>
      <c r="G1227" s="314"/>
      <c r="H1227" s="314">
        <v>0</v>
      </c>
      <c r="I1227" s="314"/>
      <c r="J1227" s="314">
        <v>0</v>
      </c>
      <c r="K1227" s="314">
        <v>0</v>
      </c>
      <c r="L1227" s="314">
        <v>0</v>
      </c>
      <c r="M1227" s="314"/>
      <c r="N1227" s="314"/>
      <c r="O1227" s="314"/>
      <c r="P1227" s="314"/>
      <c r="Q1227" s="314"/>
      <c r="R1227" s="314"/>
      <c r="S1227" s="314"/>
      <c r="T1227" s="314"/>
      <c r="U1227" s="320"/>
      <c r="W1227" s="320"/>
    </row>
    <row r="1228" spans="1:23" x14ac:dyDescent="0.45">
      <c r="A1228" s="45"/>
      <c r="B1228" s="424"/>
      <c r="C1228" s="45"/>
      <c r="D1228" s="314"/>
      <c r="E1228" s="314"/>
      <c r="F1228" s="314"/>
      <c r="G1228" s="314"/>
      <c r="H1228" s="314"/>
      <c r="I1228" s="314"/>
      <c r="J1228" s="314"/>
      <c r="K1228" s="314"/>
      <c r="L1228" s="314"/>
      <c r="M1228" s="314"/>
      <c r="N1228" s="314"/>
      <c r="O1228" s="314"/>
      <c r="P1228" s="314"/>
      <c r="Q1228" s="314"/>
      <c r="R1228" s="314"/>
      <c r="S1228" s="314"/>
      <c r="T1228" s="314"/>
      <c r="U1228" s="320"/>
      <c r="W1228" s="320"/>
    </row>
    <row r="1229" spans="1:23" x14ac:dyDescent="0.45">
      <c r="A1229" s="45"/>
      <c r="B1229" s="424" t="s">
        <v>19</v>
      </c>
      <c r="C1229" s="45"/>
      <c r="D1229" s="314"/>
      <c r="E1229" s="314"/>
      <c r="F1229" s="314"/>
      <c r="G1229" s="314"/>
      <c r="H1229" s="314"/>
      <c r="I1229" s="314"/>
      <c r="J1229" s="314"/>
      <c r="K1229" s="314"/>
      <c r="L1229" s="314"/>
      <c r="M1229" s="314"/>
      <c r="N1229" s="314"/>
      <c r="O1229" s="314"/>
      <c r="P1229" s="314"/>
      <c r="Q1229" s="314"/>
      <c r="R1229" s="314"/>
      <c r="S1229" s="314"/>
      <c r="T1229" s="314"/>
      <c r="U1229" s="320"/>
      <c r="W1229" s="320"/>
    </row>
    <row r="1230" spans="1:23" x14ac:dyDescent="0.45">
      <c r="A1230" s="45">
        <v>16</v>
      </c>
      <c r="B1230" s="424" t="s">
        <v>1067</v>
      </c>
      <c r="C1230" s="425" t="s">
        <v>2141</v>
      </c>
      <c r="D1230" s="314">
        <v>0</v>
      </c>
      <c r="E1230" s="314"/>
      <c r="F1230" s="314">
        <v>0</v>
      </c>
      <c r="G1230" s="314"/>
      <c r="H1230" s="314">
        <v>0</v>
      </c>
      <c r="I1230" s="314"/>
      <c r="J1230" s="314">
        <v>0</v>
      </c>
      <c r="K1230" s="314">
        <v>0</v>
      </c>
      <c r="L1230" s="314">
        <v>0</v>
      </c>
      <c r="M1230" s="314"/>
      <c r="N1230" s="314"/>
      <c r="O1230" s="314">
        <v>0</v>
      </c>
      <c r="P1230" s="314"/>
      <c r="Q1230" s="314" t="s">
        <v>2239</v>
      </c>
      <c r="R1230" s="314"/>
      <c r="S1230" s="314"/>
      <c r="T1230" s="314"/>
      <c r="U1230" s="320"/>
      <c r="W1230" s="320"/>
    </row>
    <row r="1231" spans="1:23" x14ac:dyDescent="0.45">
      <c r="A1231" s="45">
        <v>17</v>
      </c>
      <c r="B1231" s="424" t="s">
        <v>1070</v>
      </c>
      <c r="C1231" s="425" t="s">
        <v>1344</v>
      </c>
      <c r="D1231" s="314">
        <v>0</v>
      </c>
      <c r="E1231" s="314"/>
      <c r="F1231" s="314">
        <v>0</v>
      </c>
      <c r="G1231" s="314"/>
      <c r="H1231" s="314">
        <v>0</v>
      </c>
      <c r="I1231" s="314"/>
      <c r="J1231" s="314">
        <v>0</v>
      </c>
      <c r="K1231" s="314">
        <v>0</v>
      </c>
      <c r="L1231" s="314">
        <v>0</v>
      </c>
      <c r="M1231" s="314"/>
      <c r="N1231" s="314"/>
      <c r="O1231" s="314"/>
      <c r="P1231" s="314"/>
      <c r="Q1231" s="314"/>
      <c r="R1231" s="314"/>
      <c r="S1231" s="314"/>
      <c r="T1231" s="314"/>
      <c r="U1231" s="320"/>
      <c r="V1231" s="317"/>
      <c r="W1231" s="320"/>
    </row>
    <row r="1232" spans="1:23" x14ac:dyDescent="0.45">
      <c r="A1232" s="45"/>
      <c r="B1232" s="424"/>
      <c r="C1232" s="312"/>
      <c r="D1232" s="314"/>
      <c r="E1232" s="314"/>
      <c r="F1232" s="314"/>
      <c r="G1232" s="314"/>
      <c r="H1232" s="314"/>
      <c r="I1232" s="314"/>
      <c r="J1232" s="314"/>
      <c r="K1232" s="314"/>
      <c r="L1232" s="314"/>
      <c r="M1232" s="314"/>
      <c r="N1232" s="314"/>
      <c r="O1232" s="314"/>
      <c r="P1232" s="314"/>
      <c r="Q1232" s="314"/>
      <c r="R1232" s="314"/>
      <c r="S1232" s="314"/>
      <c r="T1232" s="314"/>
      <c r="U1232" s="320"/>
      <c r="W1232" s="320"/>
    </row>
    <row r="1233" spans="1:26" x14ac:dyDescent="0.45">
      <c r="A1233" s="45">
        <v>18</v>
      </c>
      <c r="B1233" s="424" t="s">
        <v>20</v>
      </c>
      <c r="C1233" s="312"/>
      <c r="D1233" s="314">
        <v>0</v>
      </c>
      <c r="E1233" s="314"/>
      <c r="F1233" s="314">
        <v>0</v>
      </c>
      <c r="G1233" s="314"/>
      <c r="H1233" s="314">
        <v>0</v>
      </c>
      <c r="I1233" s="314"/>
      <c r="J1233" s="314">
        <v>0</v>
      </c>
      <c r="K1233" s="314">
        <v>0</v>
      </c>
      <c r="L1233" s="314">
        <v>0</v>
      </c>
      <c r="M1233" s="314"/>
      <c r="N1233" s="314"/>
      <c r="O1233" s="314"/>
      <c r="P1233" s="314"/>
      <c r="Q1233" s="314"/>
      <c r="R1233" s="314"/>
      <c r="S1233" s="314"/>
      <c r="T1233" s="314"/>
      <c r="U1233" s="320"/>
      <c r="W1233" s="320"/>
      <c r="X1233" s="320"/>
    </row>
    <row r="1234" spans="1:26" x14ac:dyDescent="0.45">
      <c r="A1234" s="45"/>
      <c r="B1234" s="424"/>
      <c r="C1234" s="312"/>
      <c r="D1234" s="314"/>
      <c r="E1234" s="314"/>
      <c r="F1234" s="314"/>
      <c r="G1234" s="314"/>
      <c r="H1234" s="314"/>
      <c r="I1234" s="314"/>
      <c r="J1234" s="314"/>
      <c r="K1234" s="314"/>
      <c r="L1234" s="314"/>
      <c r="M1234" s="314"/>
      <c r="N1234" s="314"/>
      <c r="O1234" s="314"/>
      <c r="P1234" s="314"/>
      <c r="Q1234" s="314"/>
      <c r="R1234" s="314"/>
      <c r="S1234" s="314"/>
      <c r="T1234" s="314"/>
      <c r="U1234" s="320"/>
      <c r="W1234" s="59"/>
      <c r="X1234" s="59"/>
      <c r="Y1234" s="59"/>
      <c r="Z1234" s="304"/>
    </row>
    <row r="1235" spans="1:26" x14ac:dyDescent="0.45">
      <c r="A1235" s="45"/>
      <c r="B1235" s="424" t="s">
        <v>1072</v>
      </c>
      <c r="C1235" s="45"/>
      <c r="D1235" s="314"/>
      <c r="E1235" s="314"/>
      <c r="F1235" s="314"/>
      <c r="G1235" s="314"/>
      <c r="H1235" s="314"/>
      <c r="I1235" s="314"/>
      <c r="J1235" s="314"/>
      <c r="K1235" s="314"/>
      <c r="L1235" s="314"/>
      <c r="M1235" s="314"/>
      <c r="N1235" s="314"/>
      <c r="O1235" s="314"/>
      <c r="P1235" s="314"/>
      <c r="Q1235" s="314"/>
      <c r="R1235" s="314"/>
      <c r="S1235" s="314"/>
      <c r="T1235" s="314"/>
      <c r="U1235" s="320"/>
      <c r="W1235" s="320"/>
    </row>
    <row r="1236" spans="1:26" x14ac:dyDescent="0.45">
      <c r="A1236" s="45">
        <v>19</v>
      </c>
      <c r="B1236" s="424" t="s">
        <v>1067</v>
      </c>
      <c r="C1236" s="425" t="s">
        <v>927</v>
      </c>
      <c r="D1236" s="314">
        <v>0</v>
      </c>
      <c r="E1236" s="314"/>
      <c r="F1236" s="314">
        <v>0</v>
      </c>
      <c r="G1236" s="314"/>
      <c r="H1236" s="314">
        <v>0</v>
      </c>
      <c r="I1236" s="314"/>
      <c r="J1236" s="314">
        <v>0</v>
      </c>
      <c r="K1236" s="314">
        <v>0</v>
      </c>
      <c r="L1236" s="314">
        <v>0</v>
      </c>
      <c r="M1236" s="314"/>
      <c r="N1236" s="314"/>
      <c r="O1236" s="314">
        <v>0</v>
      </c>
      <c r="P1236" s="314"/>
      <c r="Q1236" s="314" t="s">
        <v>2239</v>
      </c>
      <c r="R1236" s="314"/>
      <c r="S1236" s="314"/>
      <c r="T1236" s="314"/>
      <c r="U1236" s="320"/>
      <c r="W1236" s="320"/>
    </row>
    <row r="1237" spans="1:26" x14ac:dyDescent="0.45">
      <c r="A1237" s="45">
        <v>20</v>
      </c>
      <c r="B1237" s="424" t="s">
        <v>1070</v>
      </c>
      <c r="C1237" s="425" t="s">
        <v>938</v>
      </c>
      <c r="D1237" s="314">
        <v>0</v>
      </c>
      <c r="E1237" s="314"/>
      <c r="F1237" s="314">
        <v>0</v>
      </c>
      <c r="G1237" s="314"/>
      <c r="H1237" s="314">
        <v>0</v>
      </c>
      <c r="I1237" s="314"/>
      <c r="J1237" s="314">
        <v>0</v>
      </c>
      <c r="K1237" s="314">
        <v>0</v>
      </c>
      <c r="L1237" s="314">
        <v>0</v>
      </c>
      <c r="M1237" s="314"/>
      <c r="N1237" s="314"/>
      <c r="O1237" s="314"/>
      <c r="P1237" s="314"/>
      <c r="Q1237" s="314"/>
      <c r="R1237" s="314"/>
      <c r="S1237" s="314"/>
      <c r="T1237" s="314"/>
      <c r="U1237" s="320"/>
      <c r="V1237" s="317"/>
      <c r="W1237" s="320"/>
    </row>
    <row r="1238" spans="1:26" x14ac:dyDescent="0.45">
      <c r="A1238" s="45"/>
      <c r="B1238" s="424"/>
      <c r="C1238" s="312"/>
      <c r="D1238" s="314"/>
      <c r="E1238" s="314"/>
      <c r="F1238" s="314"/>
      <c r="G1238" s="314"/>
      <c r="H1238" s="314"/>
      <c r="I1238" s="314"/>
      <c r="J1238" s="314"/>
      <c r="K1238" s="314"/>
      <c r="L1238" s="314"/>
      <c r="M1238" s="314"/>
      <c r="N1238" s="314"/>
      <c r="O1238" s="314"/>
      <c r="P1238" s="314"/>
      <c r="Q1238" s="314"/>
      <c r="R1238" s="314" t="s">
        <v>2240</v>
      </c>
      <c r="S1238" s="314" t="s">
        <v>802</v>
      </c>
      <c r="T1238" s="314"/>
      <c r="U1238" s="320"/>
      <c r="W1238" s="320"/>
    </row>
    <row r="1239" spans="1:26" x14ac:dyDescent="0.45">
      <c r="A1239" s="45">
        <v>21</v>
      </c>
      <c r="B1239" s="424" t="s">
        <v>21</v>
      </c>
      <c r="C1239" s="312"/>
      <c r="D1239" s="314">
        <v>0</v>
      </c>
      <c r="E1239" s="314"/>
      <c r="F1239" s="314">
        <v>0</v>
      </c>
      <c r="G1239" s="314"/>
      <c r="H1239" s="314">
        <v>0</v>
      </c>
      <c r="I1239" s="314"/>
      <c r="J1239" s="314">
        <v>0</v>
      </c>
      <c r="K1239" s="314">
        <v>0</v>
      </c>
      <c r="L1239" s="314">
        <v>0</v>
      </c>
      <c r="M1239" s="314"/>
      <c r="N1239" s="314"/>
      <c r="O1239" s="314"/>
      <c r="P1239" s="314"/>
      <c r="Q1239" s="314"/>
      <c r="R1239" s="314">
        <v>15097734</v>
      </c>
      <c r="S1239" s="314">
        <v>0</v>
      </c>
      <c r="T1239" s="314">
        <v>15097734</v>
      </c>
      <c r="U1239" s="320">
        <v>0</v>
      </c>
      <c r="W1239" s="320"/>
      <c r="X1239" s="320"/>
    </row>
    <row r="1240" spans="1:26" x14ac:dyDescent="0.45">
      <c r="A1240" s="45"/>
      <c r="B1240" s="424"/>
      <c r="C1240" s="312"/>
      <c r="D1240" s="314"/>
      <c r="E1240" s="314"/>
      <c r="F1240" s="314"/>
      <c r="G1240" s="314"/>
      <c r="H1240" s="314"/>
      <c r="I1240" s="314"/>
      <c r="J1240" s="314"/>
      <c r="K1240" s="314"/>
      <c r="L1240" s="314"/>
      <c r="M1240" s="314"/>
      <c r="N1240" s="314"/>
      <c r="O1240" s="314"/>
      <c r="P1240" s="314"/>
      <c r="Q1240" s="314"/>
      <c r="R1240" s="314"/>
      <c r="S1240" s="314"/>
      <c r="T1240" s="314"/>
      <c r="U1240" s="320"/>
      <c r="W1240" s="327"/>
      <c r="X1240" s="59"/>
      <c r="Y1240" s="59"/>
      <c r="Z1240" s="330"/>
    </row>
    <row r="1241" spans="1:26" x14ac:dyDescent="0.45">
      <c r="A1241" s="45">
        <v>22</v>
      </c>
      <c r="B1241" s="424" t="s">
        <v>803</v>
      </c>
      <c r="C1241" s="312"/>
      <c r="D1241" s="314">
        <v>0</v>
      </c>
      <c r="E1241" s="314"/>
      <c r="F1241" s="314">
        <v>0</v>
      </c>
      <c r="G1241" s="314"/>
      <c r="H1241" s="314">
        <v>0</v>
      </c>
      <c r="I1241" s="314"/>
      <c r="J1241" s="314">
        <v>0</v>
      </c>
      <c r="K1241" s="314">
        <v>0</v>
      </c>
      <c r="L1241" s="314">
        <v>0</v>
      </c>
      <c r="M1241" s="314"/>
      <c r="N1241" s="314"/>
      <c r="O1241" s="314"/>
      <c r="P1241" s="314"/>
      <c r="Q1241" s="314"/>
      <c r="R1241" s="314"/>
      <c r="S1241" s="314"/>
      <c r="T1241" s="314"/>
      <c r="U1241" s="320"/>
      <c r="W1241" s="320"/>
    </row>
    <row r="1242" spans="1:26" x14ac:dyDescent="0.45">
      <c r="A1242" s="45"/>
      <c r="B1242" s="424"/>
      <c r="C1242" s="312"/>
      <c r="D1242" s="314"/>
      <c r="E1242" s="314"/>
      <c r="F1242" s="314"/>
      <c r="G1242" s="314"/>
      <c r="H1242" s="314"/>
      <c r="I1242" s="314"/>
      <c r="J1242" s="314"/>
      <c r="K1242" s="314"/>
      <c r="L1242" s="314"/>
      <c r="M1242" s="314"/>
      <c r="N1242" s="314"/>
      <c r="O1242" s="314"/>
      <c r="P1242" s="314"/>
      <c r="Q1242" s="314"/>
      <c r="R1242" s="314"/>
      <c r="S1242" s="314"/>
      <c r="T1242" s="314"/>
      <c r="U1242" s="320"/>
      <c r="W1242" s="320"/>
    </row>
    <row r="1243" spans="1:26" x14ac:dyDescent="0.45">
      <c r="A1243" s="45"/>
      <c r="B1243" s="426" t="s">
        <v>804</v>
      </c>
      <c r="C1243" s="312"/>
      <c r="D1243" s="314"/>
      <c r="E1243" s="314"/>
      <c r="F1243" s="314"/>
      <c r="G1243" s="314"/>
      <c r="H1243" s="314"/>
      <c r="I1243" s="314"/>
      <c r="J1243" s="314"/>
      <c r="K1243" s="314"/>
      <c r="L1243" s="314"/>
      <c r="M1243" s="314"/>
      <c r="N1243" s="314"/>
      <c r="O1243" s="314"/>
      <c r="P1243" s="314"/>
      <c r="Q1243" s="314"/>
      <c r="R1243" s="314"/>
      <c r="S1243" s="314"/>
      <c r="T1243" s="314"/>
      <c r="U1243" s="320"/>
      <c r="W1243" s="320"/>
    </row>
    <row r="1244" spans="1:26" x14ac:dyDescent="0.45">
      <c r="A1244" s="45"/>
      <c r="B1244" s="45"/>
      <c r="C1244" s="312"/>
      <c r="D1244" s="314"/>
      <c r="E1244" s="314"/>
      <c r="F1244" s="314"/>
      <c r="G1244" s="314"/>
      <c r="H1244" s="314"/>
      <c r="I1244" s="314"/>
      <c r="J1244" s="314"/>
      <c r="K1244" s="314"/>
      <c r="L1244" s="314"/>
      <c r="M1244" s="314"/>
      <c r="N1244" s="314"/>
      <c r="O1244" s="314"/>
      <c r="P1244" s="314"/>
      <c r="Q1244" s="314"/>
      <c r="R1244" s="314"/>
      <c r="S1244" s="314"/>
      <c r="T1244" s="314"/>
      <c r="U1244" s="320"/>
      <c r="W1244" s="320"/>
    </row>
    <row r="1245" spans="1:26" x14ac:dyDescent="0.45">
      <c r="A1245" s="45"/>
      <c r="B1245" s="424" t="s">
        <v>805</v>
      </c>
      <c r="C1245" s="312"/>
      <c r="D1245" s="314"/>
      <c r="E1245" s="314"/>
      <c r="F1245" s="314"/>
      <c r="G1245" s="314"/>
      <c r="H1245" s="314"/>
      <c r="I1245" s="314"/>
      <c r="J1245" s="314"/>
      <c r="K1245" s="314"/>
      <c r="L1245" s="314"/>
      <c r="M1245" s="314"/>
      <c r="N1245" s="314"/>
      <c r="O1245" s="314"/>
      <c r="P1245" s="314"/>
      <c r="Q1245" s="314"/>
      <c r="R1245" s="314"/>
      <c r="S1245" s="314"/>
      <c r="T1245" s="314"/>
      <c r="W1245" s="320"/>
    </row>
    <row r="1246" spans="1:26" x14ac:dyDescent="0.45">
      <c r="A1246" s="313">
        <v>1</v>
      </c>
      <c r="B1246" s="424" t="s">
        <v>806</v>
      </c>
      <c r="C1246" s="425" t="s">
        <v>32</v>
      </c>
      <c r="D1246" s="314">
        <v>38987961</v>
      </c>
      <c r="E1246" s="314"/>
      <c r="F1246" s="314">
        <v>36502877</v>
      </c>
      <c r="G1246" s="314"/>
      <c r="H1246" s="314">
        <v>1995525</v>
      </c>
      <c r="I1246" s="314"/>
      <c r="J1246" s="314">
        <v>489558</v>
      </c>
      <c r="K1246" s="314">
        <v>257998</v>
      </c>
      <c r="L1246" s="314">
        <v>231561</v>
      </c>
      <c r="M1246" s="314"/>
      <c r="N1246" s="314"/>
      <c r="O1246" s="314">
        <v>38987961</v>
      </c>
      <c r="P1246" s="314"/>
      <c r="Q1246" s="314"/>
      <c r="R1246" s="314"/>
      <c r="S1246" s="314"/>
      <c r="T1246" s="314"/>
      <c r="W1246" s="320"/>
    </row>
    <row r="1247" spans="1:26" x14ac:dyDescent="0.45">
      <c r="A1247" s="313">
        <v>2</v>
      </c>
      <c r="B1247" s="424" t="s">
        <v>306</v>
      </c>
      <c r="C1247" s="428" t="s">
        <v>1918</v>
      </c>
      <c r="D1247" s="314">
        <v>3334056</v>
      </c>
      <c r="E1247" s="314"/>
      <c r="F1247" s="314">
        <v>3334056</v>
      </c>
      <c r="G1247" s="314"/>
      <c r="H1247" s="314">
        <v>0</v>
      </c>
      <c r="I1247" s="314"/>
      <c r="J1247" s="314">
        <v>0</v>
      </c>
      <c r="K1247" s="314">
        <v>0</v>
      </c>
      <c r="L1247" s="314">
        <v>0</v>
      </c>
      <c r="M1247" s="314"/>
      <c r="N1247" s="314"/>
      <c r="O1247" s="314">
        <v>3334056</v>
      </c>
      <c r="P1247" s="314"/>
      <c r="Q1247" s="314"/>
      <c r="R1247" s="314"/>
      <c r="S1247" s="314"/>
      <c r="T1247" s="314"/>
      <c r="U1247" s="320"/>
      <c r="V1247" s="320"/>
      <c r="W1247" s="320"/>
      <c r="X1247" s="320"/>
      <c r="Y1247" s="320"/>
    </row>
    <row r="1248" spans="1:26" x14ac:dyDescent="0.45">
      <c r="A1248" s="313">
        <v>3</v>
      </c>
      <c r="B1248" s="424" t="s">
        <v>307</v>
      </c>
      <c r="C1248" s="425" t="s">
        <v>872</v>
      </c>
      <c r="D1248" s="314">
        <v>0</v>
      </c>
      <c r="E1248" s="314"/>
      <c r="F1248" s="314">
        <v>0</v>
      </c>
      <c r="G1248" s="314"/>
      <c r="H1248" s="314">
        <v>0</v>
      </c>
      <c r="I1248" s="314"/>
      <c r="J1248" s="314">
        <v>0</v>
      </c>
      <c r="K1248" s="314">
        <v>0</v>
      </c>
      <c r="L1248" s="314">
        <v>0</v>
      </c>
      <c r="M1248" s="314"/>
      <c r="N1248" s="314"/>
      <c r="O1248" s="314"/>
      <c r="P1248" s="314"/>
      <c r="Q1248" s="314"/>
      <c r="R1248" s="314"/>
      <c r="S1248" s="314"/>
      <c r="T1248" s="314"/>
      <c r="U1248" s="320"/>
      <c r="V1248" s="320"/>
      <c r="W1248" s="320"/>
      <c r="X1248" s="320"/>
      <c r="Y1248" s="320"/>
    </row>
    <row r="1249" spans="1:26" x14ac:dyDescent="0.45">
      <c r="A1249" s="313">
        <v>4</v>
      </c>
      <c r="B1249" s="424" t="s">
        <v>2318</v>
      </c>
      <c r="C1249" s="425" t="s">
        <v>1426</v>
      </c>
      <c r="D1249" s="314">
        <v>0</v>
      </c>
      <c r="E1249" s="314"/>
      <c r="F1249" s="314">
        <v>0</v>
      </c>
      <c r="G1249" s="314"/>
      <c r="H1249" s="314">
        <v>0</v>
      </c>
      <c r="I1249" s="314"/>
      <c r="J1249" s="314">
        <v>0</v>
      </c>
      <c r="K1249" s="314">
        <v>0</v>
      </c>
      <c r="L1249" s="314">
        <v>0</v>
      </c>
      <c r="M1249" s="314"/>
      <c r="N1249" s="314"/>
      <c r="O1249" s="314"/>
      <c r="P1249" s="314"/>
      <c r="Q1249" s="314"/>
      <c r="R1249" s="314"/>
      <c r="S1249" s="314"/>
      <c r="T1249" s="314"/>
      <c r="U1249" s="320"/>
      <c r="V1249" s="320"/>
      <c r="W1249" s="320"/>
      <c r="X1249" s="320"/>
      <c r="Y1249" s="320"/>
    </row>
    <row r="1250" spans="1:26" x14ac:dyDescent="0.45">
      <c r="A1250" s="313">
        <v>5</v>
      </c>
      <c r="B1250" s="424" t="s">
        <v>2319</v>
      </c>
      <c r="C1250" s="425" t="s">
        <v>1426</v>
      </c>
      <c r="D1250" s="314">
        <v>10962201</v>
      </c>
      <c r="E1250" s="314"/>
      <c r="F1250" s="314">
        <v>10315123</v>
      </c>
      <c r="G1250" s="314"/>
      <c r="H1250" s="314">
        <v>521547</v>
      </c>
      <c r="I1250" s="314"/>
      <c r="J1250" s="314">
        <v>125531</v>
      </c>
      <c r="K1250" s="314">
        <v>65453</v>
      </c>
      <c r="L1250" s="314">
        <v>60078</v>
      </c>
      <c r="M1250" s="314"/>
      <c r="N1250" s="314"/>
      <c r="O1250" s="314">
        <v>10962201</v>
      </c>
      <c r="P1250" s="314"/>
      <c r="Q1250" s="314"/>
      <c r="R1250" s="314"/>
      <c r="S1250" s="314"/>
      <c r="T1250" s="314"/>
      <c r="U1250" s="320"/>
      <c r="W1250" s="320"/>
    </row>
    <row r="1251" spans="1:26" x14ac:dyDescent="0.45">
      <c r="A1251" s="313">
        <v>6</v>
      </c>
      <c r="B1251" s="424" t="s">
        <v>308</v>
      </c>
      <c r="C1251" s="425" t="s">
        <v>1347</v>
      </c>
      <c r="D1251" s="314">
        <v>0</v>
      </c>
      <c r="E1251" s="314"/>
      <c r="F1251" s="314">
        <v>0</v>
      </c>
      <c r="G1251" s="314"/>
      <c r="H1251" s="314">
        <v>0</v>
      </c>
      <c r="I1251" s="314"/>
      <c r="J1251" s="314">
        <v>0</v>
      </c>
      <c r="K1251" s="314">
        <v>0</v>
      </c>
      <c r="L1251" s="314">
        <v>0</v>
      </c>
      <c r="M1251" s="314"/>
      <c r="N1251" s="314"/>
      <c r="O1251" s="314"/>
      <c r="P1251" s="314"/>
      <c r="Q1251" s="314"/>
      <c r="R1251" s="314" t="s">
        <v>1837</v>
      </c>
      <c r="S1251" s="314"/>
      <c r="T1251" s="314"/>
      <c r="U1251" s="320"/>
      <c r="V1251" s="332"/>
      <c r="W1251" s="320"/>
    </row>
    <row r="1252" spans="1:26" x14ac:dyDescent="0.45">
      <c r="A1252" s="313">
        <v>7</v>
      </c>
      <c r="B1252" s="424" t="s">
        <v>309</v>
      </c>
      <c r="C1252" s="312"/>
      <c r="D1252" s="314">
        <v>53284218</v>
      </c>
      <c r="E1252" s="314"/>
      <c r="F1252" s="314">
        <v>50152056</v>
      </c>
      <c r="G1252" s="314"/>
      <c r="H1252" s="314">
        <v>2517072</v>
      </c>
      <c r="I1252" s="314"/>
      <c r="J1252" s="314">
        <v>615089</v>
      </c>
      <c r="K1252" s="314">
        <v>323451</v>
      </c>
      <c r="L1252" s="314">
        <v>291638</v>
      </c>
      <c r="M1252" s="314"/>
      <c r="N1252" s="314"/>
      <c r="O1252" s="314"/>
      <c r="P1252" s="314"/>
      <c r="Q1252" s="314"/>
      <c r="R1252" s="314">
        <v>53284218</v>
      </c>
      <c r="S1252" s="314">
        <v>0</v>
      </c>
      <c r="T1252" s="314"/>
      <c r="U1252" s="320"/>
      <c r="V1252" s="320"/>
      <c r="W1252" s="320"/>
      <c r="X1252" s="320"/>
      <c r="Y1252" s="320"/>
    </row>
    <row r="1253" spans="1:26" x14ac:dyDescent="0.45">
      <c r="A1253" s="45"/>
      <c r="B1253" s="45"/>
      <c r="C1253" s="312"/>
      <c r="D1253" s="314"/>
      <c r="E1253" s="314"/>
      <c r="F1253" s="314"/>
      <c r="G1253" s="314"/>
      <c r="H1253" s="314"/>
      <c r="I1253" s="314"/>
      <c r="J1253" s="314"/>
      <c r="K1253" s="314"/>
      <c r="L1253" s="314"/>
      <c r="M1253" s="314"/>
      <c r="N1253" s="314"/>
      <c r="O1253" s="314"/>
      <c r="P1253" s="314"/>
      <c r="Q1253" s="314"/>
      <c r="R1253" s="314"/>
      <c r="S1253" s="314"/>
      <c r="T1253" s="314"/>
      <c r="W1253" s="320"/>
    </row>
    <row r="1254" spans="1:26" x14ac:dyDescent="0.45">
      <c r="A1254" s="313">
        <v>8</v>
      </c>
      <c r="B1254" s="424" t="s">
        <v>310</v>
      </c>
      <c r="C1254" s="425" t="s">
        <v>1269</v>
      </c>
      <c r="D1254" s="314">
        <v>0</v>
      </c>
      <c r="E1254" s="314"/>
      <c r="F1254" s="314">
        <v>0</v>
      </c>
      <c r="G1254" s="314"/>
      <c r="H1254" s="314">
        <v>0</v>
      </c>
      <c r="I1254" s="314"/>
      <c r="J1254" s="314">
        <v>0</v>
      </c>
      <c r="K1254" s="314">
        <v>0</v>
      </c>
      <c r="L1254" s="314">
        <v>0</v>
      </c>
      <c r="M1254" s="314"/>
      <c r="N1254" s="314"/>
      <c r="O1254" s="314">
        <v>0</v>
      </c>
      <c r="P1254" s="314"/>
      <c r="Q1254" s="314" t="s">
        <v>311</v>
      </c>
      <c r="R1254" s="314"/>
      <c r="S1254" s="314" t="s">
        <v>2320</v>
      </c>
      <c r="T1254" s="314"/>
      <c r="W1254" s="320"/>
    </row>
    <row r="1255" spans="1:26" x14ac:dyDescent="0.45">
      <c r="A1255" s="313">
        <v>9</v>
      </c>
      <c r="B1255" s="427" t="s">
        <v>1776</v>
      </c>
      <c r="C1255" s="425" t="s">
        <v>1347</v>
      </c>
      <c r="D1255" s="314">
        <v>0</v>
      </c>
      <c r="E1255" s="314"/>
      <c r="F1255" s="314">
        <v>0</v>
      </c>
      <c r="G1255" s="314"/>
      <c r="H1255" s="314">
        <v>0</v>
      </c>
      <c r="I1255" s="314"/>
      <c r="J1255" s="314">
        <v>0</v>
      </c>
      <c r="K1255" s="314">
        <v>0</v>
      </c>
      <c r="L1255" s="314">
        <v>0</v>
      </c>
      <c r="M1255" s="314"/>
      <c r="N1255" s="314"/>
      <c r="O1255" s="314">
        <v>0</v>
      </c>
      <c r="P1255" s="314"/>
      <c r="Q1255" s="314" t="s">
        <v>2241</v>
      </c>
      <c r="R1255" s="314"/>
      <c r="S1255" s="314">
        <v>0</v>
      </c>
      <c r="T1255" s="314">
        <v>0</v>
      </c>
      <c r="U1255" s="320"/>
      <c r="V1255" s="320"/>
      <c r="W1255" s="320"/>
      <c r="X1255" s="320"/>
      <c r="Y1255" s="320"/>
    </row>
    <row r="1256" spans="1:26" x14ac:dyDescent="0.45">
      <c r="A1256" s="313">
        <v>10</v>
      </c>
      <c r="B1256" s="427" t="s">
        <v>1777</v>
      </c>
      <c r="C1256" s="425" t="s">
        <v>1426</v>
      </c>
      <c r="D1256" s="314">
        <v>194934</v>
      </c>
      <c r="E1256" s="314"/>
      <c r="F1256" s="314">
        <v>0</v>
      </c>
      <c r="G1256" s="314"/>
      <c r="H1256" s="314">
        <v>4637</v>
      </c>
      <c r="I1256" s="314"/>
      <c r="J1256" s="314">
        <v>0</v>
      </c>
      <c r="K1256" s="314">
        <v>0</v>
      </c>
      <c r="L1256" s="314">
        <v>0</v>
      </c>
      <c r="M1256" s="314"/>
      <c r="N1256" s="314"/>
      <c r="O1256" s="314">
        <v>97467</v>
      </c>
      <c r="P1256" s="314" t="s">
        <v>1778</v>
      </c>
      <c r="Q1256" s="314" t="s">
        <v>1779</v>
      </c>
      <c r="R1256" s="314"/>
      <c r="S1256" s="314" t="s">
        <v>2242</v>
      </c>
      <c r="T1256" s="314" t="s">
        <v>2321</v>
      </c>
      <c r="U1256" s="320" t="s">
        <v>1780</v>
      </c>
      <c r="V1256" s="355"/>
      <c r="W1256" s="320"/>
      <c r="X1256" s="327"/>
    </row>
    <row r="1257" spans="1:26" x14ac:dyDescent="0.45">
      <c r="A1257" s="45"/>
      <c r="B1257" s="45"/>
      <c r="C1257" s="45"/>
      <c r="D1257" s="314"/>
      <c r="E1257" s="314"/>
      <c r="F1257" s="314"/>
      <c r="G1257" s="314"/>
      <c r="H1257" s="314"/>
      <c r="I1257" s="314"/>
      <c r="J1257" s="314"/>
      <c r="K1257" s="314"/>
      <c r="L1257" s="314"/>
      <c r="M1257" s="314"/>
      <c r="N1257" s="314"/>
      <c r="O1257" s="314">
        <v>190297</v>
      </c>
      <c r="P1257" s="314" t="s">
        <v>2068</v>
      </c>
      <c r="Q1257" s="314"/>
      <c r="R1257" s="314"/>
      <c r="S1257" s="314">
        <v>262502</v>
      </c>
      <c r="T1257" s="314">
        <v>194934</v>
      </c>
      <c r="U1257" s="496">
        <v>97467</v>
      </c>
      <c r="V1257" s="320"/>
      <c r="X1257" s="355"/>
      <c r="Y1257" s="320"/>
      <c r="Z1257" s="320"/>
    </row>
    <row r="1258" spans="1:26" x14ac:dyDescent="0.45">
      <c r="A1258" s="45"/>
      <c r="B1258" s="45"/>
      <c r="C1258" s="45"/>
      <c r="D1258" s="314"/>
      <c r="E1258" s="314"/>
      <c r="F1258" s="314"/>
      <c r="G1258" s="314"/>
      <c r="H1258" s="314"/>
      <c r="I1258" s="314"/>
      <c r="J1258" s="314"/>
      <c r="K1258" s="314"/>
      <c r="L1258" s="314"/>
      <c r="M1258" s="314"/>
      <c r="N1258" s="314"/>
      <c r="O1258" s="314"/>
      <c r="P1258" s="314"/>
      <c r="Q1258" s="314"/>
      <c r="R1258" s="314"/>
      <c r="S1258" s="314"/>
      <c r="T1258" s="314">
        <v>194934</v>
      </c>
      <c r="U1258" s="320"/>
      <c r="V1258" s="355"/>
      <c r="X1258" s="327"/>
    </row>
    <row r="1259" spans="1:26" x14ac:dyDescent="0.45">
      <c r="A1259" s="45"/>
      <c r="B1259" s="424" t="s">
        <v>313</v>
      </c>
      <c r="C1259" s="312"/>
      <c r="D1259" s="314"/>
      <c r="E1259" s="314"/>
      <c r="F1259" s="314"/>
      <c r="G1259" s="314"/>
      <c r="H1259" s="314"/>
      <c r="I1259" s="314"/>
      <c r="J1259" s="314"/>
      <c r="K1259" s="314"/>
      <c r="L1259" s="314"/>
      <c r="M1259" s="314"/>
      <c r="N1259" s="314"/>
      <c r="O1259" s="314"/>
      <c r="P1259" s="314"/>
      <c r="Q1259" s="314"/>
      <c r="R1259" s="314"/>
      <c r="S1259" s="314"/>
      <c r="T1259" s="314"/>
      <c r="U1259" s="320"/>
      <c r="V1259" s="355"/>
    </row>
    <row r="1260" spans="1:26" x14ac:dyDescent="0.45">
      <c r="A1260" s="313">
        <v>11</v>
      </c>
      <c r="B1260" s="424" t="s">
        <v>588</v>
      </c>
      <c r="C1260" s="425" t="s">
        <v>912</v>
      </c>
      <c r="D1260" s="314">
        <v>0</v>
      </c>
      <c r="E1260" s="314"/>
      <c r="F1260" s="314">
        <v>0</v>
      </c>
      <c r="G1260" s="314"/>
      <c r="H1260" s="314">
        <v>0</v>
      </c>
      <c r="I1260" s="314"/>
      <c r="J1260" s="314">
        <v>0</v>
      </c>
      <c r="K1260" s="314">
        <v>0</v>
      </c>
      <c r="L1260" s="314">
        <v>0</v>
      </c>
      <c r="M1260" s="314"/>
      <c r="N1260" s="314"/>
      <c r="O1260" s="314">
        <v>0</v>
      </c>
      <c r="P1260" s="314"/>
      <c r="Q1260" s="314" t="s">
        <v>312</v>
      </c>
      <c r="R1260" s="314"/>
      <c r="S1260" s="314" t="s">
        <v>314</v>
      </c>
      <c r="T1260" s="314"/>
      <c r="W1260" s="320"/>
    </row>
    <row r="1261" spans="1:26" x14ac:dyDescent="0.45">
      <c r="A1261" s="313">
        <v>12</v>
      </c>
      <c r="B1261" s="424" t="s">
        <v>589</v>
      </c>
      <c r="C1261" s="425" t="s">
        <v>2134</v>
      </c>
      <c r="D1261" s="314">
        <v>0</v>
      </c>
      <c r="E1261" s="314"/>
      <c r="F1261" s="314">
        <v>0</v>
      </c>
      <c r="G1261" s="314"/>
      <c r="H1261" s="314">
        <v>0</v>
      </c>
      <c r="I1261" s="314"/>
      <c r="J1261" s="314">
        <v>0</v>
      </c>
      <c r="K1261" s="314">
        <v>0</v>
      </c>
      <c r="L1261" s="314">
        <v>0</v>
      </c>
      <c r="M1261" s="314"/>
      <c r="N1261" s="314"/>
      <c r="O1261" s="314">
        <v>0</v>
      </c>
      <c r="P1261" s="314"/>
      <c r="Q1261" s="314"/>
      <c r="R1261" s="314"/>
      <c r="S1261" s="314"/>
      <c r="T1261" s="314"/>
      <c r="U1261" s="320"/>
      <c r="V1261" s="320"/>
      <c r="W1261" s="320"/>
      <c r="Y1261" s="320"/>
    </row>
    <row r="1262" spans="1:26" x14ac:dyDescent="0.45">
      <c r="A1262" s="313">
        <v>13</v>
      </c>
      <c r="B1262" s="424" t="s">
        <v>590</v>
      </c>
      <c r="C1262" s="425" t="s">
        <v>1344</v>
      </c>
      <c r="D1262" s="314">
        <v>0</v>
      </c>
      <c r="E1262" s="314"/>
      <c r="F1262" s="314">
        <v>0</v>
      </c>
      <c r="G1262" s="314"/>
      <c r="H1262" s="314">
        <v>0</v>
      </c>
      <c r="I1262" s="314"/>
      <c r="J1262" s="314">
        <v>0</v>
      </c>
      <c r="K1262" s="314">
        <v>0</v>
      </c>
      <c r="L1262" s="314">
        <v>0</v>
      </c>
      <c r="M1262" s="314"/>
      <c r="N1262" s="314"/>
      <c r="O1262" s="314">
        <v>0</v>
      </c>
      <c r="P1262" s="314"/>
      <c r="Q1262" s="314"/>
      <c r="R1262" s="314"/>
      <c r="S1262" s="314"/>
      <c r="T1262" s="314"/>
      <c r="U1262" s="320"/>
      <c r="V1262" s="320"/>
      <c r="W1262" s="320"/>
      <c r="X1262" s="320"/>
      <c r="Y1262" s="320"/>
    </row>
    <row r="1263" spans="1:26" x14ac:dyDescent="0.45">
      <c r="A1263" s="313">
        <v>14</v>
      </c>
      <c r="B1263" s="424" t="s">
        <v>315</v>
      </c>
      <c r="C1263" s="425" t="s">
        <v>1374</v>
      </c>
      <c r="D1263" s="314">
        <v>0</v>
      </c>
      <c r="E1263" s="314"/>
      <c r="F1263" s="314">
        <v>0</v>
      </c>
      <c r="G1263" s="314"/>
      <c r="H1263" s="314">
        <v>0</v>
      </c>
      <c r="I1263" s="314"/>
      <c r="J1263" s="314">
        <v>0</v>
      </c>
      <c r="K1263" s="314">
        <v>0</v>
      </c>
      <c r="L1263" s="314">
        <v>0</v>
      </c>
      <c r="M1263" s="314"/>
      <c r="N1263" s="314"/>
      <c r="O1263" s="314">
        <v>0</v>
      </c>
      <c r="P1263" s="314"/>
      <c r="Q1263" s="314"/>
      <c r="R1263" s="314"/>
      <c r="S1263" s="314"/>
      <c r="T1263" s="314"/>
      <c r="U1263" s="320"/>
      <c r="V1263" s="320"/>
      <c r="W1263" s="320"/>
      <c r="X1263" s="320"/>
      <c r="Y1263" s="320"/>
    </row>
    <row r="1264" spans="1:26" x14ac:dyDescent="0.45">
      <c r="A1264" s="313">
        <v>15</v>
      </c>
      <c r="B1264" s="424" t="s">
        <v>592</v>
      </c>
      <c r="C1264" s="425" t="s">
        <v>938</v>
      </c>
      <c r="D1264" s="314">
        <v>0</v>
      </c>
      <c r="E1264" s="314"/>
      <c r="F1264" s="314">
        <v>0</v>
      </c>
      <c r="G1264" s="314"/>
      <c r="H1264" s="314">
        <v>0</v>
      </c>
      <c r="I1264" s="314"/>
      <c r="J1264" s="314">
        <v>0</v>
      </c>
      <c r="K1264" s="314">
        <v>0</v>
      </c>
      <c r="L1264" s="314">
        <v>0</v>
      </c>
      <c r="M1264" s="314"/>
      <c r="N1264" s="314"/>
      <c r="O1264" s="314">
        <v>0</v>
      </c>
      <c r="P1264" s="314"/>
      <c r="Q1264" s="314"/>
      <c r="R1264" s="314"/>
      <c r="S1264" s="314"/>
      <c r="T1264" s="314"/>
      <c r="U1264" s="320"/>
      <c r="V1264" s="320"/>
      <c r="W1264" s="320"/>
      <c r="X1264" s="320"/>
      <c r="Y1264" s="320"/>
    </row>
    <row r="1265" spans="1:25" x14ac:dyDescent="0.45">
      <c r="A1265" s="313">
        <v>16</v>
      </c>
      <c r="B1265" s="424" t="s">
        <v>593</v>
      </c>
      <c r="C1265" s="425" t="s">
        <v>1446</v>
      </c>
      <c r="D1265" s="314">
        <v>0</v>
      </c>
      <c r="E1265" s="314"/>
      <c r="F1265" s="314">
        <v>0</v>
      </c>
      <c r="G1265" s="314"/>
      <c r="H1265" s="314">
        <v>0</v>
      </c>
      <c r="I1265" s="314"/>
      <c r="J1265" s="314">
        <v>0</v>
      </c>
      <c r="K1265" s="314">
        <v>0</v>
      </c>
      <c r="L1265" s="314">
        <v>0</v>
      </c>
      <c r="M1265" s="314"/>
      <c r="N1265" s="314"/>
      <c r="O1265" s="314">
        <v>0</v>
      </c>
      <c r="P1265" s="314"/>
      <c r="Q1265" s="314"/>
      <c r="R1265" s="314"/>
      <c r="S1265" s="314"/>
      <c r="T1265" s="314"/>
      <c r="U1265" s="320"/>
      <c r="V1265" s="320"/>
      <c r="W1265" s="320"/>
      <c r="X1265" s="320"/>
      <c r="Y1265" s="320"/>
    </row>
    <row r="1266" spans="1:25" x14ac:dyDescent="0.45">
      <c r="A1266" s="313">
        <v>17</v>
      </c>
      <c r="B1266" s="424" t="s">
        <v>316</v>
      </c>
      <c r="C1266" s="312"/>
      <c r="D1266" s="314">
        <v>0</v>
      </c>
      <c r="E1266" s="314"/>
      <c r="F1266" s="314">
        <v>0</v>
      </c>
      <c r="G1266" s="314"/>
      <c r="H1266" s="314">
        <v>0</v>
      </c>
      <c r="I1266" s="314"/>
      <c r="J1266" s="314">
        <v>0</v>
      </c>
      <c r="K1266" s="314">
        <v>0</v>
      </c>
      <c r="L1266" s="314">
        <v>0</v>
      </c>
      <c r="M1266" s="314"/>
      <c r="N1266" s="314"/>
      <c r="O1266" s="314"/>
      <c r="P1266" s="314"/>
      <c r="Q1266" s="314"/>
      <c r="R1266" s="314"/>
      <c r="S1266" s="314"/>
      <c r="T1266" s="314"/>
      <c r="U1266" s="320"/>
      <c r="V1266" s="320"/>
      <c r="W1266" s="320"/>
      <c r="X1266" s="320"/>
      <c r="Y1266" s="320"/>
    </row>
    <row r="1267" spans="1:25" x14ac:dyDescent="0.45">
      <c r="A1267" s="45"/>
      <c r="B1267" s="45"/>
      <c r="C1267" s="312"/>
      <c r="D1267" s="314"/>
      <c r="E1267" s="314"/>
      <c r="F1267" s="314"/>
      <c r="G1267" s="314"/>
      <c r="H1267" s="314"/>
      <c r="I1267" s="314"/>
      <c r="J1267" s="314"/>
      <c r="K1267" s="314"/>
      <c r="L1267" s="314"/>
      <c r="M1267" s="314"/>
      <c r="N1267" s="314"/>
      <c r="O1267" s="314"/>
      <c r="P1267" s="314"/>
      <c r="Q1267" s="314"/>
      <c r="R1267" s="314"/>
      <c r="S1267" s="314"/>
      <c r="T1267" s="314"/>
      <c r="W1267" s="320"/>
    </row>
    <row r="1268" spans="1:25" x14ac:dyDescent="0.45">
      <c r="A1268" s="313">
        <v>18</v>
      </c>
      <c r="B1268" s="424" t="s">
        <v>317</v>
      </c>
      <c r="C1268" s="312"/>
      <c r="D1268" s="314">
        <v>1420093385</v>
      </c>
      <c r="E1268" s="314"/>
      <c r="F1268" s="314">
        <v>1332774898</v>
      </c>
      <c r="G1268" s="314"/>
      <c r="H1268" s="314">
        <v>65705940</v>
      </c>
      <c r="I1268" s="314"/>
      <c r="J1268" s="314">
        <v>21612548</v>
      </c>
      <c r="K1268" s="314">
        <v>11122391</v>
      </c>
      <c r="L1268" s="314">
        <v>10490157</v>
      </c>
      <c r="M1268" s="314"/>
      <c r="N1268" s="314"/>
      <c r="O1268" s="314"/>
      <c r="P1268" s="314"/>
      <c r="Q1268" s="314"/>
      <c r="R1268" s="314"/>
      <c r="S1268" s="314"/>
      <c r="T1268" s="314"/>
      <c r="W1268" s="320"/>
    </row>
    <row r="1269" spans="1:25" x14ac:dyDescent="0.45">
      <c r="A1269" s="45"/>
      <c r="B1269" s="45"/>
      <c r="C1269" s="45"/>
      <c r="D1269" s="314"/>
      <c r="E1269" s="314"/>
      <c r="F1269" s="314"/>
      <c r="G1269" s="314"/>
      <c r="H1269" s="314"/>
      <c r="I1269" s="314"/>
      <c r="J1269" s="314"/>
      <c r="K1269" s="314"/>
      <c r="L1269" s="314"/>
      <c r="M1269" s="314"/>
      <c r="N1269" s="314"/>
      <c r="O1269" s="314"/>
      <c r="P1269" s="314"/>
      <c r="Q1269" s="314"/>
      <c r="R1269" s="314"/>
      <c r="S1269" s="314"/>
      <c r="T1269" s="314"/>
      <c r="W1269" s="320"/>
    </row>
    <row r="1270" spans="1:25" x14ac:dyDescent="0.45">
      <c r="A1270" s="45"/>
      <c r="B1270" s="45"/>
      <c r="C1270" s="312"/>
      <c r="D1270" s="314"/>
      <c r="E1270" s="314"/>
      <c r="F1270" s="314"/>
      <c r="G1270" s="314"/>
      <c r="H1270" s="314"/>
      <c r="I1270" s="314"/>
      <c r="J1270" s="314"/>
      <c r="K1270" s="314"/>
      <c r="L1270" s="314"/>
      <c r="M1270" s="314"/>
      <c r="N1270" s="314"/>
      <c r="O1270" s="314"/>
      <c r="P1270" s="314"/>
      <c r="Q1270" s="314"/>
      <c r="R1270" s="314"/>
      <c r="S1270" s="314"/>
      <c r="T1270" s="314"/>
      <c r="W1270" s="320"/>
    </row>
    <row r="1271" spans="1:25" x14ac:dyDescent="0.45">
      <c r="A1271" s="45"/>
      <c r="B1271" s="45"/>
      <c r="C1271" s="312"/>
      <c r="D1271" s="314"/>
      <c r="E1271" s="314"/>
      <c r="F1271" s="314"/>
      <c r="G1271" s="314"/>
      <c r="H1271" s="314"/>
      <c r="I1271" s="314"/>
      <c r="J1271" s="314"/>
      <c r="K1271" s="314"/>
      <c r="L1271" s="314"/>
      <c r="M1271" s="314"/>
      <c r="N1271" s="314"/>
      <c r="O1271" s="314"/>
      <c r="P1271" s="314"/>
      <c r="Q1271" s="314"/>
      <c r="R1271" s="314"/>
      <c r="S1271" s="314"/>
      <c r="T1271" s="314"/>
      <c r="U1271" s="320"/>
      <c r="V1271" s="320"/>
      <c r="W1271" s="320"/>
      <c r="X1271" s="320"/>
      <c r="Y1271" s="320"/>
    </row>
    <row r="1272" spans="1:25" x14ac:dyDescent="0.45">
      <c r="A1272" s="45"/>
      <c r="B1272" s="45"/>
      <c r="C1272" s="312"/>
      <c r="D1272" s="314"/>
      <c r="E1272" s="314"/>
      <c r="F1272" s="314"/>
      <c r="G1272" s="314"/>
      <c r="H1272" s="314"/>
      <c r="I1272" s="314"/>
      <c r="J1272" s="314"/>
      <c r="K1272" s="314"/>
      <c r="L1272" s="314"/>
      <c r="M1272" s="314"/>
      <c r="N1272" s="314"/>
      <c r="O1272" s="314"/>
      <c r="P1272" s="314"/>
      <c r="Q1272" s="314"/>
      <c r="R1272" s="314"/>
      <c r="S1272" s="314"/>
      <c r="T1272" s="314"/>
      <c r="W1272" s="320"/>
    </row>
    <row r="1273" spans="1:25" x14ac:dyDescent="0.45">
      <c r="A1273" s="45"/>
      <c r="B1273" s="45"/>
      <c r="C1273" s="312"/>
      <c r="D1273" s="314"/>
      <c r="E1273" s="314"/>
      <c r="F1273" s="314"/>
      <c r="G1273" s="314"/>
      <c r="H1273" s="314"/>
      <c r="I1273" s="314"/>
      <c r="J1273" s="314"/>
      <c r="K1273" s="314"/>
      <c r="L1273" s="314"/>
      <c r="M1273" s="314"/>
      <c r="N1273" s="314"/>
      <c r="O1273" s="314"/>
      <c r="P1273" s="314"/>
      <c r="Q1273" s="314"/>
      <c r="R1273" s="314"/>
      <c r="S1273" s="314"/>
      <c r="T1273" s="314"/>
      <c r="U1273" s="320"/>
      <c r="V1273" s="320"/>
      <c r="W1273" s="320"/>
      <c r="X1273" s="320"/>
      <c r="Y1273" s="320"/>
    </row>
    <row r="1274" spans="1:25" x14ac:dyDescent="0.45">
      <c r="A1274" s="45"/>
      <c r="B1274" s="45"/>
      <c r="C1274" s="312"/>
      <c r="D1274" s="314"/>
      <c r="E1274" s="314"/>
      <c r="F1274" s="314"/>
      <c r="G1274" s="314"/>
      <c r="H1274" s="314"/>
      <c r="I1274" s="314"/>
      <c r="J1274" s="314"/>
      <c r="K1274" s="314"/>
      <c r="L1274" s="314"/>
      <c r="M1274" s="314"/>
      <c r="N1274" s="314"/>
      <c r="O1274" s="314"/>
      <c r="P1274" s="314"/>
      <c r="Q1274" s="314"/>
      <c r="R1274" s="314"/>
      <c r="S1274" s="314"/>
      <c r="T1274" s="314"/>
      <c r="W1274" s="320"/>
    </row>
    <row r="1275" spans="1:25" x14ac:dyDescent="0.45">
      <c r="A1275" s="45"/>
      <c r="B1275" s="45"/>
      <c r="C1275" s="312"/>
      <c r="D1275" s="314"/>
      <c r="E1275" s="314"/>
      <c r="F1275" s="314"/>
      <c r="G1275" s="314"/>
      <c r="H1275" s="314"/>
      <c r="I1275" s="314"/>
      <c r="J1275" s="314"/>
      <c r="K1275" s="314"/>
      <c r="L1275" s="314"/>
      <c r="M1275" s="314"/>
      <c r="N1275" s="314"/>
      <c r="O1275" s="314"/>
      <c r="P1275" s="314"/>
      <c r="Q1275" s="314"/>
      <c r="R1275" s="314"/>
      <c r="S1275" s="314"/>
      <c r="T1275" s="314"/>
      <c r="U1275" s="320"/>
      <c r="V1275" s="320"/>
      <c r="W1275" s="320"/>
      <c r="X1275" s="320"/>
      <c r="Y1275" s="320"/>
    </row>
    <row r="1276" spans="1:25" x14ac:dyDescent="0.45">
      <c r="A1276" s="45"/>
      <c r="B1276" s="45"/>
      <c r="C1276" s="45"/>
      <c r="D1276" s="314"/>
      <c r="E1276" s="314"/>
      <c r="F1276" s="314"/>
      <c r="G1276" s="314"/>
      <c r="H1276" s="314"/>
      <c r="I1276" s="314"/>
      <c r="J1276" s="314"/>
      <c r="K1276" s="314"/>
      <c r="L1276" s="314"/>
      <c r="M1276" s="314"/>
      <c r="N1276" s="314"/>
      <c r="O1276" s="314"/>
      <c r="P1276" s="314"/>
      <c r="Q1276" s="314"/>
      <c r="R1276" s="314"/>
      <c r="S1276" s="314"/>
      <c r="T1276" s="314"/>
      <c r="W1276" s="320"/>
    </row>
    <row r="1277" spans="1:25" x14ac:dyDescent="0.45">
      <c r="A1277" s="45"/>
      <c r="B1277" s="426" t="s">
        <v>318</v>
      </c>
      <c r="C1277" s="312"/>
      <c r="D1277" s="314"/>
      <c r="E1277" s="314"/>
      <c r="F1277" s="314"/>
      <c r="G1277" s="314"/>
      <c r="H1277" s="314"/>
      <c r="I1277" s="314"/>
      <c r="J1277" s="314"/>
      <c r="K1277" s="314"/>
      <c r="L1277" s="314"/>
      <c r="M1277" s="314"/>
      <c r="N1277" s="314"/>
      <c r="O1277" s="314"/>
      <c r="P1277" s="314"/>
      <c r="Q1277" s="314"/>
      <c r="R1277" s="314"/>
      <c r="S1277" s="314"/>
      <c r="T1277" s="314"/>
      <c r="W1277" s="320"/>
    </row>
    <row r="1278" spans="1:25" x14ac:dyDescent="0.45">
      <c r="A1278" s="45"/>
      <c r="B1278" s="45"/>
      <c r="C1278" s="312"/>
      <c r="D1278" s="314"/>
      <c r="E1278" s="314"/>
      <c r="F1278" s="314"/>
      <c r="G1278" s="314"/>
      <c r="H1278" s="314"/>
      <c r="I1278" s="314"/>
      <c r="J1278" s="314"/>
      <c r="K1278" s="314"/>
      <c r="L1278" s="314"/>
      <c r="M1278" s="314"/>
      <c r="N1278" s="314"/>
      <c r="O1278" s="314"/>
      <c r="P1278" s="314"/>
      <c r="Q1278" s="314"/>
      <c r="R1278" s="314"/>
      <c r="S1278" s="314"/>
      <c r="T1278" s="314"/>
      <c r="W1278" s="320"/>
    </row>
    <row r="1279" spans="1:25" x14ac:dyDescent="0.45">
      <c r="A1279" s="313">
        <v>1</v>
      </c>
      <c r="B1279" s="424" t="s">
        <v>319</v>
      </c>
      <c r="C1279" s="425"/>
      <c r="D1279" s="314">
        <v>326939785</v>
      </c>
      <c r="E1279" s="314"/>
      <c r="F1279" s="314">
        <v>311208159</v>
      </c>
      <c r="G1279" s="314"/>
      <c r="H1279" s="314">
        <v>12871289</v>
      </c>
      <c r="I1279" s="314"/>
      <c r="J1279" s="314">
        <v>2860337</v>
      </c>
      <c r="K1279" s="314">
        <v>1477384</v>
      </c>
      <c r="L1279" s="314">
        <v>1382954</v>
      </c>
      <c r="M1279" s="314"/>
      <c r="N1279" s="314"/>
      <c r="O1279" s="314">
        <v>193485066</v>
      </c>
      <c r="P1279" s="314" t="s">
        <v>2322</v>
      </c>
      <c r="Q1279" s="314"/>
      <c r="R1279" s="314">
        <v>-133454718.95</v>
      </c>
      <c r="S1279" s="314" t="s">
        <v>2545</v>
      </c>
      <c r="T1279" s="314"/>
      <c r="W1279" s="320"/>
    </row>
    <row r="1280" spans="1:25" x14ac:dyDescent="0.45">
      <c r="A1280" s="45"/>
      <c r="B1280" s="45"/>
      <c r="C1280" s="312"/>
      <c r="D1280" s="314"/>
      <c r="E1280" s="314"/>
      <c r="F1280" s="314"/>
      <c r="G1280" s="314"/>
      <c r="H1280" s="314"/>
      <c r="I1280" s="314"/>
      <c r="J1280" s="314"/>
      <c r="K1280" s="314"/>
      <c r="L1280" s="314"/>
      <c r="M1280" s="314"/>
      <c r="N1280" s="314"/>
      <c r="O1280" s="314"/>
      <c r="P1280" s="314"/>
      <c r="Q1280" s="314"/>
      <c r="R1280" s="314"/>
      <c r="S1280" s="314"/>
      <c r="T1280" s="314"/>
      <c r="W1280" s="341"/>
    </row>
    <row r="1281" spans="1:27" x14ac:dyDescent="0.45">
      <c r="A1281" s="45"/>
      <c r="B1281" s="424" t="s">
        <v>320</v>
      </c>
      <c r="C1281" s="312"/>
      <c r="D1281" s="314"/>
      <c r="E1281" s="314"/>
      <c r="F1281" s="314"/>
      <c r="G1281" s="314"/>
      <c r="H1281" s="314"/>
      <c r="I1281" s="314"/>
      <c r="J1281" s="314"/>
      <c r="K1281" s="314"/>
      <c r="L1281" s="314"/>
      <c r="M1281" s="314"/>
      <c r="N1281" s="314"/>
      <c r="O1281" s="314"/>
      <c r="P1281" s="314"/>
      <c r="Q1281" s="314"/>
      <c r="R1281" s="314"/>
      <c r="S1281" s="314"/>
      <c r="T1281" s="314"/>
      <c r="V1281" s="320"/>
      <c r="W1281" s="320"/>
    </row>
    <row r="1282" spans="1:27" x14ac:dyDescent="0.45">
      <c r="A1282" s="45"/>
      <c r="B1282" s="424" t="s">
        <v>321</v>
      </c>
      <c r="C1282" s="312"/>
      <c r="D1282" s="314"/>
      <c r="E1282" s="314"/>
      <c r="F1282" s="314"/>
      <c r="G1282" s="314"/>
      <c r="H1282" s="314"/>
      <c r="I1282" s="314"/>
      <c r="J1282" s="314"/>
      <c r="K1282" s="314"/>
      <c r="L1282" s="314"/>
      <c r="M1282" s="314"/>
      <c r="N1282" s="314"/>
      <c r="O1282" s="314"/>
      <c r="P1282" s="314"/>
      <c r="Q1282" s="314"/>
      <c r="R1282" s="314"/>
      <c r="S1282" s="314"/>
      <c r="T1282" s="314"/>
      <c r="W1282" s="320"/>
    </row>
    <row r="1283" spans="1:27" x14ac:dyDescent="0.45">
      <c r="A1283" s="313">
        <v>2</v>
      </c>
      <c r="B1283" s="45"/>
      <c r="C1283" s="45"/>
      <c r="D1283" s="314"/>
      <c r="E1283" s="314"/>
      <c r="F1283" s="314"/>
      <c r="G1283" s="314"/>
      <c r="H1283" s="314"/>
      <c r="I1283" s="314"/>
      <c r="J1283" s="314"/>
      <c r="K1283" s="314"/>
      <c r="L1283" s="314"/>
      <c r="M1283" s="314"/>
      <c r="N1283" s="314"/>
      <c r="O1283" s="314"/>
      <c r="P1283" s="314"/>
      <c r="Q1283" s="314"/>
      <c r="R1283" s="314"/>
      <c r="S1283" s="314"/>
      <c r="T1283" s="314"/>
      <c r="W1283" s="320"/>
    </row>
    <row r="1284" spans="1:27" x14ac:dyDescent="0.45">
      <c r="A1284" s="313">
        <v>3</v>
      </c>
      <c r="B1284" s="45"/>
      <c r="C1284" s="45"/>
      <c r="D1284" s="314"/>
      <c r="E1284" s="314"/>
      <c r="F1284" s="314"/>
      <c r="G1284" s="314"/>
      <c r="H1284" s="314"/>
      <c r="I1284" s="314"/>
      <c r="J1284" s="314"/>
      <c r="K1284" s="314"/>
      <c r="L1284" s="314"/>
      <c r="M1284" s="314"/>
      <c r="N1284" s="314"/>
      <c r="O1284" s="314"/>
      <c r="P1284" s="314"/>
      <c r="Q1284" s="314"/>
      <c r="R1284" s="314"/>
      <c r="S1284" s="314"/>
      <c r="T1284" s="314"/>
      <c r="W1284" s="320"/>
    </row>
    <row r="1285" spans="1:27" x14ac:dyDescent="0.45">
      <c r="A1285" s="313">
        <v>4</v>
      </c>
      <c r="B1285" s="424" t="s">
        <v>322</v>
      </c>
      <c r="C1285" s="312"/>
      <c r="D1285" s="314">
        <v>0</v>
      </c>
      <c r="E1285" s="314"/>
      <c r="F1285" s="314">
        <v>0</v>
      </c>
      <c r="G1285" s="314"/>
      <c r="H1285" s="314">
        <v>0</v>
      </c>
      <c r="I1285" s="314"/>
      <c r="J1285" s="314">
        <v>0</v>
      </c>
      <c r="K1285" s="314">
        <v>0</v>
      </c>
      <c r="L1285" s="314">
        <v>0</v>
      </c>
      <c r="M1285" s="314"/>
      <c r="N1285" s="314"/>
      <c r="O1285" s="314"/>
      <c r="P1285" s="314"/>
      <c r="Q1285" s="314"/>
      <c r="R1285" s="314"/>
      <c r="S1285" s="314"/>
      <c r="T1285" s="314"/>
      <c r="W1285" s="320"/>
    </row>
    <row r="1286" spans="1:27" x14ac:dyDescent="0.45">
      <c r="A1286" s="45"/>
      <c r="B1286" s="45"/>
      <c r="C1286" s="312"/>
      <c r="D1286" s="314"/>
      <c r="E1286" s="314"/>
      <c r="F1286" s="314"/>
      <c r="G1286" s="314"/>
      <c r="H1286" s="314"/>
      <c r="I1286" s="314"/>
      <c r="J1286" s="314"/>
      <c r="K1286" s="314"/>
      <c r="L1286" s="314"/>
      <c r="M1286" s="314"/>
      <c r="N1286" s="314"/>
      <c r="O1286" s="314"/>
      <c r="P1286" s="314"/>
      <c r="Q1286" s="314"/>
      <c r="R1286" s="314"/>
      <c r="S1286" s="314"/>
      <c r="T1286" s="314"/>
      <c r="W1286" s="320"/>
    </row>
    <row r="1287" spans="1:27" x14ac:dyDescent="0.45">
      <c r="A1287" s="45"/>
      <c r="B1287" s="424" t="s">
        <v>323</v>
      </c>
      <c r="C1287" s="312"/>
      <c r="D1287" s="314"/>
      <c r="E1287" s="314"/>
      <c r="F1287" s="314"/>
      <c r="G1287" s="314"/>
      <c r="H1287" s="314"/>
      <c r="I1287" s="314"/>
      <c r="J1287" s="314"/>
      <c r="K1287" s="314"/>
      <c r="L1287" s="314"/>
      <c r="M1287" s="314"/>
      <c r="N1287" s="314"/>
      <c r="O1287" s="314"/>
      <c r="P1287" s="314"/>
      <c r="Q1287" s="314"/>
      <c r="R1287" s="314"/>
      <c r="S1287" s="314"/>
      <c r="T1287" s="314"/>
      <c r="W1287" s="320"/>
    </row>
    <row r="1288" spans="1:27" x14ac:dyDescent="0.45">
      <c r="A1288" s="45"/>
      <c r="B1288" s="424" t="s">
        <v>324</v>
      </c>
      <c r="C1288" s="312"/>
      <c r="D1288" s="314"/>
      <c r="E1288" s="314"/>
      <c r="F1288" s="314"/>
      <c r="G1288" s="314"/>
      <c r="H1288" s="314"/>
      <c r="I1288" s="314"/>
      <c r="J1288" s="314"/>
      <c r="K1288" s="314"/>
      <c r="L1288" s="314"/>
      <c r="M1288" s="314"/>
      <c r="N1288" s="314"/>
      <c r="O1288" s="314"/>
      <c r="P1288" s="314"/>
      <c r="Q1288" s="314"/>
      <c r="R1288" s="314"/>
      <c r="S1288" s="314"/>
      <c r="T1288" s="314"/>
      <c r="W1288" s="320"/>
    </row>
    <row r="1289" spans="1:27" x14ac:dyDescent="0.45">
      <c r="A1289" s="313">
        <v>5</v>
      </c>
      <c r="B1289" s="424" t="s">
        <v>325</v>
      </c>
      <c r="C1289" s="425" t="s">
        <v>34</v>
      </c>
      <c r="D1289" s="314">
        <v>117281038</v>
      </c>
      <c r="E1289" s="314"/>
      <c r="F1289" s="314">
        <v>109813060</v>
      </c>
      <c r="G1289" s="314"/>
      <c r="H1289" s="314">
        <v>6001016</v>
      </c>
      <c r="I1289" s="314"/>
      <c r="J1289" s="314">
        <v>1466962</v>
      </c>
      <c r="K1289" s="314">
        <v>773711</v>
      </c>
      <c r="L1289" s="314">
        <v>693250</v>
      </c>
      <c r="M1289" s="314"/>
      <c r="N1289" s="314"/>
      <c r="O1289" s="314">
        <v>117281038</v>
      </c>
      <c r="P1289" s="314"/>
      <c r="Q1289" s="314" t="s">
        <v>312</v>
      </c>
      <c r="R1289" s="314"/>
      <c r="S1289" s="314"/>
      <c r="T1289" s="314" t="s">
        <v>2154</v>
      </c>
      <c r="W1289" s="320"/>
      <c r="Z1289" s="320"/>
      <c r="AA1289" s="320"/>
    </row>
    <row r="1290" spans="1:27" x14ac:dyDescent="0.45">
      <c r="A1290" s="313">
        <v>6</v>
      </c>
      <c r="B1290" s="424" t="s">
        <v>326</v>
      </c>
      <c r="C1290" s="425" t="s">
        <v>1419</v>
      </c>
      <c r="D1290" s="314">
        <v>0</v>
      </c>
      <c r="E1290" s="314"/>
      <c r="F1290" s="314">
        <v>0</v>
      </c>
      <c r="G1290" s="314"/>
      <c r="H1290" s="314">
        <v>18854</v>
      </c>
      <c r="I1290" s="314"/>
      <c r="J1290" s="314">
        <v>0</v>
      </c>
      <c r="K1290" s="314">
        <v>0</v>
      </c>
      <c r="L1290" s="314">
        <v>0</v>
      </c>
      <c r="M1290" s="314"/>
      <c r="N1290" s="314"/>
      <c r="O1290" s="314">
        <v>532644</v>
      </c>
      <c r="P1290" s="314"/>
      <c r="Q1290" s="314" t="s">
        <v>1781</v>
      </c>
      <c r="R1290" s="314"/>
      <c r="S1290" s="314"/>
      <c r="T1290" s="314">
        <v>513790</v>
      </c>
      <c r="U1290" s="320"/>
      <c r="V1290" s="320"/>
      <c r="W1290" s="320"/>
      <c r="X1290" s="320"/>
      <c r="Y1290" s="325"/>
    </row>
    <row r="1291" spans="1:27" x14ac:dyDescent="0.45">
      <c r="A1291" s="313">
        <v>7</v>
      </c>
      <c r="B1291" s="424" t="s">
        <v>2546</v>
      </c>
      <c r="C1291" s="425" t="s">
        <v>2501</v>
      </c>
      <c r="D1291" s="458">
        <v>-183431</v>
      </c>
      <c r="E1291" s="314"/>
      <c r="F1291" s="314">
        <v>-172632</v>
      </c>
      <c r="G1291" s="314"/>
      <c r="H1291" s="314">
        <v>-9210</v>
      </c>
      <c r="I1291" s="314"/>
      <c r="J1291" s="314">
        <v>-1589</v>
      </c>
      <c r="K1291" s="314">
        <v>-1589</v>
      </c>
      <c r="L1291" s="314">
        <v>0</v>
      </c>
      <c r="M1291" s="314"/>
      <c r="N1291" s="314"/>
      <c r="O1291" s="314">
        <v>-183431</v>
      </c>
      <c r="P1291" s="314"/>
      <c r="Q1291" s="314" t="s">
        <v>2547</v>
      </c>
      <c r="R1291" s="314"/>
      <c r="S1291" s="314"/>
      <c r="T1291" s="314"/>
      <c r="U1291" s="320"/>
      <c r="V1291" s="320"/>
      <c r="W1291" s="320"/>
      <c r="X1291" s="320"/>
      <c r="Y1291" s="325"/>
    </row>
    <row r="1292" spans="1:27" x14ac:dyDescent="0.45">
      <c r="A1292" s="313">
        <v>8</v>
      </c>
      <c r="B1292" s="424" t="s">
        <v>1312</v>
      </c>
      <c r="C1292" s="425" t="s">
        <v>2476</v>
      </c>
      <c r="D1292" s="314">
        <v>-9450</v>
      </c>
      <c r="E1292" s="314"/>
      <c r="F1292" s="314">
        <v>0</v>
      </c>
      <c r="G1292" s="314"/>
      <c r="H1292" s="314">
        <v>0</v>
      </c>
      <c r="I1292" s="314"/>
      <c r="J1292" s="314">
        <v>-9450</v>
      </c>
      <c r="K1292" s="314">
        <v>-4794</v>
      </c>
      <c r="L1292" s="314">
        <v>-4656</v>
      </c>
      <c r="M1292" s="314"/>
      <c r="N1292" s="314"/>
      <c r="O1292" s="314">
        <v>-9450</v>
      </c>
      <c r="P1292" s="314"/>
      <c r="Q1292" s="314" t="s">
        <v>2548</v>
      </c>
      <c r="R1292" s="314"/>
      <c r="S1292" s="314"/>
      <c r="T1292" s="314"/>
      <c r="U1292" s="320"/>
      <c r="V1292" s="320"/>
      <c r="W1292" s="320"/>
      <c r="X1292" s="364"/>
      <c r="Y1292" s="370"/>
      <c r="Z1292" s="119"/>
    </row>
    <row r="1293" spans="1:27" x14ac:dyDescent="0.45">
      <c r="A1293" s="313">
        <v>9</v>
      </c>
      <c r="B1293" s="424" t="s">
        <v>1313</v>
      </c>
      <c r="C1293" s="312"/>
      <c r="D1293" s="314">
        <v>117088157</v>
      </c>
      <c r="E1293" s="314"/>
      <c r="F1293" s="314">
        <v>109640429</v>
      </c>
      <c r="G1293" s="314"/>
      <c r="H1293" s="314">
        <v>6010660</v>
      </c>
      <c r="I1293" s="314"/>
      <c r="J1293" s="314">
        <v>1455923</v>
      </c>
      <c r="K1293" s="314">
        <v>767329</v>
      </c>
      <c r="L1293" s="314">
        <v>688594</v>
      </c>
      <c r="M1293" s="314"/>
      <c r="N1293" s="314"/>
      <c r="O1293" s="314"/>
      <c r="P1293" s="314"/>
      <c r="Q1293" s="314" t="s">
        <v>312</v>
      </c>
      <c r="R1293" s="314"/>
      <c r="S1293" s="314"/>
      <c r="T1293" s="314"/>
      <c r="U1293" s="320"/>
      <c r="V1293" s="320"/>
      <c r="W1293" s="320"/>
      <c r="X1293" s="342"/>
      <c r="Y1293" s="342"/>
      <c r="Z1293" s="304"/>
    </row>
    <row r="1294" spans="1:27" x14ac:dyDescent="0.45">
      <c r="A1294" s="45"/>
      <c r="B1294" s="45"/>
      <c r="C1294" s="312"/>
      <c r="D1294" s="314"/>
      <c r="E1294" s="314"/>
      <c r="F1294" s="314"/>
      <c r="G1294" s="314"/>
      <c r="H1294" s="314"/>
      <c r="I1294" s="314"/>
      <c r="J1294" s="314"/>
      <c r="K1294" s="314"/>
      <c r="L1294" s="314"/>
      <c r="M1294" s="314"/>
      <c r="N1294" s="314"/>
      <c r="O1294" s="314"/>
      <c r="P1294" s="314"/>
      <c r="Q1294" s="314"/>
      <c r="R1294" s="314"/>
      <c r="S1294" s="314"/>
      <c r="T1294" s="314"/>
      <c r="U1294" s="320"/>
      <c r="V1294" s="320"/>
      <c r="W1294" s="320"/>
      <c r="X1294" s="342"/>
      <c r="Y1294" s="342"/>
      <c r="Z1294" s="304"/>
    </row>
    <row r="1295" spans="1:27" x14ac:dyDescent="0.45">
      <c r="A1295" s="45"/>
      <c r="B1295" s="424" t="s">
        <v>1314</v>
      </c>
      <c r="C1295" s="312"/>
      <c r="D1295" s="314"/>
      <c r="E1295" s="314"/>
      <c r="F1295" s="314"/>
      <c r="G1295" s="314"/>
      <c r="H1295" s="314"/>
      <c r="I1295" s="314"/>
      <c r="J1295" s="314"/>
      <c r="K1295" s="314"/>
      <c r="L1295" s="314"/>
      <c r="M1295" s="314"/>
      <c r="N1295" s="314"/>
      <c r="O1295" s="314"/>
      <c r="P1295" s="314"/>
      <c r="Q1295" s="314"/>
      <c r="R1295" s="314"/>
      <c r="S1295" s="314"/>
      <c r="T1295" s="314"/>
      <c r="U1295" s="320"/>
      <c r="W1295" s="320"/>
    </row>
    <row r="1296" spans="1:27" x14ac:dyDescent="0.45">
      <c r="A1296" s="313">
        <v>10</v>
      </c>
      <c r="B1296" s="427" t="s">
        <v>2069</v>
      </c>
      <c r="C1296" s="425" t="s">
        <v>1279</v>
      </c>
      <c r="D1296" s="314">
        <v>0</v>
      </c>
      <c r="E1296" s="314"/>
      <c r="F1296" s="314">
        <v>0</v>
      </c>
      <c r="G1296" s="314"/>
      <c r="H1296" s="314">
        <v>0</v>
      </c>
      <c r="I1296" s="314"/>
      <c r="J1296" s="314">
        <v>0</v>
      </c>
      <c r="K1296" s="314">
        <v>0</v>
      </c>
      <c r="L1296" s="314">
        <v>0</v>
      </c>
      <c r="M1296" s="314"/>
      <c r="N1296" s="314"/>
      <c r="O1296" s="314">
        <v>0</v>
      </c>
      <c r="P1296" s="314"/>
      <c r="Q1296" s="314" t="s">
        <v>2070</v>
      </c>
      <c r="R1296" s="314"/>
      <c r="S1296" s="314"/>
      <c r="T1296" s="314"/>
      <c r="U1296" s="320"/>
      <c r="W1296" s="320"/>
    </row>
    <row r="1297" spans="1:28" x14ac:dyDescent="0.45">
      <c r="A1297" s="313">
        <v>11</v>
      </c>
      <c r="B1297" s="427" t="s">
        <v>2213</v>
      </c>
      <c r="C1297" s="425" t="s">
        <v>1428</v>
      </c>
      <c r="D1297" s="314">
        <v>0</v>
      </c>
      <c r="E1297" s="314"/>
      <c r="F1297" s="314">
        <v>0</v>
      </c>
      <c r="G1297" s="314"/>
      <c r="H1297" s="314">
        <v>0</v>
      </c>
      <c r="I1297" s="314"/>
      <c r="J1297" s="314">
        <v>0</v>
      </c>
      <c r="K1297" s="314">
        <v>0</v>
      </c>
      <c r="L1297" s="314">
        <v>0</v>
      </c>
      <c r="M1297" s="314"/>
      <c r="N1297" s="314"/>
      <c r="O1297" s="314">
        <v>0</v>
      </c>
      <c r="P1297" s="314"/>
      <c r="Q1297" s="314" t="s">
        <v>2243</v>
      </c>
      <c r="R1297" s="314"/>
      <c r="S1297" s="314">
        <v>367425</v>
      </c>
      <c r="T1297" s="314">
        <v>0.26</v>
      </c>
      <c r="U1297" s="320"/>
      <c r="V1297" s="355"/>
      <c r="W1297" s="320"/>
      <c r="Y1297" s="320"/>
    </row>
    <row r="1298" spans="1:28" x14ac:dyDescent="0.45">
      <c r="A1298" s="313">
        <v>12</v>
      </c>
      <c r="B1298" s="424" t="s">
        <v>2071</v>
      </c>
      <c r="C1298" s="425" t="s">
        <v>1271</v>
      </c>
      <c r="D1298" s="314">
        <v>256372</v>
      </c>
      <c r="E1298" s="314"/>
      <c r="F1298" s="314">
        <v>131871</v>
      </c>
      <c r="G1298" s="314"/>
      <c r="H1298" s="314">
        <v>85469</v>
      </c>
      <c r="I1298" s="314"/>
      <c r="J1298" s="314">
        <v>39032</v>
      </c>
      <c r="K1298" s="314">
        <v>19799</v>
      </c>
      <c r="L1298" s="314">
        <v>19233</v>
      </c>
      <c r="M1298" s="314"/>
      <c r="N1298" s="314"/>
      <c r="O1298" s="314">
        <v>256372</v>
      </c>
      <c r="P1298" s="314"/>
      <c r="Q1298" s="314" t="s">
        <v>312</v>
      </c>
      <c r="R1298" s="314"/>
      <c r="S1298" s="314">
        <v>1065747</v>
      </c>
      <c r="T1298" s="314">
        <v>0.74</v>
      </c>
      <c r="U1298" s="320"/>
      <c r="V1298" s="355"/>
      <c r="W1298" s="320"/>
      <c r="X1298" s="320"/>
      <c r="Y1298" s="343"/>
    </row>
    <row r="1299" spans="1:28" x14ac:dyDescent="0.45">
      <c r="A1299" s="313">
        <v>13</v>
      </c>
      <c r="B1299" s="424" t="s">
        <v>2072</v>
      </c>
      <c r="C1299" s="425" t="s">
        <v>1277</v>
      </c>
      <c r="D1299" s="314">
        <v>743628</v>
      </c>
      <c r="E1299" s="314"/>
      <c r="F1299" s="314">
        <v>573794</v>
      </c>
      <c r="G1299" s="314"/>
      <c r="H1299" s="314">
        <v>0</v>
      </c>
      <c r="I1299" s="314"/>
      <c r="J1299" s="314">
        <v>169834</v>
      </c>
      <c r="K1299" s="314">
        <v>86149</v>
      </c>
      <c r="L1299" s="314">
        <v>83685</v>
      </c>
      <c r="M1299" s="314"/>
      <c r="N1299" s="314"/>
      <c r="O1299" s="314">
        <v>743628</v>
      </c>
      <c r="P1299" s="314"/>
      <c r="Q1299" s="314" t="s">
        <v>312</v>
      </c>
      <c r="R1299" s="314"/>
      <c r="S1299" s="314">
        <v>1433172</v>
      </c>
      <c r="T1299" s="314"/>
      <c r="U1299" s="320"/>
      <c r="V1299" s="320"/>
      <c r="W1299" s="320"/>
      <c r="X1299" s="320"/>
      <c r="Y1299" s="343"/>
    </row>
    <row r="1300" spans="1:28" x14ac:dyDescent="0.45">
      <c r="A1300" s="313">
        <v>14</v>
      </c>
      <c r="B1300" s="424" t="s">
        <v>1315</v>
      </c>
      <c r="C1300" s="425" t="s">
        <v>34</v>
      </c>
      <c r="D1300" s="314">
        <v>1920000</v>
      </c>
      <c r="E1300" s="314"/>
      <c r="F1300" s="314">
        <v>1797742</v>
      </c>
      <c r="G1300" s="314"/>
      <c r="H1300" s="314">
        <v>-415548</v>
      </c>
      <c r="I1300" s="314"/>
      <c r="J1300" s="314">
        <v>24016</v>
      </c>
      <c r="K1300" s="314">
        <v>12666</v>
      </c>
      <c r="L1300" s="314">
        <v>11349</v>
      </c>
      <c r="M1300" s="314"/>
      <c r="N1300" s="314"/>
      <c r="O1300" s="314">
        <v>1920000</v>
      </c>
      <c r="P1300" s="314"/>
      <c r="Q1300" s="314" t="s">
        <v>2155</v>
      </c>
      <c r="R1300" s="314"/>
      <c r="S1300" s="314"/>
      <c r="T1300" s="314"/>
      <c r="U1300" s="320"/>
      <c r="V1300" s="320"/>
      <c r="W1300" s="320"/>
      <c r="X1300" s="320"/>
    </row>
    <row r="1301" spans="1:28" x14ac:dyDescent="0.45">
      <c r="A1301" s="45"/>
      <c r="B1301" s="45"/>
      <c r="C1301" s="312"/>
      <c r="D1301" s="314"/>
      <c r="E1301" s="314"/>
      <c r="F1301" s="314"/>
      <c r="G1301" s="314"/>
      <c r="H1301" s="314"/>
      <c r="I1301" s="314"/>
      <c r="J1301" s="314"/>
      <c r="K1301" s="314"/>
      <c r="L1301" s="314"/>
      <c r="M1301" s="314"/>
      <c r="N1301" s="314"/>
      <c r="O1301" s="314"/>
      <c r="P1301" s="314"/>
      <c r="Q1301" s="314"/>
      <c r="R1301" s="314"/>
      <c r="S1301" s="314"/>
      <c r="T1301" s="314"/>
      <c r="U1301" s="320"/>
      <c r="V1301" s="320"/>
      <c r="W1301" s="320"/>
      <c r="X1301" s="344"/>
      <c r="Y1301" s="325"/>
    </row>
    <row r="1302" spans="1:28" x14ac:dyDescent="0.45">
      <c r="A1302" s="313">
        <v>15</v>
      </c>
      <c r="B1302" s="427" t="s">
        <v>2073</v>
      </c>
      <c r="C1302" s="312"/>
      <c r="D1302" s="314">
        <v>212771628</v>
      </c>
      <c r="E1302" s="314"/>
      <c r="F1302" s="314">
        <v>204071138</v>
      </c>
      <c r="G1302" s="314"/>
      <c r="H1302" s="314">
        <v>6530551</v>
      </c>
      <c r="I1302" s="314"/>
      <c r="J1302" s="314">
        <v>1637296</v>
      </c>
      <c r="K1302" s="314">
        <v>828670</v>
      </c>
      <c r="L1302" s="314">
        <v>808626</v>
      </c>
      <c r="M1302" s="314"/>
      <c r="N1302" s="314"/>
      <c r="O1302" s="314">
        <v>212771628</v>
      </c>
      <c r="P1302" s="314"/>
      <c r="Q1302" s="314"/>
      <c r="R1302" s="314"/>
      <c r="S1302" s="314"/>
      <c r="T1302" s="314"/>
      <c r="W1302" s="345"/>
      <c r="X1302" s="329"/>
      <c r="Y1302" s="329"/>
      <c r="Z1302" s="329"/>
      <c r="AA1302" s="59"/>
    </row>
    <row r="1303" spans="1:28" x14ac:dyDescent="0.45">
      <c r="A1303" s="313">
        <v>16</v>
      </c>
      <c r="B1303" s="427" t="s">
        <v>2214</v>
      </c>
      <c r="C1303" s="312"/>
      <c r="D1303" s="314">
        <v>212771628</v>
      </c>
      <c r="E1303" s="314"/>
      <c r="F1303" s="314">
        <v>204071138</v>
      </c>
      <c r="G1303" s="314"/>
      <c r="H1303" s="314">
        <v>7311145</v>
      </c>
      <c r="I1303" s="314"/>
      <c r="J1303" s="314">
        <v>1637296</v>
      </c>
      <c r="K1303" s="314">
        <v>828670</v>
      </c>
      <c r="L1303" s="314">
        <v>808626</v>
      </c>
      <c r="M1303" s="314"/>
      <c r="N1303" s="314"/>
      <c r="O1303" s="314">
        <v>211485906</v>
      </c>
      <c r="P1303" s="314"/>
      <c r="Q1303" s="314"/>
      <c r="R1303" s="314"/>
      <c r="S1303" s="314"/>
      <c r="T1303" s="314"/>
      <c r="V1303" s="320"/>
      <c r="W1303" s="311"/>
      <c r="X1303" s="311"/>
      <c r="Y1303" s="311"/>
      <c r="Z1303" s="311"/>
      <c r="AB1303" s="346"/>
    </row>
    <row r="1304" spans="1:28" x14ac:dyDescent="0.45">
      <c r="A1304" s="45"/>
      <c r="B1304" s="45"/>
      <c r="C1304" s="312"/>
      <c r="D1304" s="314"/>
      <c r="E1304" s="314"/>
      <c r="F1304" s="314"/>
      <c r="G1304" s="314"/>
      <c r="H1304" s="314"/>
      <c r="I1304" s="314"/>
      <c r="J1304" s="314"/>
      <c r="K1304" s="314"/>
      <c r="L1304" s="314"/>
      <c r="M1304" s="314"/>
      <c r="N1304" s="314"/>
      <c r="O1304" s="314">
        <v>3.4569999999999997E-2</v>
      </c>
      <c r="P1304" s="314"/>
      <c r="Q1304" s="314" t="s">
        <v>2323</v>
      </c>
      <c r="R1304" s="314"/>
      <c r="S1304" s="314"/>
      <c r="T1304" s="314"/>
      <c r="V1304" s="320"/>
      <c r="W1304" s="347"/>
      <c r="X1304" s="347"/>
      <c r="Y1304" s="347"/>
      <c r="Z1304" s="347"/>
      <c r="AB1304" s="346"/>
    </row>
    <row r="1305" spans="1:28" x14ac:dyDescent="0.45">
      <c r="A1305" s="313">
        <v>17</v>
      </c>
      <c r="B1305" s="424" t="s">
        <v>1316</v>
      </c>
      <c r="C1305" s="45"/>
      <c r="D1305" s="314">
        <v>10638581</v>
      </c>
      <c r="E1305" s="314"/>
      <c r="F1305" s="314">
        <v>10203557</v>
      </c>
      <c r="G1305" s="314"/>
      <c r="H1305" s="314">
        <v>438669</v>
      </c>
      <c r="I1305" s="314"/>
      <c r="J1305" s="314">
        <v>81865</v>
      </c>
      <c r="K1305" s="314">
        <v>41434</v>
      </c>
      <c r="L1305" s="314">
        <v>40431</v>
      </c>
      <c r="M1305" s="314"/>
      <c r="N1305" s="314"/>
      <c r="O1305" s="314"/>
      <c r="P1305" s="314"/>
      <c r="Q1305" s="314" t="s">
        <v>2244</v>
      </c>
      <c r="R1305" s="314"/>
      <c r="S1305" s="314"/>
      <c r="T1305" s="314"/>
      <c r="U1305" s="53" t="s">
        <v>1317</v>
      </c>
      <c r="V1305" s="320" t="s">
        <v>2324</v>
      </c>
      <c r="W1305" s="320"/>
      <c r="X1305" s="329"/>
      <c r="AA1305" s="53" t="s">
        <v>2324</v>
      </c>
    </row>
    <row r="1306" spans="1:28" x14ac:dyDescent="0.45">
      <c r="A1306" s="313">
        <v>18</v>
      </c>
      <c r="B1306" s="424" t="s">
        <v>2156</v>
      </c>
      <c r="C1306" s="425" t="s">
        <v>34</v>
      </c>
      <c r="D1306" s="314">
        <v>82208</v>
      </c>
      <c r="E1306" s="314"/>
      <c r="F1306" s="314">
        <v>76974</v>
      </c>
      <c r="G1306" s="314"/>
      <c r="H1306" s="314">
        <v>4206</v>
      </c>
      <c r="I1306" s="314"/>
      <c r="J1306" s="314">
        <v>1028</v>
      </c>
      <c r="K1306" s="314">
        <v>542</v>
      </c>
      <c r="L1306" s="314">
        <v>486</v>
      </c>
      <c r="M1306" s="314"/>
      <c r="N1306" s="314"/>
      <c r="O1306" s="314">
        <v>82209</v>
      </c>
      <c r="P1306" s="314"/>
      <c r="Q1306" s="314" t="s">
        <v>312</v>
      </c>
      <c r="R1306" s="314"/>
      <c r="S1306" s="314"/>
      <c r="T1306" s="314">
        <v>82209</v>
      </c>
      <c r="U1306" s="491">
        <v>7347665</v>
      </c>
      <c r="V1306" s="320">
        <v>-0.9</v>
      </c>
      <c r="W1306" s="320"/>
      <c r="X1306" s="329"/>
      <c r="AA1306" s="53">
        <v>-15933.299999998882</v>
      </c>
    </row>
    <row r="1307" spans="1:28" x14ac:dyDescent="0.45">
      <c r="A1307" s="311">
        <v>19</v>
      </c>
      <c r="B1307" s="308" t="s">
        <v>2157</v>
      </c>
      <c r="C1307" s="423" t="s">
        <v>1275</v>
      </c>
      <c r="D1307" s="314">
        <v>-1245001</v>
      </c>
      <c r="E1307" s="314"/>
      <c r="F1307" s="314">
        <v>-1219773</v>
      </c>
      <c r="G1307" s="314"/>
      <c r="H1307" s="314">
        <v>0</v>
      </c>
      <c r="I1307" s="314"/>
      <c r="J1307" s="314">
        <v>-25228</v>
      </c>
      <c r="K1307" s="314">
        <v>-12797</v>
      </c>
      <c r="L1307" s="314">
        <v>-12431</v>
      </c>
      <c r="M1307" s="314"/>
      <c r="N1307" s="314"/>
      <c r="O1307" s="314">
        <v>-1245000</v>
      </c>
      <c r="P1307" s="314"/>
      <c r="Q1307" s="314" t="s">
        <v>312</v>
      </c>
      <c r="R1307" s="314"/>
      <c r="S1307" s="314"/>
      <c r="T1307" s="314">
        <v>82210</v>
      </c>
      <c r="V1307" s="317"/>
      <c r="W1307" s="320"/>
      <c r="Z1307" s="59"/>
      <c r="AA1307" s="317"/>
    </row>
    <row r="1308" spans="1:28" x14ac:dyDescent="0.45">
      <c r="A1308" s="311">
        <v>20</v>
      </c>
      <c r="B1308" s="308" t="s">
        <v>2519</v>
      </c>
      <c r="C1308" s="423" t="s">
        <v>2064</v>
      </c>
      <c r="D1308" s="458">
        <v>-559577</v>
      </c>
      <c r="E1308" s="314"/>
      <c r="F1308" s="314">
        <v>-559577</v>
      </c>
      <c r="G1308" s="314"/>
      <c r="H1308" s="314">
        <v>0</v>
      </c>
      <c r="I1308" s="314"/>
      <c r="J1308" s="314">
        <v>0</v>
      </c>
      <c r="K1308" s="314">
        <v>0</v>
      </c>
      <c r="L1308" s="314">
        <v>0</v>
      </c>
      <c r="M1308" s="314"/>
      <c r="N1308" s="314"/>
      <c r="O1308" s="314"/>
      <c r="P1308" s="314"/>
      <c r="Q1308" s="314"/>
      <c r="R1308" s="314"/>
      <c r="S1308" s="314"/>
      <c r="T1308" s="314"/>
      <c r="V1308" s="317"/>
      <c r="W1308" s="320"/>
      <c r="Z1308" s="59"/>
      <c r="AA1308" s="317"/>
    </row>
    <row r="1309" spans="1:28" x14ac:dyDescent="0.45">
      <c r="A1309" s="45">
        <v>21</v>
      </c>
      <c r="B1309" s="427" t="s">
        <v>2520</v>
      </c>
      <c r="C1309" s="425" t="s">
        <v>1351</v>
      </c>
      <c r="D1309" s="314">
        <v>-1568547</v>
      </c>
      <c r="E1309" s="314"/>
      <c r="F1309" s="314">
        <v>-1546714</v>
      </c>
      <c r="G1309" s="314"/>
      <c r="H1309" s="314">
        <v>0</v>
      </c>
      <c r="I1309" s="314"/>
      <c r="J1309" s="314">
        <v>-21833</v>
      </c>
      <c r="K1309" s="314">
        <v>-11424</v>
      </c>
      <c r="L1309" s="314">
        <v>-10409</v>
      </c>
      <c r="M1309" s="314"/>
      <c r="N1309" s="314"/>
      <c r="O1309" s="314">
        <v>-1568547</v>
      </c>
      <c r="P1309" s="314"/>
      <c r="Q1309" s="314" t="s">
        <v>2074</v>
      </c>
      <c r="R1309" s="314"/>
      <c r="S1309" s="314"/>
      <c r="T1309" s="314"/>
      <c r="U1309" s="320"/>
      <c r="V1309" s="320"/>
      <c r="W1309" s="320"/>
      <c r="X1309" s="320"/>
      <c r="Y1309" s="320"/>
      <c r="Z1309" s="59"/>
      <c r="AA1309" s="349"/>
    </row>
    <row r="1310" spans="1:28" x14ac:dyDescent="0.45">
      <c r="A1310" s="313">
        <v>22</v>
      </c>
      <c r="B1310" s="424" t="s">
        <v>1318</v>
      </c>
      <c r="C1310" s="312"/>
      <c r="D1310" s="314">
        <v>7347664</v>
      </c>
      <c r="E1310" s="314"/>
      <c r="F1310" s="314">
        <v>6954467</v>
      </c>
      <c r="G1310" s="314"/>
      <c r="H1310" s="314">
        <v>442875</v>
      </c>
      <c r="I1310" s="314"/>
      <c r="J1310" s="314">
        <v>35832</v>
      </c>
      <c r="K1310" s="314">
        <v>17755</v>
      </c>
      <c r="L1310" s="314">
        <v>18077</v>
      </c>
      <c r="M1310" s="314"/>
      <c r="N1310" s="314"/>
      <c r="O1310" s="314"/>
      <c r="P1310" s="314"/>
      <c r="Q1310" s="314"/>
      <c r="R1310" s="314"/>
      <c r="S1310" s="314"/>
      <c r="T1310" s="314"/>
      <c r="U1310" s="320"/>
      <c r="V1310" s="320"/>
      <c r="W1310" s="320"/>
      <c r="X1310" s="320"/>
      <c r="Z1310" s="59"/>
      <c r="AA1310" s="349"/>
    </row>
    <row r="1311" spans="1:28" x14ac:dyDescent="0.45">
      <c r="A1311" s="45">
        <v>23</v>
      </c>
      <c r="B1311" s="427" t="s">
        <v>2075</v>
      </c>
      <c r="C1311" s="425" t="s">
        <v>1279</v>
      </c>
      <c r="D1311" s="314">
        <v>0</v>
      </c>
      <c r="E1311" s="314"/>
      <c r="F1311" s="314">
        <v>0</v>
      </c>
      <c r="G1311" s="314"/>
      <c r="H1311" s="314">
        <v>0</v>
      </c>
      <c r="I1311" s="314"/>
      <c r="J1311" s="314">
        <v>0</v>
      </c>
      <c r="K1311" s="314">
        <v>0</v>
      </c>
      <c r="L1311" s="314">
        <v>0</v>
      </c>
      <c r="M1311" s="314"/>
      <c r="N1311" s="314"/>
      <c r="O1311" s="314">
        <v>0</v>
      </c>
      <c r="P1311" s="314"/>
      <c r="Q1311" s="314" t="s">
        <v>2076</v>
      </c>
      <c r="R1311" s="314"/>
      <c r="S1311" s="314"/>
      <c r="T1311" s="314"/>
      <c r="U1311" s="320"/>
      <c r="V1311" s="355"/>
      <c r="W1311" s="320"/>
    </row>
    <row r="1312" spans="1:28" x14ac:dyDescent="0.45">
      <c r="A1312" s="45">
        <v>24</v>
      </c>
      <c r="B1312" s="437" t="s">
        <v>1782</v>
      </c>
      <c r="C1312" s="425" t="s">
        <v>34</v>
      </c>
      <c r="D1312" s="314">
        <v>0</v>
      </c>
      <c r="E1312" s="314"/>
      <c r="F1312" s="314">
        <v>0</v>
      </c>
      <c r="G1312" s="314"/>
      <c r="H1312" s="314">
        <v>513790</v>
      </c>
      <c r="I1312" s="314"/>
      <c r="J1312" s="314">
        <v>0</v>
      </c>
      <c r="K1312" s="314">
        <v>0</v>
      </c>
      <c r="L1312" s="314">
        <v>0</v>
      </c>
      <c r="M1312" s="314"/>
      <c r="N1312" s="314"/>
      <c r="O1312" s="314">
        <v>0</v>
      </c>
      <c r="P1312" s="314"/>
      <c r="Q1312" s="314" t="s">
        <v>2158</v>
      </c>
      <c r="R1312" s="314"/>
      <c r="S1312" s="314"/>
      <c r="T1312" s="314"/>
      <c r="W1312" s="320"/>
      <c r="Z1312" s="59"/>
    </row>
    <row r="1313" spans="1:28" x14ac:dyDescent="0.45">
      <c r="A1313" s="313">
        <v>25</v>
      </c>
      <c r="B1313" s="427" t="s">
        <v>2215</v>
      </c>
      <c r="C1313" s="45"/>
      <c r="D1313" s="314">
        <v>205423964</v>
      </c>
      <c r="E1313" s="314"/>
      <c r="F1313" s="314">
        <v>197116671</v>
      </c>
      <c r="G1313" s="314"/>
      <c r="H1313" s="314">
        <v>6601466</v>
      </c>
      <c r="I1313" s="314"/>
      <c r="J1313" s="314">
        <v>1601464</v>
      </c>
      <c r="K1313" s="314">
        <v>810916</v>
      </c>
      <c r="L1313" s="314">
        <v>790549</v>
      </c>
      <c r="M1313" s="314"/>
      <c r="N1313" s="314"/>
      <c r="O1313" s="314"/>
      <c r="P1313" s="314"/>
      <c r="Q1313" s="314"/>
      <c r="R1313" s="314"/>
      <c r="S1313" s="314"/>
      <c r="T1313" s="314"/>
      <c r="U1313" s="320"/>
      <c r="V1313" s="355"/>
      <c r="W1313" s="320"/>
    </row>
    <row r="1314" spans="1:28" x14ac:dyDescent="0.45">
      <c r="A1314" s="45"/>
      <c r="B1314" s="45"/>
      <c r="C1314" s="45"/>
      <c r="D1314" s="314"/>
      <c r="E1314" s="314"/>
      <c r="F1314" s="314"/>
      <c r="G1314" s="314"/>
      <c r="H1314" s="314"/>
      <c r="I1314" s="314"/>
      <c r="J1314" s="314"/>
      <c r="K1314" s="314"/>
      <c r="L1314" s="314"/>
      <c r="M1314" s="314"/>
      <c r="N1314" s="314"/>
      <c r="O1314" s="314"/>
      <c r="P1314" s="314"/>
      <c r="Q1314" s="314"/>
      <c r="R1314" s="314"/>
      <c r="S1314" s="314"/>
      <c r="T1314" s="314" t="s">
        <v>2289</v>
      </c>
      <c r="U1314" s="320" t="s">
        <v>2290</v>
      </c>
      <c r="V1314" s="355"/>
      <c r="W1314" s="320"/>
    </row>
    <row r="1315" spans="1:28" x14ac:dyDescent="0.45">
      <c r="A1315" s="313">
        <v>26</v>
      </c>
      <c r="B1315" s="424" t="s">
        <v>2477</v>
      </c>
      <c r="C1315" s="45"/>
      <c r="D1315" s="458">
        <v>43139032</v>
      </c>
      <c r="E1315" s="314"/>
      <c r="F1315" s="314">
        <v>41394501</v>
      </c>
      <c r="G1315" s="314"/>
      <c r="H1315" s="314">
        <v>1386308</v>
      </c>
      <c r="I1315" s="314"/>
      <c r="J1315" s="314">
        <v>336307</v>
      </c>
      <c r="K1315" s="314">
        <v>170292</v>
      </c>
      <c r="L1315" s="314">
        <v>166015</v>
      </c>
      <c r="M1315" s="314"/>
      <c r="N1315" s="314"/>
      <c r="O1315" s="314"/>
      <c r="P1315" s="314"/>
      <c r="Q1315" s="314"/>
      <c r="R1315" s="314"/>
      <c r="S1315" s="314" t="s">
        <v>2521</v>
      </c>
      <c r="T1315" s="314">
        <v>-559577</v>
      </c>
      <c r="U1315" s="53">
        <v>0</v>
      </c>
      <c r="W1315" s="320"/>
      <c r="X1315" s="350"/>
    </row>
    <row r="1316" spans="1:28" x14ac:dyDescent="0.45">
      <c r="A1316" s="313">
        <v>27</v>
      </c>
      <c r="B1316" s="424" t="s">
        <v>2519</v>
      </c>
      <c r="C1316" s="425" t="s">
        <v>2064</v>
      </c>
      <c r="D1316" s="458">
        <v>-7515032</v>
      </c>
      <c r="E1316" s="314"/>
      <c r="F1316" s="314">
        <v>-7411506</v>
      </c>
      <c r="G1316" s="314"/>
      <c r="H1316" s="314">
        <v>-103526</v>
      </c>
      <c r="I1316" s="314"/>
      <c r="J1316" s="314">
        <v>0</v>
      </c>
      <c r="K1316" s="314">
        <v>0</v>
      </c>
      <c r="L1316" s="314">
        <v>0</v>
      </c>
      <c r="M1316" s="314"/>
      <c r="N1316" s="314"/>
      <c r="O1316" s="314"/>
      <c r="P1316" s="314"/>
      <c r="Q1316" s="314"/>
      <c r="R1316" s="314"/>
      <c r="S1316" s="314" t="s">
        <v>2522</v>
      </c>
      <c r="T1316" s="314">
        <v>-7411506</v>
      </c>
      <c r="U1316" s="491">
        <v>-103526</v>
      </c>
      <c r="W1316" s="320"/>
      <c r="X1316" s="350"/>
    </row>
    <row r="1317" spans="1:28" x14ac:dyDescent="0.45">
      <c r="A1317" s="45">
        <v>28</v>
      </c>
      <c r="B1317" s="427" t="s">
        <v>2523</v>
      </c>
      <c r="C1317" s="425" t="s">
        <v>34</v>
      </c>
      <c r="D1317" s="458">
        <v>164863</v>
      </c>
      <c r="E1317" s="314"/>
      <c r="F1317" s="314">
        <v>154365</v>
      </c>
      <c r="G1317" s="314"/>
      <c r="H1317" s="314">
        <v>8436</v>
      </c>
      <c r="I1317" s="314"/>
      <c r="J1317" s="314">
        <v>2062</v>
      </c>
      <c r="K1317" s="314">
        <v>1088</v>
      </c>
      <c r="L1317" s="314">
        <v>975</v>
      </c>
      <c r="M1317" s="314"/>
      <c r="N1317" s="314"/>
      <c r="O1317" s="314">
        <v>164863</v>
      </c>
      <c r="P1317" s="314"/>
      <c r="Q1317" s="314" t="s">
        <v>312</v>
      </c>
      <c r="R1317" s="314"/>
      <c r="S1317" s="314"/>
      <c r="T1317" s="314"/>
      <c r="W1317" s="320"/>
    </row>
    <row r="1318" spans="1:28" x14ac:dyDescent="0.45">
      <c r="A1318" s="45">
        <v>29</v>
      </c>
      <c r="B1318" s="427" t="s">
        <v>2520</v>
      </c>
      <c r="C1318" s="425" t="s">
        <v>1347</v>
      </c>
      <c r="D1318" s="458">
        <v>-20288646</v>
      </c>
      <c r="E1318" s="314"/>
      <c r="F1318" s="314">
        <v>-18963311</v>
      </c>
      <c r="G1318" s="314"/>
      <c r="H1318" s="314">
        <v>-1057655</v>
      </c>
      <c r="I1318" s="314"/>
      <c r="J1318" s="314">
        <v>-267680</v>
      </c>
      <c r="K1318" s="314">
        <v>-140061</v>
      </c>
      <c r="L1318" s="314">
        <v>-127619</v>
      </c>
      <c r="M1318" s="314"/>
      <c r="N1318" s="314"/>
      <c r="O1318" s="314">
        <v>-20288647</v>
      </c>
      <c r="P1318" s="314"/>
      <c r="Q1318" s="314" t="s">
        <v>2245</v>
      </c>
      <c r="R1318" s="314"/>
      <c r="S1318" s="314"/>
      <c r="T1318" s="314"/>
      <c r="W1318" s="320"/>
    </row>
    <row r="1319" spans="1:28" x14ac:dyDescent="0.45">
      <c r="A1319" s="313">
        <v>30</v>
      </c>
      <c r="B1319" s="424" t="s">
        <v>313</v>
      </c>
      <c r="C1319" s="425"/>
      <c r="D1319" s="458">
        <v>0</v>
      </c>
      <c r="E1319" s="314"/>
      <c r="F1319" s="314">
        <v>0</v>
      </c>
      <c r="G1319" s="314"/>
      <c r="H1319" s="314">
        <v>0</v>
      </c>
      <c r="I1319" s="314"/>
      <c r="J1319" s="314">
        <v>0</v>
      </c>
      <c r="K1319" s="314">
        <v>0</v>
      </c>
      <c r="L1319" s="314">
        <v>0</v>
      </c>
      <c r="M1319" s="314"/>
      <c r="N1319" s="314"/>
      <c r="O1319" s="314"/>
      <c r="P1319" s="314"/>
      <c r="Q1319" s="314"/>
      <c r="R1319" s="314"/>
      <c r="S1319" s="314"/>
      <c r="T1319" s="314"/>
      <c r="U1319" s="320" t="s">
        <v>1319</v>
      </c>
      <c r="V1319" s="320" t="s">
        <v>2324</v>
      </c>
      <c r="W1319" s="320"/>
      <c r="X1319" s="320"/>
      <c r="Y1319" s="320"/>
      <c r="AA1319" s="53" t="s">
        <v>2324</v>
      </c>
    </row>
    <row r="1320" spans="1:28" x14ac:dyDescent="0.45">
      <c r="A1320" s="313">
        <v>31</v>
      </c>
      <c r="B1320" s="424" t="s">
        <v>2159</v>
      </c>
      <c r="C1320" s="425" t="s">
        <v>34</v>
      </c>
      <c r="D1320" s="458">
        <v>30590</v>
      </c>
      <c r="E1320" s="314"/>
      <c r="F1320" s="314">
        <v>28642</v>
      </c>
      <c r="G1320" s="314"/>
      <c r="H1320" s="314">
        <v>1565</v>
      </c>
      <c r="I1320" s="314"/>
      <c r="J1320" s="314">
        <v>383</v>
      </c>
      <c r="K1320" s="314">
        <v>202</v>
      </c>
      <c r="L1320" s="314">
        <v>181</v>
      </c>
      <c r="M1320" s="314"/>
      <c r="N1320" s="314"/>
      <c r="O1320" s="314">
        <v>30590</v>
      </c>
      <c r="P1320" s="314"/>
      <c r="Q1320" s="314" t="s">
        <v>312</v>
      </c>
      <c r="R1320" s="314"/>
      <c r="S1320" s="314"/>
      <c r="T1320" s="314">
        <v>30590</v>
      </c>
      <c r="U1320" s="496">
        <v>15530807</v>
      </c>
      <c r="V1320" s="355">
        <v>-0.02</v>
      </c>
      <c r="W1320" s="320"/>
      <c r="AA1320" s="53">
        <v>-63573.047814108431</v>
      </c>
    </row>
    <row r="1321" spans="1:28" x14ac:dyDescent="0.45">
      <c r="A1321" s="313">
        <v>32</v>
      </c>
      <c r="B1321" s="424" t="s">
        <v>1320</v>
      </c>
      <c r="C1321" s="312"/>
      <c r="D1321" s="458">
        <v>15530807</v>
      </c>
      <c r="E1321" s="314"/>
      <c r="F1321" s="314">
        <v>15202691</v>
      </c>
      <c r="G1321" s="314"/>
      <c r="H1321" s="314">
        <v>235128</v>
      </c>
      <c r="I1321" s="314"/>
      <c r="J1321" s="314">
        <v>71072</v>
      </c>
      <c r="K1321" s="314">
        <v>31521</v>
      </c>
      <c r="L1321" s="314">
        <v>39552</v>
      </c>
      <c r="M1321" s="314"/>
      <c r="N1321" s="314"/>
      <c r="O1321" s="314"/>
      <c r="P1321" s="314"/>
      <c r="Q1321" s="314"/>
      <c r="R1321" s="314"/>
      <c r="S1321" s="314"/>
      <c r="T1321" s="314">
        <v>30590</v>
      </c>
      <c r="W1321" s="320"/>
      <c r="Z1321" s="59"/>
      <c r="AA1321" s="317"/>
    </row>
    <row r="1322" spans="1:28" x14ac:dyDescent="0.45">
      <c r="A1322" s="45"/>
      <c r="B1322" s="45"/>
      <c r="C1322" s="45"/>
      <c r="D1322" s="314"/>
      <c r="E1322" s="314"/>
      <c r="F1322" s="314"/>
      <c r="G1322" s="314"/>
      <c r="H1322" s="314"/>
      <c r="I1322" s="314"/>
      <c r="J1322" s="314"/>
      <c r="K1322" s="314"/>
      <c r="L1322" s="314"/>
      <c r="M1322" s="314"/>
      <c r="N1322" s="314"/>
      <c r="O1322" s="314"/>
      <c r="P1322" s="314"/>
      <c r="Q1322" s="314"/>
      <c r="R1322" s="314" t="s">
        <v>1769</v>
      </c>
      <c r="S1322" s="314"/>
      <c r="T1322" s="314"/>
      <c r="U1322" s="496">
        <v>22878472</v>
      </c>
      <c r="V1322" s="320" t="s">
        <v>2160</v>
      </c>
      <c r="W1322" s="320"/>
      <c r="X1322" s="320"/>
      <c r="Y1322" s="320"/>
      <c r="Z1322" s="320"/>
      <c r="AA1322" s="349" t="s">
        <v>2160</v>
      </c>
      <c r="AB1322" s="318"/>
    </row>
    <row r="1323" spans="1:28" x14ac:dyDescent="0.45">
      <c r="A1323" s="313">
        <v>33</v>
      </c>
      <c r="B1323" s="424" t="s">
        <v>1052</v>
      </c>
      <c r="C1323" s="312"/>
      <c r="D1323" s="314">
        <v>304061314</v>
      </c>
      <c r="E1323" s="314"/>
      <c r="F1323" s="314">
        <v>289051001</v>
      </c>
      <c r="G1323" s="314"/>
      <c r="H1323" s="314">
        <v>12193287</v>
      </c>
      <c r="I1323" s="314"/>
      <c r="J1323" s="314">
        <v>2753434</v>
      </c>
      <c r="K1323" s="314">
        <v>1428109</v>
      </c>
      <c r="L1323" s="314">
        <v>1325325</v>
      </c>
      <c r="M1323" s="314"/>
      <c r="N1323" s="314"/>
      <c r="O1323" s="314"/>
      <c r="P1323" s="314"/>
      <c r="Q1323" s="314"/>
      <c r="R1323" s="314">
        <v>170606594</v>
      </c>
      <c r="S1323" s="314">
        <v>133454720.29000001</v>
      </c>
      <c r="T1323" s="314"/>
      <c r="U1323" s="491">
        <v>-10422002</v>
      </c>
      <c r="V1323" s="53" t="s">
        <v>2524</v>
      </c>
      <c r="W1323" s="320"/>
      <c r="AA1323" s="53" t="s">
        <v>2524</v>
      </c>
    </row>
    <row r="1324" spans="1:28" x14ac:dyDescent="0.45">
      <c r="A1324" s="313">
        <v>34</v>
      </c>
      <c r="B1324" s="424" t="s">
        <v>1053</v>
      </c>
      <c r="C1324" s="312"/>
      <c r="D1324" s="422">
        <v>4.9299999999999997E-2</v>
      </c>
      <c r="E1324" s="422"/>
      <c r="F1324" s="422">
        <v>4.9599999999999998E-2</v>
      </c>
      <c r="G1324" s="422"/>
      <c r="H1324" s="422">
        <v>3.8300000000000001E-2</v>
      </c>
      <c r="I1324" s="422"/>
      <c r="J1324" s="422">
        <v>3.5400000000000001E-2</v>
      </c>
      <c r="K1324" s="422">
        <v>3.4799999999999998E-2</v>
      </c>
      <c r="L1324" s="422">
        <v>3.5999999999999997E-2</v>
      </c>
      <c r="M1324" s="422"/>
      <c r="N1324" s="422"/>
      <c r="O1324" s="422"/>
      <c r="P1324" s="422"/>
      <c r="Q1324" s="314"/>
      <c r="R1324" s="314"/>
      <c r="S1324" s="314" t="s">
        <v>2564</v>
      </c>
      <c r="T1324" s="314"/>
      <c r="U1324" s="491">
        <v>33300474</v>
      </c>
      <c r="V1324" s="53" t="s">
        <v>2161</v>
      </c>
      <c r="W1324" s="351"/>
      <c r="Z1324" s="116"/>
      <c r="AA1324" s="116" t="s">
        <v>2161</v>
      </c>
    </row>
    <row r="1325" spans="1:28" x14ac:dyDescent="0.45">
      <c r="A1325" s="45"/>
      <c r="B1325" s="45"/>
      <c r="C1325" s="45"/>
      <c r="D1325" s="422"/>
      <c r="E1325" s="422"/>
      <c r="F1325" s="422"/>
      <c r="G1325" s="422"/>
      <c r="H1325" s="422"/>
      <c r="I1325" s="422"/>
      <c r="J1325" s="422"/>
      <c r="K1325" s="422"/>
      <c r="L1325" s="422"/>
      <c r="M1325" s="422"/>
      <c r="N1325" s="422"/>
      <c r="O1325" s="422"/>
      <c r="P1325" s="422"/>
      <c r="Q1325" s="422"/>
      <c r="R1325" s="314"/>
      <c r="S1325" s="314"/>
      <c r="T1325" s="314"/>
      <c r="W1325" s="351"/>
      <c r="X1325" s="352"/>
      <c r="Z1325" s="372"/>
      <c r="AA1325" s="116"/>
    </row>
    <row r="1326" spans="1:28" ht="12.9" thickBot="1" x14ac:dyDescent="0.5">
      <c r="A1326" s="45"/>
      <c r="B1326" s="45"/>
      <c r="C1326" s="45"/>
      <c r="D1326" s="323"/>
      <c r="E1326" s="45"/>
      <c r="F1326" s="323"/>
      <c r="G1326" s="323"/>
      <c r="H1326" s="323"/>
      <c r="I1326" s="323"/>
      <c r="J1326" s="45"/>
      <c r="K1326" s="323"/>
      <c r="L1326" s="323"/>
      <c r="M1326" s="323"/>
      <c r="N1326" s="323"/>
      <c r="O1326" s="323"/>
      <c r="P1326" s="323"/>
      <c r="Q1326" s="323"/>
      <c r="T1326" s="365"/>
      <c r="W1326" s="320"/>
      <c r="Z1326" s="373"/>
      <c r="AA1326" s="116"/>
    </row>
    <row r="1327" spans="1:28" ht="12.9" thickTop="1" x14ac:dyDescent="0.45">
      <c r="A1327" s="45"/>
      <c r="B1327" s="424" t="s">
        <v>1321</v>
      </c>
      <c r="C1327" s="45"/>
      <c r="D1327" s="440">
        <v>0.05</v>
      </c>
      <c r="E1327" s="440"/>
      <c r="F1327" s="440">
        <v>0.05</v>
      </c>
      <c r="G1327" s="440"/>
      <c r="H1327" s="441">
        <v>0.06</v>
      </c>
      <c r="I1327" s="440"/>
      <c r="J1327" s="440">
        <v>0.05</v>
      </c>
      <c r="K1327" s="440">
        <v>0.05</v>
      </c>
      <c r="L1327" s="440">
        <v>0.05</v>
      </c>
      <c r="M1327" s="441"/>
      <c r="N1327" s="440"/>
      <c r="O1327" s="440"/>
      <c r="P1327" s="440"/>
      <c r="Q1327" s="45"/>
      <c r="W1327" s="320"/>
    </row>
    <row r="1328" spans="1:28" x14ac:dyDescent="0.45">
      <c r="A1328" s="45"/>
      <c r="B1328" s="424" t="s">
        <v>1322</v>
      </c>
      <c r="C1328" s="45"/>
      <c r="D1328" s="440">
        <v>0.21</v>
      </c>
      <c r="E1328" s="440"/>
      <c r="F1328" s="440">
        <v>0.21</v>
      </c>
      <c r="G1328" s="440"/>
      <c r="H1328" s="441">
        <v>0.21</v>
      </c>
      <c r="I1328" s="440"/>
      <c r="J1328" s="440">
        <v>0.21</v>
      </c>
      <c r="K1328" s="440">
        <v>0.21</v>
      </c>
      <c r="L1328" s="440">
        <v>0.21</v>
      </c>
      <c r="M1328" s="441"/>
      <c r="N1328" s="440"/>
      <c r="O1328" s="440"/>
      <c r="P1328" s="440"/>
      <c r="Q1328" s="45"/>
      <c r="W1328" s="320"/>
    </row>
    <row r="1329" spans="1:25" x14ac:dyDescent="0.45">
      <c r="A1329" s="45"/>
      <c r="B1329" s="424" t="s">
        <v>1323</v>
      </c>
      <c r="C1329" s="45"/>
      <c r="D1329" s="353">
        <v>0.75049999999999994</v>
      </c>
      <c r="E1329" s="45"/>
      <c r="F1329" s="353">
        <v>0.75049999999999994</v>
      </c>
      <c r="G1329" s="353"/>
      <c r="H1329" s="353">
        <v>0.74260000000000004</v>
      </c>
      <c r="I1329" s="323"/>
      <c r="J1329" s="45">
        <v>0.75049999999999994</v>
      </c>
      <c r="K1329" s="323">
        <v>0.75049999999999994</v>
      </c>
      <c r="L1329" s="353">
        <v>0.75049999999999994</v>
      </c>
      <c r="M1329" s="353"/>
      <c r="N1329" s="323"/>
      <c r="O1329" s="353"/>
      <c r="P1329" s="353"/>
      <c r="Q1329" s="353"/>
      <c r="W1329" s="320"/>
    </row>
    <row r="1330" spans="1:25" x14ac:dyDescent="0.45">
      <c r="A1330" s="45"/>
      <c r="B1330" s="424" t="s">
        <v>1324</v>
      </c>
      <c r="C1330" s="45"/>
      <c r="D1330" s="353">
        <v>0.2495</v>
      </c>
      <c r="E1330" s="45"/>
      <c r="F1330" s="323">
        <v>0.2495</v>
      </c>
      <c r="G1330" s="323"/>
      <c r="H1330" s="323">
        <v>0.25740000000000002</v>
      </c>
      <c r="I1330" s="323"/>
      <c r="J1330" s="45">
        <v>0.2495</v>
      </c>
      <c r="K1330" s="353">
        <v>0.2495</v>
      </c>
      <c r="L1330" s="323">
        <v>0.2495</v>
      </c>
      <c r="M1330" s="323"/>
      <c r="N1330" s="323"/>
      <c r="O1330" s="323"/>
      <c r="P1330" s="323"/>
      <c r="Q1330" s="323"/>
      <c r="W1330" s="320"/>
    </row>
    <row r="1331" spans="1:25" x14ac:dyDescent="0.45">
      <c r="A1331" s="45"/>
      <c r="B1331" s="424" t="s">
        <v>1325</v>
      </c>
      <c r="C1331" s="45"/>
      <c r="D1331" s="322">
        <v>1.3324499999999999</v>
      </c>
      <c r="E1331" s="45"/>
      <c r="F1331" s="322">
        <v>1.3324499999999999</v>
      </c>
      <c r="G1331" s="322"/>
      <c r="H1331" s="322">
        <v>1.3466199999999999</v>
      </c>
      <c r="I1331" s="322"/>
      <c r="J1331" s="45">
        <v>1.3324499999999999</v>
      </c>
      <c r="K1331" s="322">
        <v>1.3324499999999999</v>
      </c>
      <c r="L1331" s="322">
        <v>1.3324499999999999</v>
      </c>
      <c r="M1331" s="322"/>
      <c r="N1331" s="322"/>
      <c r="O1331" s="322"/>
      <c r="P1331" s="322"/>
      <c r="Q1331" s="322"/>
      <c r="W1331" s="320"/>
    </row>
    <row r="1332" spans="1:25" x14ac:dyDescent="0.45">
      <c r="A1332" s="45"/>
      <c r="B1332" s="45"/>
      <c r="C1332" s="45"/>
      <c r="D1332" s="322"/>
      <c r="E1332" s="45"/>
      <c r="F1332" s="322"/>
      <c r="G1332" s="322"/>
      <c r="H1332" s="322"/>
      <c r="I1332" s="322"/>
      <c r="J1332" s="45"/>
      <c r="K1332" s="322"/>
      <c r="L1332" s="322"/>
      <c r="M1332" s="322"/>
      <c r="N1332" s="322"/>
      <c r="O1332" s="322"/>
      <c r="P1332" s="322"/>
      <c r="Q1332" s="322"/>
      <c r="W1332" s="320"/>
    </row>
    <row r="1333" spans="1:25" x14ac:dyDescent="0.45">
      <c r="A1333" s="45"/>
      <c r="B1333" s="45"/>
      <c r="C1333" s="45"/>
      <c r="D1333" s="45"/>
      <c r="E1333" s="45"/>
      <c r="F1333" s="45"/>
      <c r="G1333" s="45"/>
      <c r="H1333" s="45"/>
      <c r="I1333" s="45"/>
      <c r="J1333" s="45"/>
      <c r="K1333" s="45"/>
      <c r="L1333" s="45"/>
      <c r="M1333" s="45"/>
      <c r="N1333" s="45"/>
      <c r="O1333" s="45"/>
      <c r="P1333" s="45"/>
      <c r="Q1333" s="45"/>
      <c r="W1333" s="320"/>
    </row>
    <row r="1334" spans="1:25" x14ac:dyDescent="0.45">
      <c r="A1334" s="45"/>
      <c r="B1334" s="45"/>
      <c r="C1334" s="45"/>
      <c r="D1334" s="322"/>
      <c r="E1334" s="45"/>
      <c r="F1334" s="322"/>
      <c r="G1334" s="45"/>
      <c r="H1334" s="322"/>
      <c r="I1334" s="322"/>
      <c r="J1334" s="45"/>
      <c r="K1334" s="45"/>
      <c r="L1334" s="322"/>
      <c r="M1334" s="45"/>
      <c r="N1334" s="322"/>
      <c r="O1334" s="322"/>
      <c r="P1334" s="322"/>
      <c r="Q1334" s="45"/>
      <c r="W1334" s="320"/>
    </row>
    <row r="1335" spans="1:25" x14ac:dyDescent="0.45">
      <c r="A1335" s="45"/>
      <c r="B1335" s="45"/>
      <c r="C1335" s="45"/>
      <c r="D1335" s="45"/>
      <c r="E1335" s="45"/>
      <c r="F1335" s="45"/>
      <c r="G1335" s="45"/>
      <c r="H1335" s="45"/>
      <c r="I1335" s="45"/>
      <c r="J1335" s="45"/>
      <c r="K1335" s="45"/>
      <c r="L1335" s="45"/>
      <c r="M1335" s="45"/>
      <c r="N1335" s="45"/>
      <c r="O1335" s="45"/>
      <c r="P1335" s="45"/>
      <c r="Q1335" s="45"/>
      <c r="W1335" s="320"/>
    </row>
    <row r="1336" spans="1:25" x14ac:dyDescent="0.45">
      <c r="A1336" s="45"/>
      <c r="B1336" s="426" t="s">
        <v>822</v>
      </c>
      <c r="C1336" s="45"/>
      <c r="D1336" s="45"/>
      <c r="E1336" s="45"/>
      <c r="F1336" s="45"/>
      <c r="G1336" s="45"/>
      <c r="H1336" s="45"/>
      <c r="I1336" s="45"/>
      <c r="J1336" s="45"/>
      <c r="K1336" s="45"/>
      <c r="L1336" s="45"/>
      <c r="M1336" s="45"/>
      <c r="N1336" s="45"/>
      <c r="O1336" s="45"/>
      <c r="P1336" s="45"/>
      <c r="Q1336" s="45"/>
      <c r="W1336" s="320"/>
    </row>
    <row r="1337" spans="1:25" x14ac:dyDescent="0.45">
      <c r="A1337" s="45"/>
      <c r="B1337" s="45"/>
      <c r="C1337" s="45"/>
      <c r="D1337" s="45"/>
      <c r="E1337" s="45"/>
      <c r="F1337" s="45"/>
      <c r="G1337" s="45"/>
      <c r="H1337" s="45"/>
      <c r="I1337" s="45"/>
      <c r="J1337" s="45"/>
      <c r="K1337" s="45"/>
      <c r="L1337" s="45"/>
      <c r="M1337" s="45"/>
      <c r="N1337" s="45"/>
      <c r="O1337" s="45"/>
      <c r="P1337" s="45"/>
      <c r="Q1337" s="45"/>
      <c r="W1337" s="320"/>
    </row>
    <row r="1338" spans="1:25" x14ac:dyDescent="0.45">
      <c r="A1338" s="45"/>
      <c r="B1338" s="424" t="s">
        <v>823</v>
      </c>
      <c r="C1338" s="45"/>
      <c r="D1338" s="45"/>
      <c r="E1338" s="45"/>
      <c r="F1338" s="45"/>
      <c r="G1338" s="45"/>
      <c r="H1338" s="45"/>
      <c r="I1338" s="45"/>
      <c r="J1338" s="45"/>
      <c r="K1338" s="45"/>
      <c r="L1338" s="45"/>
      <c r="M1338" s="45"/>
      <c r="N1338" s="45"/>
      <c r="O1338" s="45"/>
      <c r="P1338" s="45"/>
      <c r="Q1338" s="45"/>
      <c r="W1338" s="320"/>
    </row>
    <row r="1339" spans="1:25" x14ac:dyDescent="0.45">
      <c r="A1339" s="45"/>
      <c r="B1339" s="424" t="s">
        <v>824</v>
      </c>
      <c r="C1339" s="45"/>
      <c r="D1339" s="45"/>
      <c r="E1339" s="45"/>
      <c r="F1339" s="45"/>
      <c r="G1339" s="45"/>
      <c r="H1339" s="45"/>
      <c r="I1339" s="45"/>
      <c r="J1339" s="45"/>
      <c r="K1339" s="45"/>
      <c r="L1339" s="45"/>
      <c r="M1339" s="45"/>
      <c r="N1339" s="45"/>
      <c r="O1339" s="45"/>
      <c r="P1339" s="45"/>
      <c r="Q1339" s="45"/>
      <c r="W1339" s="320"/>
    </row>
    <row r="1340" spans="1:25" x14ac:dyDescent="0.45">
      <c r="A1340" s="313"/>
      <c r="B1340" s="424" t="s">
        <v>825</v>
      </c>
      <c r="C1340" s="425"/>
      <c r="D1340" s="45"/>
      <c r="E1340" s="45"/>
      <c r="F1340" s="45"/>
      <c r="G1340" s="45"/>
      <c r="H1340" s="45"/>
      <c r="I1340" s="45"/>
      <c r="J1340" s="45"/>
      <c r="K1340" s="45"/>
      <c r="L1340" s="45"/>
      <c r="M1340" s="45"/>
      <c r="N1340" s="45"/>
      <c r="O1340" s="45"/>
      <c r="P1340" s="45"/>
      <c r="Q1340" s="45"/>
      <c r="W1340" s="320"/>
    </row>
    <row r="1341" spans="1:25" x14ac:dyDescent="0.45">
      <c r="A1341" s="313">
        <v>1</v>
      </c>
      <c r="B1341" s="427" t="s">
        <v>826</v>
      </c>
      <c r="C1341" s="425" t="s">
        <v>1377</v>
      </c>
      <c r="D1341" s="314">
        <v>2589103</v>
      </c>
      <c r="E1341" s="45"/>
      <c r="F1341" s="502">
        <v>2438484</v>
      </c>
      <c r="G1341" s="45"/>
      <c r="H1341" s="502">
        <v>97929</v>
      </c>
      <c r="I1341" s="313"/>
      <c r="J1341" s="492">
        <v>52691</v>
      </c>
      <c r="K1341" s="492">
        <v>27045</v>
      </c>
      <c r="L1341" s="502">
        <v>25646</v>
      </c>
      <c r="M1341" s="313"/>
      <c r="N1341" s="313"/>
      <c r="O1341" s="502">
        <v>2589103</v>
      </c>
      <c r="P1341" s="313">
        <v>501</v>
      </c>
      <c r="Q1341" s="313"/>
      <c r="R1341" s="491">
        <v>2589103</v>
      </c>
      <c r="S1341" s="53">
        <v>0</v>
      </c>
      <c r="T1341" s="320" t="s">
        <v>1783</v>
      </c>
      <c r="U1341" s="320"/>
      <c r="V1341" s="320"/>
      <c r="W1341" s="320"/>
      <c r="X1341" s="320"/>
      <c r="Y1341" s="320"/>
    </row>
    <row r="1342" spans="1:25" x14ac:dyDescent="0.45">
      <c r="A1342" s="313">
        <v>2</v>
      </c>
      <c r="B1342" s="427" t="s">
        <v>827</v>
      </c>
      <c r="C1342" s="425" t="s">
        <v>1377</v>
      </c>
      <c r="D1342" s="314">
        <v>11861057</v>
      </c>
      <c r="E1342" s="45"/>
      <c r="F1342" s="502">
        <v>11171048</v>
      </c>
      <c r="G1342" s="45"/>
      <c r="H1342" s="502">
        <v>448625</v>
      </c>
      <c r="I1342" s="313"/>
      <c r="J1342" s="492">
        <v>241383</v>
      </c>
      <c r="K1342" s="492">
        <v>123896</v>
      </c>
      <c r="L1342" s="502">
        <v>117488</v>
      </c>
      <c r="M1342" s="313"/>
      <c r="N1342" s="313"/>
      <c r="O1342" s="502">
        <v>11861057</v>
      </c>
      <c r="P1342" s="313">
        <v>510</v>
      </c>
      <c r="Q1342" s="313"/>
      <c r="R1342" s="491">
        <v>11861057</v>
      </c>
      <c r="S1342" s="53">
        <v>0</v>
      </c>
      <c r="T1342" s="320" t="s">
        <v>1783</v>
      </c>
      <c r="U1342" s="320"/>
      <c r="V1342" s="320"/>
      <c r="W1342" s="320"/>
      <c r="X1342" s="320"/>
      <c r="Y1342" s="320"/>
    </row>
    <row r="1343" spans="1:25" x14ac:dyDescent="0.45">
      <c r="A1343" s="313">
        <v>3</v>
      </c>
      <c r="B1343" s="427" t="s">
        <v>828</v>
      </c>
      <c r="C1343" s="425" t="s">
        <v>1377</v>
      </c>
      <c r="D1343" s="314">
        <v>10291871</v>
      </c>
      <c r="E1343" s="314"/>
      <c r="F1343" s="314">
        <v>9693149</v>
      </c>
      <c r="G1343" s="314"/>
      <c r="H1343" s="314">
        <v>389273</v>
      </c>
      <c r="I1343" s="314"/>
      <c r="J1343" s="314">
        <v>209449</v>
      </c>
      <c r="K1343" s="314">
        <v>107505</v>
      </c>
      <c r="L1343" s="314">
        <v>101944</v>
      </c>
      <c r="M1343" s="314"/>
      <c r="N1343" s="314"/>
      <c r="O1343" s="314">
        <v>10291871</v>
      </c>
      <c r="P1343" s="314">
        <v>512</v>
      </c>
      <c r="Q1343" s="314"/>
      <c r="R1343" s="314">
        <v>10291871</v>
      </c>
      <c r="S1343" s="314">
        <v>0</v>
      </c>
      <c r="T1343" s="314" t="s">
        <v>1783</v>
      </c>
      <c r="U1343" s="320"/>
      <c r="W1343" s="320"/>
      <c r="X1343" s="320"/>
      <c r="Y1343" s="320"/>
    </row>
    <row r="1344" spans="1:25" x14ac:dyDescent="0.45">
      <c r="A1344" s="313">
        <v>4</v>
      </c>
      <c r="B1344" s="427" t="s">
        <v>829</v>
      </c>
      <c r="C1344" s="425" t="s">
        <v>1377</v>
      </c>
      <c r="D1344" s="314">
        <v>2113260</v>
      </c>
      <c r="E1344" s="314"/>
      <c r="F1344" s="314">
        <v>1990323</v>
      </c>
      <c r="G1344" s="314"/>
      <c r="H1344" s="314">
        <v>79931</v>
      </c>
      <c r="I1344" s="314"/>
      <c r="J1344" s="314">
        <v>43007</v>
      </c>
      <c r="K1344" s="314">
        <v>22074</v>
      </c>
      <c r="L1344" s="314">
        <v>20933</v>
      </c>
      <c r="M1344" s="314"/>
      <c r="N1344" s="314"/>
      <c r="O1344" s="314">
        <v>2113260</v>
      </c>
      <c r="P1344" s="314">
        <v>513</v>
      </c>
      <c r="Q1344" s="314"/>
      <c r="R1344" s="314">
        <v>2113260</v>
      </c>
      <c r="S1344" s="314">
        <v>0</v>
      </c>
      <c r="T1344" s="314" t="s">
        <v>1783</v>
      </c>
      <c r="U1344" s="320"/>
      <c r="W1344" s="320"/>
      <c r="X1344" s="320"/>
      <c r="Y1344" s="320"/>
    </row>
    <row r="1345" spans="1:25" x14ac:dyDescent="0.45">
      <c r="A1345" s="313">
        <v>5</v>
      </c>
      <c r="B1345" s="427" t="s">
        <v>830</v>
      </c>
      <c r="C1345" s="425" t="s">
        <v>1377</v>
      </c>
      <c r="D1345" s="314">
        <v>0</v>
      </c>
      <c r="E1345" s="314"/>
      <c r="F1345" s="314">
        <v>0</v>
      </c>
      <c r="G1345" s="314"/>
      <c r="H1345" s="314">
        <v>0</v>
      </c>
      <c r="I1345" s="314"/>
      <c r="J1345" s="314">
        <v>0</v>
      </c>
      <c r="K1345" s="314">
        <v>0</v>
      </c>
      <c r="L1345" s="314">
        <v>0</v>
      </c>
      <c r="M1345" s="314"/>
      <c r="N1345" s="314"/>
      <c r="O1345" s="314">
        <v>0</v>
      </c>
      <c r="P1345" s="314">
        <v>547</v>
      </c>
      <c r="Q1345" s="314"/>
      <c r="R1345" s="314">
        <v>0</v>
      </c>
      <c r="S1345" s="314">
        <v>0</v>
      </c>
      <c r="T1345" s="314" t="s">
        <v>1783</v>
      </c>
      <c r="U1345" s="320"/>
      <c r="W1345" s="320"/>
      <c r="X1345" s="320"/>
      <c r="Y1345" s="320"/>
    </row>
    <row r="1346" spans="1:25" x14ac:dyDescent="0.45">
      <c r="A1346" s="313"/>
      <c r="B1346" s="427"/>
      <c r="C1346" s="425"/>
      <c r="D1346" s="314"/>
      <c r="E1346" s="314"/>
      <c r="F1346" s="314"/>
      <c r="G1346" s="314"/>
      <c r="H1346" s="314"/>
      <c r="I1346" s="314"/>
      <c r="J1346" s="314"/>
      <c r="K1346" s="314"/>
      <c r="L1346" s="314"/>
      <c r="M1346" s="314"/>
      <c r="N1346" s="314"/>
      <c r="O1346" s="314"/>
      <c r="P1346" s="314"/>
      <c r="Q1346" s="314"/>
      <c r="R1346" s="314"/>
      <c r="S1346" s="314"/>
      <c r="T1346" s="314"/>
      <c r="U1346" s="320"/>
      <c r="W1346" s="320"/>
      <c r="X1346" s="320"/>
      <c r="Y1346" s="320"/>
    </row>
    <row r="1347" spans="1:25" x14ac:dyDescent="0.45">
      <c r="A1347" s="313">
        <v>6</v>
      </c>
      <c r="B1347" s="427" t="s">
        <v>831</v>
      </c>
      <c r="C1347" s="425"/>
      <c r="D1347" s="314">
        <v>26855291</v>
      </c>
      <c r="E1347" s="314"/>
      <c r="F1347" s="314">
        <v>25293003</v>
      </c>
      <c r="G1347" s="314"/>
      <c r="H1347" s="314">
        <v>1015758</v>
      </c>
      <c r="I1347" s="314"/>
      <c r="J1347" s="314">
        <v>546530</v>
      </c>
      <c r="K1347" s="314">
        <v>280520</v>
      </c>
      <c r="L1347" s="314">
        <v>266010</v>
      </c>
      <c r="M1347" s="314"/>
      <c r="N1347" s="314"/>
      <c r="O1347" s="314"/>
      <c r="P1347" s="314"/>
      <c r="Q1347" s="314"/>
      <c r="R1347" s="314"/>
      <c r="S1347" s="314"/>
      <c r="T1347" s="314"/>
      <c r="U1347" s="320"/>
      <c r="W1347" s="320"/>
      <c r="X1347" s="320"/>
      <c r="Y1347" s="320"/>
    </row>
    <row r="1348" spans="1:25" x14ac:dyDescent="0.45">
      <c r="A1348" s="313"/>
      <c r="B1348" s="427"/>
      <c r="C1348" s="425"/>
      <c r="D1348" s="314"/>
      <c r="E1348" s="314"/>
      <c r="F1348" s="314"/>
      <c r="G1348" s="314"/>
      <c r="H1348" s="314"/>
      <c r="I1348" s="314"/>
      <c r="J1348" s="314"/>
      <c r="K1348" s="314"/>
      <c r="L1348" s="314"/>
      <c r="M1348" s="314"/>
      <c r="N1348" s="314"/>
      <c r="O1348" s="314"/>
      <c r="P1348" s="314"/>
      <c r="Q1348" s="314"/>
      <c r="R1348" s="314"/>
      <c r="S1348" s="314"/>
      <c r="T1348" s="314"/>
      <c r="U1348" s="320"/>
      <c r="W1348" s="320"/>
      <c r="X1348" s="320"/>
      <c r="Y1348" s="320"/>
    </row>
    <row r="1349" spans="1:25" x14ac:dyDescent="0.45">
      <c r="A1349" s="313"/>
      <c r="B1349" s="424" t="s">
        <v>832</v>
      </c>
      <c r="C1349" s="425"/>
      <c r="D1349" s="314"/>
      <c r="E1349" s="314"/>
      <c r="F1349" s="314"/>
      <c r="G1349" s="314"/>
      <c r="H1349" s="314"/>
      <c r="I1349" s="314"/>
      <c r="J1349" s="314"/>
      <c r="K1349" s="314"/>
      <c r="L1349" s="314"/>
      <c r="M1349" s="314"/>
      <c r="N1349" s="314"/>
      <c r="O1349" s="314"/>
      <c r="P1349" s="314"/>
      <c r="Q1349" s="314"/>
      <c r="R1349" s="314"/>
      <c r="S1349" s="314"/>
      <c r="T1349" s="314"/>
      <c r="U1349" s="320"/>
      <c r="W1349" s="320"/>
      <c r="X1349" s="320"/>
      <c r="Y1349" s="320"/>
    </row>
    <row r="1350" spans="1:25" x14ac:dyDescent="0.45">
      <c r="A1350" s="313">
        <v>7</v>
      </c>
      <c r="B1350" s="427" t="s">
        <v>833</v>
      </c>
      <c r="C1350" s="425" t="s">
        <v>912</v>
      </c>
      <c r="D1350" s="314">
        <v>4557162</v>
      </c>
      <c r="E1350" s="314"/>
      <c r="F1350" s="314">
        <v>4272282</v>
      </c>
      <c r="G1350" s="314"/>
      <c r="H1350" s="314">
        <v>194834</v>
      </c>
      <c r="I1350" s="314"/>
      <c r="J1350" s="314">
        <v>90045</v>
      </c>
      <c r="K1350" s="314">
        <v>45676</v>
      </c>
      <c r="L1350" s="314">
        <v>44369</v>
      </c>
      <c r="M1350" s="314"/>
      <c r="N1350" s="314"/>
      <c r="O1350" s="314">
        <v>4557162</v>
      </c>
      <c r="P1350" s="314">
        <v>500</v>
      </c>
      <c r="Q1350" s="314"/>
      <c r="R1350" s="314">
        <v>4557162</v>
      </c>
      <c r="S1350" s="314">
        <v>0</v>
      </c>
      <c r="T1350" s="314" t="s">
        <v>1783</v>
      </c>
      <c r="U1350" s="320"/>
      <c r="W1350" s="320"/>
      <c r="X1350" s="320"/>
      <c r="Y1350" s="320"/>
    </row>
    <row r="1351" spans="1:25" x14ac:dyDescent="0.45">
      <c r="A1351" s="313">
        <v>8</v>
      </c>
      <c r="B1351" s="427" t="s">
        <v>834</v>
      </c>
      <c r="C1351" s="425" t="s">
        <v>912</v>
      </c>
      <c r="D1351" s="314">
        <v>10292931</v>
      </c>
      <c r="E1351" s="314"/>
      <c r="F1351" s="314">
        <v>9649494</v>
      </c>
      <c r="G1351" s="314"/>
      <c r="H1351" s="314">
        <v>440058</v>
      </c>
      <c r="I1351" s="314"/>
      <c r="J1351" s="314">
        <v>203379</v>
      </c>
      <c r="K1351" s="314">
        <v>103165</v>
      </c>
      <c r="L1351" s="314">
        <v>100214</v>
      </c>
      <c r="M1351" s="314"/>
      <c r="N1351" s="314"/>
      <c r="O1351" s="314">
        <v>10292931</v>
      </c>
      <c r="P1351" s="314">
        <v>502</v>
      </c>
      <c r="Q1351" s="314"/>
      <c r="R1351" s="314">
        <v>10292931</v>
      </c>
      <c r="S1351" s="314">
        <v>0</v>
      </c>
      <c r="T1351" s="314" t="s">
        <v>1783</v>
      </c>
      <c r="U1351" s="320"/>
      <c r="W1351" s="320"/>
      <c r="X1351" s="320"/>
      <c r="Y1351" s="320"/>
    </row>
    <row r="1352" spans="1:25" x14ac:dyDescent="0.45">
      <c r="A1352" s="313">
        <v>9</v>
      </c>
      <c r="B1352" s="427" t="s">
        <v>835</v>
      </c>
      <c r="C1352" s="425" t="s">
        <v>912</v>
      </c>
      <c r="D1352" s="314">
        <v>7117971</v>
      </c>
      <c r="E1352" s="314"/>
      <c r="F1352" s="314">
        <v>6673009</v>
      </c>
      <c r="G1352" s="314"/>
      <c r="H1352" s="314">
        <v>304317</v>
      </c>
      <c r="I1352" s="314"/>
      <c r="J1352" s="314">
        <v>140645</v>
      </c>
      <c r="K1352" s="314">
        <v>71343</v>
      </c>
      <c r="L1352" s="314">
        <v>69302</v>
      </c>
      <c r="M1352" s="314"/>
      <c r="N1352" s="314"/>
      <c r="O1352" s="314">
        <v>7117971</v>
      </c>
      <c r="P1352" s="314">
        <v>505</v>
      </c>
      <c r="Q1352" s="314"/>
      <c r="R1352" s="314">
        <v>7117971</v>
      </c>
      <c r="S1352" s="314">
        <v>0</v>
      </c>
      <c r="T1352" s="314" t="s">
        <v>1783</v>
      </c>
      <c r="U1352" s="320"/>
      <c r="W1352" s="320"/>
      <c r="X1352" s="320"/>
      <c r="Y1352" s="320"/>
    </row>
    <row r="1353" spans="1:25" x14ac:dyDescent="0.45">
      <c r="A1353" s="313">
        <v>10</v>
      </c>
      <c r="B1353" s="427" t="s">
        <v>836</v>
      </c>
      <c r="C1353" s="425" t="s">
        <v>912</v>
      </c>
      <c r="D1353" s="314">
        <v>4273134</v>
      </c>
      <c r="E1353" s="314"/>
      <c r="F1353" s="314">
        <v>4006010</v>
      </c>
      <c r="G1353" s="314"/>
      <c r="H1353" s="314">
        <v>182691</v>
      </c>
      <c r="I1353" s="314"/>
      <c r="J1353" s="314">
        <v>84433</v>
      </c>
      <c r="K1353" s="314">
        <v>42829</v>
      </c>
      <c r="L1353" s="314">
        <v>41604</v>
      </c>
      <c r="M1353" s="314"/>
      <c r="N1353" s="314"/>
      <c r="O1353" s="314">
        <v>4273134</v>
      </c>
      <c r="P1353" s="314">
        <v>506</v>
      </c>
      <c r="Q1353" s="314"/>
      <c r="R1353" s="314">
        <v>4273134</v>
      </c>
      <c r="S1353" s="314">
        <v>0</v>
      </c>
      <c r="T1353" s="314" t="s">
        <v>1783</v>
      </c>
      <c r="U1353" s="320"/>
      <c r="W1353" s="320"/>
      <c r="X1353" s="320"/>
      <c r="Y1353" s="320"/>
    </row>
    <row r="1354" spans="1:25" x14ac:dyDescent="0.45">
      <c r="A1354" s="313">
        <v>11</v>
      </c>
      <c r="B1354" s="427" t="s">
        <v>837</v>
      </c>
      <c r="C1354" s="425" t="s">
        <v>912</v>
      </c>
      <c r="D1354" s="314">
        <v>0</v>
      </c>
      <c r="E1354" s="314"/>
      <c r="F1354" s="314">
        <v>0</v>
      </c>
      <c r="G1354" s="314"/>
      <c r="H1354" s="314">
        <v>0</v>
      </c>
      <c r="I1354" s="314"/>
      <c r="J1354" s="314">
        <v>0</v>
      </c>
      <c r="K1354" s="314">
        <v>0</v>
      </c>
      <c r="L1354" s="314">
        <v>0</v>
      </c>
      <c r="M1354" s="314"/>
      <c r="N1354" s="314"/>
      <c r="O1354" s="314">
        <v>0</v>
      </c>
      <c r="P1354" s="314">
        <v>509</v>
      </c>
      <c r="Q1354" s="314"/>
      <c r="R1354" s="314">
        <v>0</v>
      </c>
      <c r="S1354" s="314">
        <v>0</v>
      </c>
      <c r="T1354" s="314" t="s">
        <v>1783</v>
      </c>
      <c r="U1354" s="320"/>
      <c r="W1354" s="320"/>
      <c r="X1354" s="320"/>
      <c r="Y1354" s="320"/>
    </row>
    <row r="1355" spans="1:25" x14ac:dyDescent="0.45">
      <c r="A1355" s="313">
        <v>12</v>
      </c>
      <c r="B1355" s="427" t="s">
        <v>838</v>
      </c>
      <c r="C1355" s="425" t="s">
        <v>912</v>
      </c>
      <c r="D1355" s="314">
        <v>1575978</v>
      </c>
      <c r="E1355" s="314"/>
      <c r="F1355" s="314">
        <v>1477460</v>
      </c>
      <c r="G1355" s="314"/>
      <c r="H1355" s="314">
        <v>67378</v>
      </c>
      <c r="I1355" s="314"/>
      <c r="J1355" s="314">
        <v>31140</v>
      </c>
      <c r="K1355" s="314">
        <v>15796</v>
      </c>
      <c r="L1355" s="314">
        <v>15344</v>
      </c>
      <c r="M1355" s="314"/>
      <c r="N1355" s="314"/>
      <c r="O1355" s="314">
        <v>1575978</v>
      </c>
      <c r="P1355" s="314">
        <v>511</v>
      </c>
      <c r="Q1355" s="314"/>
      <c r="R1355" s="314">
        <v>1575978</v>
      </c>
      <c r="S1355" s="314">
        <v>0</v>
      </c>
      <c r="T1355" s="314" t="s">
        <v>1783</v>
      </c>
      <c r="U1355" s="320"/>
      <c r="W1355" s="320"/>
      <c r="X1355" s="320"/>
      <c r="Y1355" s="320"/>
    </row>
    <row r="1356" spans="1:25" x14ac:dyDescent="0.45">
      <c r="A1356" s="313">
        <v>13</v>
      </c>
      <c r="B1356" s="427" t="s">
        <v>839</v>
      </c>
      <c r="C1356" s="425" t="s">
        <v>912</v>
      </c>
      <c r="D1356" s="314">
        <v>462930</v>
      </c>
      <c r="E1356" s="314"/>
      <c r="F1356" s="314">
        <v>433991</v>
      </c>
      <c r="G1356" s="314"/>
      <c r="H1356" s="314">
        <v>19792</v>
      </c>
      <c r="I1356" s="314"/>
      <c r="J1356" s="314">
        <v>9147</v>
      </c>
      <c r="K1356" s="314">
        <v>4640</v>
      </c>
      <c r="L1356" s="314">
        <v>4507</v>
      </c>
      <c r="M1356" s="314"/>
      <c r="N1356" s="314"/>
      <c r="O1356" s="314">
        <v>462930</v>
      </c>
      <c r="P1356" s="314">
        <v>514</v>
      </c>
      <c r="Q1356" s="314"/>
      <c r="R1356" s="314">
        <v>462930</v>
      </c>
      <c r="S1356" s="314">
        <v>0</v>
      </c>
      <c r="T1356" s="314" t="s">
        <v>1783</v>
      </c>
      <c r="U1356" s="320"/>
      <c r="W1356" s="320"/>
      <c r="X1356" s="320"/>
      <c r="Y1356" s="320"/>
    </row>
    <row r="1357" spans="1:25" x14ac:dyDescent="0.45">
      <c r="A1357" s="313">
        <v>14</v>
      </c>
      <c r="B1357" s="427" t="s">
        <v>1193</v>
      </c>
      <c r="C1357" s="425" t="s">
        <v>912</v>
      </c>
      <c r="D1357" s="314">
        <v>0</v>
      </c>
      <c r="E1357" s="314"/>
      <c r="F1357" s="314">
        <v>0</v>
      </c>
      <c r="G1357" s="314"/>
      <c r="H1357" s="314">
        <v>0</v>
      </c>
      <c r="I1357" s="314"/>
      <c r="J1357" s="314">
        <v>0</v>
      </c>
      <c r="K1357" s="314">
        <v>0</v>
      </c>
      <c r="L1357" s="314">
        <v>0</v>
      </c>
      <c r="M1357" s="314"/>
      <c r="N1357" s="314"/>
      <c r="O1357" s="314">
        <v>0</v>
      </c>
      <c r="P1357" s="314">
        <v>535</v>
      </c>
      <c r="Q1357" s="314"/>
      <c r="R1357" s="314">
        <v>0</v>
      </c>
      <c r="S1357" s="314">
        <v>0</v>
      </c>
      <c r="T1357" s="314" t="s">
        <v>1783</v>
      </c>
      <c r="U1357" s="320"/>
      <c r="W1357" s="320"/>
      <c r="X1357" s="320"/>
      <c r="Y1357" s="320"/>
    </row>
    <row r="1358" spans="1:25" x14ac:dyDescent="0.45">
      <c r="A1358" s="313">
        <v>15</v>
      </c>
      <c r="B1358" s="427" t="s">
        <v>1194</v>
      </c>
      <c r="C1358" s="425" t="s">
        <v>912</v>
      </c>
      <c r="D1358" s="314">
        <v>0</v>
      </c>
      <c r="E1358" s="314"/>
      <c r="F1358" s="314">
        <v>0</v>
      </c>
      <c r="G1358" s="314"/>
      <c r="H1358" s="314">
        <v>0</v>
      </c>
      <c r="I1358" s="314"/>
      <c r="J1358" s="314">
        <v>0</v>
      </c>
      <c r="K1358" s="314">
        <v>0</v>
      </c>
      <c r="L1358" s="314">
        <v>0</v>
      </c>
      <c r="M1358" s="314"/>
      <c r="N1358" s="314"/>
      <c r="O1358" s="314">
        <v>0</v>
      </c>
      <c r="P1358" s="314">
        <v>538</v>
      </c>
      <c r="Q1358" s="314"/>
      <c r="R1358" s="314">
        <v>0</v>
      </c>
      <c r="S1358" s="314">
        <v>0</v>
      </c>
      <c r="T1358" s="314" t="s">
        <v>1783</v>
      </c>
      <c r="U1358" s="320"/>
      <c r="W1358" s="320"/>
      <c r="X1358" s="320"/>
      <c r="Y1358" s="320"/>
    </row>
    <row r="1359" spans="1:25" x14ac:dyDescent="0.45">
      <c r="A1359" s="313">
        <v>16</v>
      </c>
      <c r="B1359" s="427" t="s">
        <v>1195</v>
      </c>
      <c r="C1359" s="425" t="s">
        <v>912</v>
      </c>
      <c r="D1359" s="314">
        <v>0</v>
      </c>
      <c r="E1359" s="314"/>
      <c r="F1359" s="314">
        <v>0</v>
      </c>
      <c r="G1359" s="314"/>
      <c r="H1359" s="314">
        <v>0</v>
      </c>
      <c r="I1359" s="314"/>
      <c r="J1359" s="314">
        <v>0</v>
      </c>
      <c r="K1359" s="314">
        <v>0</v>
      </c>
      <c r="L1359" s="314">
        <v>0</v>
      </c>
      <c r="M1359" s="314"/>
      <c r="N1359" s="314"/>
      <c r="O1359" s="314">
        <v>0</v>
      </c>
      <c r="P1359" s="314">
        <v>539</v>
      </c>
      <c r="Q1359" s="314"/>
      <c r="R1359" s="314">
        <v>0</v>
      </c>
      <c r="S1359" s="314">
        <v>0</v>
      </c>
      <c r="T1359" s="314" t="s">
        <v>1783</v>
      </c>
      <c r="U1359" s="320"/>
      <c r="W1359" s="320"/>
      <c r="X1359" s="320"/>
      <c r="Y1359" s="320"/>
    </row>
    <row r="1360" spans="1:25" x14ac:dyDescent="0.45">
      <c r="A1360" s="313">
        <v>17</v>
      </c>
      <c r="B1360" s="427" t="s">
        <v>1196</v>
      </c>
      <c r="C1360" s="425" t="s">
        <v>912</v>
      </c>
      <c r="D1360" s="314">
        <v>171053</v>
      </c>
      <c r="E1360" s="314"/>
      <c r="F1360" s="314">
        <v>160360</v>
      </c>
      <c r="G1360" s="314"/>
      <c r="H1360" s="314">
        <v>7313</v>
      </c>
      <c r="I1360" s="314"/>
      <c r="J1360" s="314">
        <v>3380</v>
      </c>
      <c r="K1360" s="314">
        <v>1714</v>
      </c>
      <c r="L1360" s="314">
        <v>1665</v>
      </c>
      <c r="M1360" s="314"/>
      <c r="N1360" s="314"/>
      <c r="O1360" s="314">
        <v>171053</v>
      </c>
      <c r="P1360" s="314">
        <v>541</v>
      </c>
      <c r="Q1360" s="314"/>
      <c r="R1360" s="314">
        <v>171053</v>
      </c>
      <c r="S1360" s="314">
        <v>0</v>
      </c>
      <c r="T1360" s="314" t="s">
        <v>1783</v>
      </c>
      <c r="U1360" s="320"/>
      <c r="W1360" s="320"/>
      <c r="X1360" s="320"/>
      <c r="Y1360" s="320"/>
    </row>
    <row r="1361" spans="1:25" x14ac:dyDescent="0.45">
      <c r="A1361" s="313">
        <v>18</v>
      </c>
      <c r="B1361" s="427" t="s">
        <v>1197</v>
      </c>
      <c r="C1361" s="425" t="s">
        <v>912</v>
      </c>
      <c r="D1361" s="314">
        <v>46279</v>
      </c>
      <c r="E1361" s="314"/>
      <c r="F1361" s="314">
        <v>43386</v>
      </c>
      <c r="G1361" s="314"/>
      <c r="H1361" s="314">
        <v>1979</v>
      </c>
      <c r="I1361" s="314"/>
      <c r="J1361" s="314">
        <v>914</v>
      </c>
      <c r="K1361" s="314">
        <v>464</v>
      </c>
      <c r="L1361" s="314">
        <v>451</v>
      </c>
      <c r="M1361" s="314"/>
      <c r="N1361" s="314"/>
      <c r="O1361" s="314">
        <v>46279</v>
      </c>
      <c r="P1361" s="314">
        <v>542</v>
      </c>
      <c r="Q1361" s="314"/>
      <c r="R1361" s="314">
        <v>46279</v>
      </c>
      <c r="S1361" s="314">
        <v>0</v>
      </c>
      <c r="T1361" s="314" t="s">
        <v>1783</v>
      </c>
      <c r="U1361" s="320"/>
      <c r="W1361" s="320"/>
      <c r="X1361" s="320"/>
      <c r="Y1361" s="320"/>
    </row>
    <row r="1362" spans="1:25" x14ac:dyDescent="0.45">
      <c r="A1362" s="313">
        <v>19</v>
      </c>
      <c r="B1362" s="427" t="s">
        <v>2216</v>
      </c>
      <c r="C1362" s="425" t="s">
        <v>912</v>
      </c>
      <c r="D1362" s="314">
        <v>972</v>
      </c>
      <c r="E1362" s="314"/>
      <c r="F1362" s="314">
        <v>911</v>
      </c>
      <c r="G1362" s="314"/>
      <c r="H1362" s="314">
        <v>42</v>
      </c>
      <c r="I1362" s="314"/>
      <c r="J1362" s="314">
        <v>19</v>
      </c>
      <c r="K1362" s="314">
        <v>10</v>
      </c>
      <c r="L1362" s="314">
        <v>9</v>
      </c>
      <c r="M1362" s="314"/>
      <c r="N1362" s="314"/>
      <c r="O1362" s="314">
        <v>972</v>
      </c>
      <c r="P1362" s="314">
        <v>543</v>
      </c>
      <c r="Q1362" s="314"/>
      <c r="R1362" s="314">
        <v>972</v>
      </c>
      <c r="S1362" s="314">
        <v>0</v>
      </c>
      <c r="T1362" s="314" t="s">
        <v>1783</v>
      </c>
      <c r="U1362" s="320"/>
      <c r="W1362" s="320"/>
      <c r="X1362" s="320"/>
      <c r="Y1362" s="320"/>
    </row>
    <row r="1363" spans="1:25" x14ac:dyDescent="0.45">
      <c r="A1363" s="313">
        <v>20</v>
      </c>
      <c r="B1363" s="427" t="s">
        <v>1198</v>
      </c>
      <c r="C1363" s="425" t="s">
        <v>912</v>
      </c>
      <c r="D1363" s="314">
        <v>24226</v>
      </c>
      <c r="E1363" s="314"/>
      <c r="F1363" s="314">
        <v>22712</v>
      </c>
      <c r="G1363" s="314"/>
      <c r="H1363" s="314">
        <v>1036</v>
      </c>
      <c r="I1363" s="314"/>
      <c r="J1363" s="314">
        <v>479</v>
      </c>
      <c r="K1363" s="314">
        <v>243</v>
      </c>
      <c r="L1363" s="314">
        <v>236</v>
      </c>
      <c r="M1363" s="314"/>
      <c r="N1363" s="314"/>
      <c r="O1363" s="314">
        <v>24226</v>
      </c>
      <c r="P1363" s="314">
        <v>544</v>
      </c>
      <c r="Q1363" s="314"/>
      <c r="R1363" s="314">
        <v>24226</v>
      </c>
      <c r="S1363" s="314">
        <v>0</v>
      </c>
      <c r="T1363" s="314" t="s">
        <v>1783</v>
      </c>
      <c r="U1363" s="320"/>
      <c r="W1363" s="320"/>
      <c r="X1363" s="320"/>
      <c r="Y1363" s="320"/>
    </row>
    <row r="1364" spans="1:25" x14ac:dyDescent="0.45">
      <c r="A1364" s="313">
        <v>21</v>
      </c>
      <c r="B1364" s="427" t="s">
        <v>1199</v>
      </c>
      <c r="C1364" s="425" t="s">
        <v>912</v>
      </c>
      <c r="D1364" s="314">
        <v>714</v>
      </c>
      <c r="E1364" s="314"/>
      <c r="F1364" s="314">
        <v>669</v>
      </c>
      <c r="G1364" s="314"/>
      <c r="H1364" s="314">
        <v>31</v>
      </c>
      <c r="I1364" s="314"/>
      <c r="J1364" s="314">
        <v>14</v>
      </c>
      <c r="K1364" s="314">
        <v>7</v>
      </c>
      <c r="L1364" s="314">
        <v>7</v>
      </c>
      <c r="M1364" s="314"/>
      <c r="N1364" s="314"/>
      <c r="O1364" s="314">
        <v>714</v>
      </c>
      <c r="P1364" s="314">
        <v>545</v>
      </c>
      <c r="Q1364" s="314"/>
      <c r="R1364" s="314">
        <v>714</v>
      </c>
      <c r="S1364" s="314">
        <v>0</v>
      </c>
      <c r="T1364" s="314" t="s">
        <v>1783</v>
      </c>
      <c r="U1364" s="320"/>
      <c r="W1364" s="320"/>
      <c r="X1364" s="320"/>
      <c r="Y1364" s="320"/>
    </row>
    <row r="1365" spans="1:25" x14ac:dyDescent="0.45">
      <c r="A1365" s="313">
        <v>22</v>
      </c>
      <c r="B1365" s="427" t="s">
        <v>1200</v>
      </c>
      <c r="C1365" s="425" t="s">
        <v>912</v>
      </c>
      <c r="D1365" s="314">
        <v>562721</v>
      </c>
      <c r="E1365" s="314"/>
      <c r="F1365" s="314">
        <v>527544</v>
      </c>
      <c r="G1365" s="314"/>
      <c r="H1365" s="314">
        <v>24058</v>
      </c>
      <c r="I1365" s="314"/>
      <c r="J1365" s="314">
        <v>11119</v>
      </c>
      <c r="K1365" s="314">
        <v>5640</v>
      </c>
      <c r="L1365" s="314">
        <v>5479</v>
      </c>
      <c r="M1365" s="314"/>
      <c r="N1365" s="314"/>
      <c r="O1365" s="314">
        <v>562721</v>
      </c>
      <c r="P1365" s="314">
        <v>546</v>
      </c>
      <c r="Q1365" s="314"/>
      <c r="R1365" s="314">
        <v>562721</v>
      </c>
      <c r="S1365" s="314">
        <v>0</v>
      </c>
      <c r="T1365" s="314" t="s">
        <v>1783</v>
      </c>
      <c r="U1365" s="320"/>
      <c r="W1365" s="320"/>
      <c r="X1365" s="320"/>
      <c r="Y1365" s="320"/>
    </row>
    <row r="1366" spans="1:25" x14ac:dyDescent="0.45">
      <c r="A1366" s="313">
        <v>23</v>
      </c>
      <c r="B1366" s="427" t="s">
        <v>1201</v>
      </c>
      <c r="C1366" s="425" t="s">
        <v>912</v>
      </c>
      <c r="D1366" s="314">
        <v>409208</v>
      </c>
      <c r="E1366" s="314"/>
      <c r="F1366" s="314">
        <v>383627</v>
      </c>
      <c r="G1366" s="314"/>
      <c r="H1366" s="314">
        <v>17495</v>
      </c>
      <c r="I1366" s="314"/>
      <c r="J1366" s="314">
        <v>8086</v>
      </c>
      <c r="K1366" s="314">
        <v>4101</v>
      </c>
      <c r="L1366" s="314">
        <v>3984</v>
      </c>
      <c r="M1366" s="314"/>
      <c r="N1366" s="314"/>
      <c r="O1366" s="314">
        <v>409208</v>
      </c>
      <c r="P1366" s="314">
        <v>548</v>
      </c>
      <c r="Q1366" s="314"/>
      <c r="R1366" s="314">
        <v>409208</v>
      </c>
      <c r="S1366" s="314">
        <v>0</v>
      </c>
      <c r="T1366" s="314" t="s">
        <v>1783</v>
      </c>
      <c r="U1366" s="320"/>
      <c r="W1366" s="320"/>
      <c r="X1366" s="320"/>
      <c r="Y1366" s="320"/>
    </row>
    <row r="1367" spans="1:25" x14ac:dyDescent="0.45">
      <c r="A1367" s="313">
        <v>24</v>
      </c>
      <c r="B1367" s="427" t="s">
        <v>1202</v>
      </c>
      <c r="C1367" s="425" t="s">
        <v>912</v>
      </c>
      <c r="D1367" s="314">
        <v>2941554</v>
      </c>
      <c r="E1367" s="314"/>
      <c r="F1367" s="314">
        <v>2757670</v>
      </c>
      <c r="G1367" s="314"/>
      <c r="H1367" s="314">
        <v>125761</v>
      </c>
      <c r="I1367" s="314"/>
      <c r="J1367" s="314">
        <v>58123</v>
      </c>
      <c r="K1367" s="314">
        <v>29483</v>
      </c>
      <c r="L1367" s="314">
        <v>28640</v>
      </c>
      <c r="M1367" s="314"/>
      <c r="N1367" s="314"/>
      <c r="O1367" s="314">
        <v>2941554</v>
      </c>
      <c r="P1367" s="314">
        <v>549</v>
      </c>
      <c r="Q1367" s="314"/>
      <c r="R1367" s="314">
        <v>2941554</v>
      </c>
      <c r="S1367" s="314">
        <v>0</v>
      </c>
      <c r="T1367" s="314" t="s">
        <v>1783</v>
      </c>
      <c r="U1367" s="320"/>
      <c r="W1367" s="320"/>
      <c r="X1367" s="320"/>
      <c r="Y1367" s="320"/>
    </row>
    <row r="1368" spans="1:25" x14ac:dyDescent="0.45">
      <c r="A1368" s="313">
        <v>25</v>
      </c>
      <c r="B1368" s="427" t="s">
        <v>1203</v>
      </c>
      <c r="C1368" s="425" t="s">
        <v>912</v>
      </c>
      <c r="D1368" s="314">
        <v>0</v>
      </c>
      <c r="E1368" s="314"/>
      <c r="F1368" s="314">
        <v>0</v>
      </c>
      <c r="G1368" s="314"/>
      <c r="H1368" s="314">
        <v>0</v>
      </c>
      <c r="I1368" s="314"/>
      <c r="J1368" s="314">
        <v>0</v>
      </c>
      <c r="K1368" s="314">
        <v>0</v>
      </c>
      <c r="L1368" s="314">
        <v>0</v>
      </c>
      <c r="M1368" s="314"/>
      <c r="N1368" s="314"/>
      <c r="O1368" s="314">
        <v>0</v>
      </c>
      <c r="P1368" s="314">
        <v>550</v>
      </c>
      <c r="Q1368" s="314"/>
      <c r="R1368" s="314">
        <v>0</v>
      </c>
      <c r="S1368" s="314">
        <v>0</v>
      </c>
      <c r="T1368" s="314" t="s">
        <v>1783</v>
      </c>
      <c r="U1368" s="320"/>
      <c r="W1368" s="320"/>
      <c r="X1368" s="320"/>
      <c r="Y1368" s="320"/>
    </row>
    <row r="1369" spans="1:25" x14ac:dyDescent="0.45">
      <c r="A1369" s="313">
        <v>26</v>
      </c>
      <c r="B1369" s="427" t="s">
        <v>1204</v>
      </c>
      <c r="C1369" s="425" t="s">
        <v>912</v>
      </c>
      <c r="D1369" s="314">
        <v>781276</v>
      </c>
      <c r="E1369" s="314"/>
      <c r="F1369" s="314">
        <v>732436</v>
      </c>
      <c r="G1369" s="314"/>
      <c r="H1369" s="314">
        <v>33402</v>
      </c>
      <c r="I1369" s="314"/>
      <c r="J1369" s="314">
        <v>15437</v>
      </c>
      <c r="K1369" s="314">
        <v>7831</v>
      </c>
      <c r="L1369" s="314">
        <v>7607</v>
      </c>
      <c r="M1369" s="314"/>
      <c r="N1369" s="314"/>
      <c r="O1369" s="314">
        <v>781276</v>
      </c>
      <c r="P1369" s="314">
        <v>551</v>
      </c>
      <c r="Q1369" s="314"/>
      <c r="R1369" s="314">
        <v>781276</v>
      </c>
      <c r="S1369" s="314">
        <v>0</v>
      </c>
      <c r="T1369" s="314" t="s">
        <v>1783</v>
      </c>
      <c r="U1369" s="320"/>
      <c r="W1369" s="320"/>
      <c r="X1369" s="320"/>
      <c r="Y1369" s="320"/>
    </row>
    <row r="1370" spans="1:25" x14ac:dyDescent="0.45">
      <c r="A1370" s="313">
        <v>27</v>
      </c>
      <c r="B1370" s="427" t="s">
        <v>1205</v>
      </c>
      <c r="C1370" s="425" t="s">
        <v>912</v>
      </c>
      <c r="D1370" s="314">
        <v>375394</v>
      </c>
      <c r="E1370" s="314"/>
      <c r="F1370" s="314">
        <v>351927</v>
      </c>
      <c r="G1370" s="314"/>
      <c r="H1370" s="314">
        <v>16049</v>
      </c>
      <c r="I1370" s="314"/>
      <c r="J1370" s="314">
        <v>7417</v>
      </c>
      <c r="K1370" s="314">
        <v>3763</v>
      </c>
      <c r="L1370" s="314">
        <v>3655</v>
      </c>
      <c r="M1370" s="314"/>
      <c r="N1370" s="314"/>
      <c r="O1370" s="314">
        <v>375394</v>
      </c>
      <c r="P1370" s="314">
        <v>552</v>
      </c>
      <c r="Q1370" s="314"/>
      <c r="R1370" s="314">
        <v>375394</v>
      </c>
      <c r="S1370" s="314">
        <v>0</v>
      </c>
      <c r="T1370" s="314" t="s">
        <v>1783</v>
      </c>
      <c r="U1370" s="320"/>
      <c r="W1370" s="320"/>
      <c r="X1370" s="320"/>
      <c r="Y1370" s="320"/>
    </row>
    <row r="1371" spans="1:25" x14ac:dyDescent="0.45">
      <c r="A1371" s="313">
        <v>28</v>
      </c>
      <c r="B1371" s="427" t="s">
        <v>1206</v>
      </c>
      <c r="C1371" s="425" t="s">
        <v>912</v>
      </c>
      <c r="D1371" s="314">
        <v>1362234</v>
      </c>
      <c r="E1371" s="314"/>
      <c r="F1371" s="314">
        <v>1277077</v>
      </c>
      <c r="G1371" s="314"/>
      <c r="H1371" s="314">
        <v>58240</v>
      </c>
      <c r="I1371" s="314"/>
      <c r="J1371" s="314">
        <v>26917</v>
      </c>
      <c r="K1371" s="314">
        <v>13654</v>
      </c>
      <c r="L1371" s="314">
        <v>13263</v>
      </c>
      <c r="M1371" s="314"/>
      <c r="N1371" s="314"/>
      <c r="O1371" s="314">
        <v>1362234</v>
      </c>
      <c r="P1371" s="314">
        <v>553</v>
      </c>
      <c r="Q1371" s="314"/>
      <c r="R1371" s="314">
        <v>1362234</v>
      </c>
      <c r="S1371" s="314">
        <v>0</v>
      </c>
      <c r="T1371" s="314" t="s">
        <v>1783</v>
      </c>
      <c r="U1371" s="320"/>
      <c r="W1371" s="320"/>
      <c r="X1371" s="320"/>
      <c r="Y1371" s="320"/>
    </row>
    <row r="1372" spans="1:25" x14ac:dyDescent="0.45">
      <c r="A1372" s="313">
        <v>29</v>
      </c>
      <c r="B1372" s="427" t="s">
        <v>1207</v>
      </c>
      <c r="C1372" s="425" t="s">
        <v>912</v>
      </c>
      <c r="D1372" s="314">
        <v>1372971</v>
      </c>
      <c r="E1372" s="314"/>
      <c r="F1372" s="314">
        <v>1287143</v>
      </c>
      <c r="G1372" s="314"/>
      <c r="H1372" s="314">
        <v>58699</v>
      </c>
      <c r="I1372" s="314"/>
      <c r="J1372" s="314">
        <v>27129</v>
      </c>
      <c r="K1372" s="314">
        <v>13761</v>
      </c>
      <c r="L1372" s="314">
        <v>13368</v>
      </c>
      <c r="M1372" s="314"/>
      <c r="N1372" s="314"/>
      <c r="O1372" s="314">
        <v>1372971</v>
      </c>
      <c r="P1372" s="314">
        <v>554</v>
      </c>
      <c r="Q1372" s="314"/>
      <c r="R1372" s="314">
        <v>1372971</v>
      </c>
      <c r="S1372" s="314">
        <v>0</v>
      </c>
      <c r="T1372" s="314" t="s">
        <v>1783</v>
      </c>
      <c r="U1372" s="320"/>
      <c r="W1372" s="320"/>
      <c r="X1372" s="320"/>
      <c r="Y1372" s="320"/>
    </row>
    <row r="1373" spans="1:25" x14ac:dyDescent="0.45">
      <c r="A1373" s="313">
        <v>30</v>
      </c>
      <c r="B1373" s="427" t="s">
        <v>1208</v>
      </c>
      <c r="C1373" s="425" t="s">
        <v>912</v>
      </c>
      <c r="D1373" s="314">
        <v>0</v>
      </c>
      <c r="E1373" s="314"/>
      <c r="F1373" s="314">
        <v>0</v>
      </c>
      <c r="G1373" s="314"/>
      <c r="H1373" s="314">
        <v>0</v>
      </c>
      <c r="I1373" s="314"/>
      <c r="J1373" s="314">
        <v>0</v>
      </c>
      <c r="K1373" s="314">
        <v>0</v>
      </c>
      <c r="L1373" s="314">
        <v>0</v>
      </c>
      <c r="M1373" s="314"/>
      <c r="N1373" s="314"/>
      <c r="O1373" s="314">
        <v>0</v>
      </c>
      <c r="P1373" s="314">
        <v>555</v>
      </c>
      <c r="Q1373" s="314"/>
      <c r="R1373" s="314">
        <v>0</v>
      </c>
      <c r="S1373" s="314">
        <v>0</v>
      </c>
      <c r="T1373" s="314" t="s">
        <v>1783</v>
      </c>
      <c r="U1373" s="320"/>
      <c r="W1373" s="320"/>
      <c r="X1373" s="320"/>
      <c r="Y1373" s="320"/>
    </row>
    <row r="1374" spans="1:25" x14ac:dyDescent="0.45">
      <c r="A1374" s="313">
        <v>31</v>
      </c>
      <c r="B1374" s="427" t="s">
        <v>1209</v>
      </c>
      <c r="C1374" s="425" t="s">
        <v>912</v>
      </c>
      <c r="D1374" s="314">
        <v>2414872</v>
      </c>
      <c r="E1374" s="314"/>
      <c r="F1374" s="314">
        <v>2263912</v>
      </c>
      <c r="G1374" s="314"/>
      <c r="H1374" s="314">
        <v>103244</v>
      </c>
      <c r="I1374" s="314"/>
      <c r="J1374" s="314">
        <v>47716</v>
      </c>
      <c r="K1374" s="314">
        <v>24204</v>
      </c>
      <c r="L1374" s="314">
        <v>23512</v>
      </c>
      <c r="M1374" s="314"/>
      <c r="N1374" s="314"/>
      <c r="O1374" s="314">
        <v>2414872</v>
      </c>
      <c r="P1374" s="314">
        <v>556</v>
      </c>
      <c r="Q1374" s="314"/>
      <c r="R1374" s="314">
        <v>2414872</v>
      </c>
      <c r="S1374" s="314">
        <v>0</v>
      </c>
      <c r="T1374" s="314" t="s">
        <v>1783</v>
      </c>
      <c r="U1374" s="320"/>
      <c r="W1374" s="320"/>
      <c r="X1374" s="320"/>
      <c r="Y1374" s="320"/>
    </row>
    <row r="1375" spans="1:25" x14ac:dyDescent="0.45">
      <c r="A1375" s="313">
        <v>32</v>
      </c>
      <c r="B1375" s="427" t="s">
        <v>1210</v>
      </c>
      <c r="C1375" s="425" t="s">
        <v>912</v>
      </c>
      <c r="D1375" s="314">
        <v>0</v>
      </c>
      <c r="E1375" s="314"/>
      <c r="F1375" s="314">
        <v>0</v>
      </c>
      <c r="G1375" s="314"/>
      <c r="H1375" s="314">
        <v>0</v>
      </c>
      <c r="I1375" s="314"/>
      <c r="J1375" s="314">
        <v>0</v>
      </c>
      <c r="K1375" s="314">
        <v>0</v>
      </c>
      <c r="L1375" s="314">
        <v>0</v>
      </c>
      <c r="M1375" s="314"/>
      <c r="N1375" s="314"/>
      <c r="O1375" s="314">
        <v>0</v>
      </c>
      <c r="P1375" s="314">
        <v>557</v>
      </c>
      <c r="Q1375" s="314"/>
      <c r="R1375" s="314">
        <v>0</v>
      </c>
      <c r="S1375" s="314">
        <v>0</v>
      </c>
      <c r="T1375" s="314" t="s">
        <v>1783</v>
      </c>
      <c r="U1375" s="320"/>
      <c r="W1375" s="320"/>
      <c r="X1375" s="320"/>
      <c r="Y1375" s="320"/>
    </row>
    <row r="1376" spans="1:25" x14ac:dyDescent="0.45">
      <c r="A1376" s="313"/>
      <c r="B1376" s="424"/>
      <c r="C1376" s="425"/>
      <c r="D1376" s="314"/>
      <c r="E1376" s="314"/>
      <c r="F1376" s="314"/>
      <c r="G1376" s="314"/>
      <c r="H1376" s="314"/>
      <c r="I1376" s="314"/>
      <c r="J1376" s="314"/>
      <c r="K1376" s="314"/>
      <c r="L1376" s="314"/>
      <c r="M1376" s="314"/>
      <c r="N1376" s="314"/>
      <c r="O1376" s="314"/>
      <c r="P1376" s="314"/>
      <c r="Q1376" s="314"/>
      <c r="R1376" s="314"/>
      <c r="S1376" s="314"/>
      <c r="T1376" s="314"/>
      <c r="U1376" s="320"/>
      <c r="W1376" s="320"/>
      <c r="X1376" s="320"/>
      <c r="Y1376" s="320"/>
    </row>
    <row r="1377" spans="1:25" x14ac:dyDescent="0.45">
      <c r="A1377" s="313">
        <v>33</v>
      </c>
      <c r="B1377" s="427" t="s">
        <v>1211</v>
      </c>
      <c r="C1377" s="425"/>
      <c r="D1377" s="314">
        <v>38743580</v>
      </c>
      <c r="E1377" s="314"/>
      <c r="F1377" s="314">
        <v>36321622</v>
      </c>
      <c r="G1377" s="314"/>
      <c r="H1377" s="314">
        <v>1656419</v>
      </c>
      <c r="I1377" s="314"/>
      <c r="J1377" s="314">
        <v>765539</v>
      </c>
      <c r="K1377" s="314">
        <v>388324</v>
      </c>
      <c r="L1377" s="314">
        <v>377215</v>
      </c>
      <c r="M1377" s="314"/>
      <c r="N1377" s="314"/>
      <c r="O1377" s="314"/>
      <c r="P1377" s="314"/>
      <c r="Q1377" s="314"/>
      <c r="R1377" s="314"/>
      <c r="S1377" s="314"/>
      <c r="T1377" s="314"/>
      <c r="U1377" s="320"/>
      <c r="W1377" s="320"/>
      <c r="X1377" s="320"/>
      <c r="Y1377" s="320"/>
    </row>
    <row r="1378" spans="1:25" x14ac:dyDescent="0.45">
      <c r="A1378" s="313"/>
      <c r="B1378" s="427"/>
      <c r="C1378" s="425"/>
      <c r="D1378" s="314"/>
      <c r="E1378" s="314"/>
      <c r="F1378" s="314"/>
      <c r="G1378" s="314"/>
      <c r="H1378" s="314"/>
      <c r="I1378" s="314"/>
      <c r="J1378" s="314"/>
      <c r="K1378" s="314"/>
      <c r="L1378" s="314"/>
      <c r="M1378" s="314"/>
      <c r="N1378" s="314"/>
      <c r="O1378" s="314"/>
      <c r="P1378" s="314"/>
      <c r="Q1378" s="314"/>
      <c r="R1378" s="314"/>
      <c r="S1378" s="314"/>
      <c r="T1378" s="314"/>
      <c r="U1378" s="320"/>
      <c r="W1378" s="320"/>
      <c r="X1378" s="320"/>
      <c r="Y1378" s="320"/>
    </row>
    <row r="1379" spans="1:25" x14ac:dyDescent="0.45">
      <c r="A1379" s="313">
        <v>34</v>
      </c>
      <c r="B1379" s="424" t="s">
        <v>1212</v>
      </c>
      <c r="C1379" s="425"/>
      <c r="D1379" s="314">
        <v>65598871</v>
      </c>
      <c r="E1379" s="314"/>
      <c r="F1379" s="314">
        <v>61614625</v>
      </c>
      <c r="G1379" s="314"/>
      <c r="H1379" s="314">
        <v>2672177</v>
      </c>
      <c r="I1379" s="314"/>
      <c r="J1379" s="314">
        <v>1312069</v>
      </c>
      <c r="K1379" s="314">
        <v>668844</v>
      </c>
      <c r="L1379" s="314">
        <v>643225</v>
      </c>
      <c r="M1379" s="314"/>
      <c r="N1379" s="314"/>
      <c r="O1379" s="314"/>
      <c r="P1379" s="314"/>
      <c r="Q1379" s="314"/>
      <c r="R1379" s="314"/>
      <c r="S1379" s="314"/>
      <c r="T1379" s="314"/>
      <c r="U1379" s="320"/>
      <c r="W1379" s="320"/>
      <c r="X1379" s="320"/>
      <c r="Y1379" s="320"/>
    </row>
    <row r="1380" spans="1:25" x14ac:dyDescent="0.45">
      <c r="A1380" s="313"/>
      <c r="B1380" s="424"/>
      <c r="C1380" s="425"/>
      <c r="D1380" s="314"/>
      <c r="E1380" s="314"/>
      <c r="F1380" s="314"/>
      <c r="G1380" s="314"/>
      <c r="H1380" s="314"/>
      <c r="I1380" s="314"/>
      <c r="J1380" s="314"/>
      <c r="K1380" s="314"/>
      <c r="L1380" s="314"/>
      <c r="M1380" s="314"/>
      <c r="N1380" s="314"/>
      <c r="O1380" s="314"/>
      <c r="P1380" s="314"/>
      <c r="Q1380" s="314"/>
      <c r="R1380" s="314"/>
      <c r="S1380" s="314"/>
      <c r="T1380" s="314"/>
      <c r="U1380" s="320"/>
      <c r="W1380" s="320"/>
      <c r="X1380" s="320"/>
      <c r="Y1380" s="320"/>
    </row>
    <row r="1381" spans="1:25" x14ac:dyDescent="0.45">
      <c r="A1381" s="313"/>
      <c r="B1381" s="424"/>
      <c r="C1381" s="425"/>
      <c r="D1381" s="314"/>
      <c r="E1381" s="314"/>
      <c r="F1381" s="314"/>
      <c r="G1381" s="314"/>
      <c r="H1381" s="314"/>
      <c r="I1381" s="314"/>
      <c r="J1381" s="314"/>
      <c r="K1381" s="314"/>
      <c r="L1381" s="314"/>
      <c r="M1381" s="314"/>
      <c r="N1381" s="314"/>
      <c r="O1381" s="314"/>
      <c r="P1381" s="314"/>
      <c r="Q1381" s="314"/>
      <c r="R1381" s="314"/>
      <c r="S1381" s="314"/>
      <c r="T1381" s="314"/>
      <c r="U1381" s="320"/>
      <c r="W1381" s="320"/>
      <c r="X1381" s="320"/>
      <c r="Y1381" s="320"/>
    </row>
    <row r="1382" spans="1:25" x14ac:dyDescent="0.45">
      <c r="A1382" s="313"/>
      <c r="B1382" s="424"/>
      <c r="C1382" s="425"/>
      <c r="D1382" s="314"/>
      <c r="E1382" s="314"/>
      <c r="F1382" s="314"/>
      <c r="G1382" s="314"/>
      <c r="H1382" s="314"/>
      <c r="I1382" s="314"/>
      <c r="J1382" s="314"/>
      <c r="K1382" s="314"/>
      <c r="L1382" s="314"/>
      <c r="M1382" s="314"/>
      <c r="N1382" s="314"/>
      <c r="O1382" s="314"/>
      <c r="P1382" s="314"/>
      <c r="Q1382" s="314"/>
      <c r="R1382" s="314"/>
      <c r="S1382" s="314"/>
      <c r="T1382" s="314"/>
      <c r="U1382" s="320"/>
      <c r="W1382" s="320"/>
      <c r="X1382" s="320"/>
      <c r="Y1382" s="320"/>
    </row>
    <row r="1383" spans="1:25" x14ac:dyDescent="0.45">
      <c r="A1383" s="313"/>
      <c r="B1383" s="424"/>
      <c r="C1383" s="425"/>
      <c r="D1383" s="314"/>
      <c r="E1383" s="314"/>
      <c r="F1383" s="314"/>
      <c r="G1383" s="314"/>
      <c r="H1383" s="314"/>
      <c r="I1383" s="314"/>
      <c r="J1383" s="314"/>
      <c r="K1383" s="314"/>
      <c r="L1383" s="314"/>
      <c r="M1383" s="314"/>
      <c r="N1383" s="314"/>
      <c r="O1383" s="314"/>
      <c r="P1383" s="314"/>
      <c r="Q1383" s="314"/>
      <c r="R1383" s="314"/>
      <c r="S1383" s="314"/>
      <c r="T1383" s="314"/>
      <c r="U1383" s="320"/>
      <c r="W1383" s="320"/>
      <c r="X1383" s="320"/>
      <c r="Y1383" s="320"/>
    </row>
    <row r="1384" spans="1:25" x14ac:dyDescent="0.45">
      <c r="A1384" s="313"/>
      <c r="B1384" s="424" t="s">
        <v>1213</v>
      </c>
      <c r="C1384" s="425"/>
      <c r="D1384" s="314"/>
      <c r="E1384" s="314"/>
      <c r="F1384" s="314"/>
      <c r="G1384" s="314"/>
      <c r="H1384" s="314"/>
      <c r="I1384" s="314"/>
      <c r="J1384" s="314"/>
      <c r="K1384" s="314"/>
      <c r="L1384" s="314"/>
      <c r="M1384" s="314"/>
      <c r="N1384" s="314"/>
      <c r="O1384" s="314"/>
      <c r="P1384" s="314"/>
      <c r="Q1384" s="314"/>
      <c r="R1384" s="314"/>
      <c r="S1384" s="314"/>
      <c r="T1384" s="314"/>
      <c r="U1384" s="320"/>
      <c r="W1384" s="320"/>
      <c r="X1384" s="320"/>
      <c r="Y1384" s="320"/>
    </row>
    <row r="1385" spans="1:25" x14ac:dyDescent="0.45">
      <c r="A1385" s="313">
        <v>1</v>
      </c>
      <c r="B1385" s="424" t="s">
        <v>1214</v>
      </c>
      <c r="C1385" s="425" t="s">
        <v>2134</v>
      </c>
      <c r="D1385" s="314">
        <v>1782189</v>
      </c>
      <c r="E1385" s="314"/>
      <c r="F1385" s="314">
        <v>1591418</v>
      </c>
      <c r="G1385" s="314"/>
      <c r="H1385" s="314">
        <v>190771</v>
      </c>
      <c r="I1385" s="314"/>
      <c r="J1385" s="314">
        <v>0</v>
      </c>
      <c r="K1385" s="314">
        <v>0</v>
      </c>
      <c r="L1385" s="314">
        <v>0</v>
      </c>
      <c r="M1385" s="314"/>
      <c r="N1385" s="314"/>
      <c r="O1385" s="314">
        <v>1782189</v>
      </c>
      <c r="P1385" s="314">
        <v>560</v>
      </c>
      <c r="Q1385" s="314"/>
      <c r="R1385" s="314">
        <v>1782189</v>
      </c>
      <c r="S1385" s="314">
        <v>0</v>
      </c>
      <c r="T1385" s="314" t="s">
        <v>1783</v>
      </c>
      <c r="U1385" s="320"/>
      <c r="W1385" s="320"/>
      <c r="X1385" s="320"/>
      <c r="Y1385" s="320"/>
    </row>
    <row r="1386" spans="1:25" x14ac:dyDescent="0.45">
      <c r="A1386" s="313">
        <v>2</v>
      </c>
      <c r="B1386" s="424" t="s">
        <v>1215</v>
      </c>
      <c r="C1386" s="425" t="s">
        <v>2134</v>
      </c>
      <c r="D1386" s="314">
        <v>4580243</v>
      </c>
      <c r="E1386" s="314"/>
      <c r="F1386" s="314">
        <v>4089959</v>
      </c>
      <c r="G1386" s="314"/>
      <c r="H1386" s="314">
        <v>490284</v>
      </c>
      <c r="I1386" s="314"/>
      <c r="J1386" s="314">
        <v>0</v>
      </c>
      <c r="K1386" s="314">
        <v>0</v>
      </c>
      <c r="L1386" s="314">
        <v>0</v>
      </c>
      <c r="M1386" s="314"/>
      <c r="N1386" s="314"/>
      <c r="O1386" s="314">
        <v>4580243</v>
      </c>
      <c r="P1386" s="314">
        <v>561</v>
      </c>
      <c r="Q1386" s="314"/>
      <c r="R1386" s="314">
        <v>4580243</v>
      </c>
      <c r="S1386" s="314">
        <v>0</v>
      </c>
      <c r="T1386" s="314" t="s">
        <v>1783</v>
      </c>
      <c r="U1386" s="320"/>
      <c r="W1386" s="320"/>
      <c r="X1386" s="320"/>
      <c r="Y1386" s="320"/>
    </row>
    <row r="1387" spans="1:25" x14ac:dyDescent="0.45">
      <c r="A1387" s="313">
        <v>3</v>
      </c>
      <c r="B1387" s="424" t="s">
        <v>1216</v>
      </c>
      <c r="C1387" s="425" t="s">
        <v>2134</v>
      </c>
      <c r="D1387" s="314">
        <v>474856</v>
      </c>
      <c r="E1387" s="314"/>
      <c r="F1387" s="314">
        <v>424026</v>
      </c>
      <c r="G1387" s="314"/>
      <c r="H1387" s="314">
        <v>50830</v>
      </c>
      <c r="I1387" s="314"/>
      <c r="J1387" s="314">
        <v>0</v>
      </c>
      <c r="K1387" s="314">
        <v>0</v>
      </c>
      <c r="L1387" s="314">
        <v>0</v>
      </c>
      <c r="M1387" s="314"/>
      <c r="N1387" s="314"/>
      <c r="O1387" s="314">
        <v>474856</v>
      </c>
      <c r="P1387" s="314">
        <v>562</v>
      </c>
      <c r="Q1387" s="314"/>
      <c r="R1387" s="314">
        <v>474856</v>
      </c>
      <c r="S1387" s="314">
        <v>0</v>
      </c>
      <c r="T1387" s="314" t="s">
        <v>1783</v>
      </c>
      <c r="U1387" s="320"/>
      <c r="W1387" s="320"/>
      <c r="X1387" s="320"/>
      <c r="Y1387" s="320"/>
    </row>
    <row r="1388" spans="1:25" x14ac:dyDescent="0.45">
      <c r="A1388" s="313">
        <v>4</v>
      </c>
      <c r="B1388" s="424" t="s">
        <v>1217</v>
      </c>
      <c r="C1388" s="425" t="s">
        <v>2134</v>
      </c>
      <c r="D1388" s="314">
        <v>51502</v>
      </c>
      <c r="E1388" s="314"/>
      <c r="F1388" s="314">
        <v>45989</v>
      </c>
      <c r="G1388" s="314"/>
      <c r="H1388" s="314">
        <v>5513</v>
      </c>
      <c r="I1388" s="314"/>
      <c r="J1388" s="314">
        <v>0</v>
      </c>
      <c r="K1388" s="314">
        <v>0</v>
      </c>
      <c r="L1388" s="314">
        <v>0</v>
      </c>
      <c r="M1388" s="314"/>
      <c r="N1388" s="314"/>
      <c r="O1388" s="314">
        <v>51502</v>
      </c>
      <c r="P1388" s="314">
        <v>563</v>
      </c>
      <c r="Q1388" s="314"/>
      <c r="R1388" s="314">
        <v>51502</v>
      </c>
      <c r="S1388" s="314">
        <v>0</v>
      </c>
      <c r="T1388" s="314" t="s">
        <v>1783</v>
      </c>
      <c r="U1388" s="320"/>
      <c r="W1388" s="320"/>
      <c r="X1388" s="320"/>
      <c r="Y1388" s="320"/>
    </row>
    <row r="1389" spans="1:25" x14ac:dyDescent="0.45">
      <c r="A1389" s="313">
        <v>5</v>
      </c>
      <c r="B1389" s="424" t="s">
        <v>1218</v>
      </c>
      <c r="C1389" s="425" t="s">
        <v>2134</v>
      </c>
      <c r="D1389" s="314">
        <v>0</v>
      </c>
      <c r="E1389" s="314"/>
      <c r="F1389" s="314">
        <v>0</v>
      </c>
      <c r="G1389" s="314"/>
      <c r="H1389" s="314">
        <v>0</v>
      </c>
      <c r="I1389" s="314"/>
      <c r="J1389" s="314">
        <v>0</v>
      </c>
      <c r="K1389" s="314">
        <v>0</v>
      </c>
      <c r="L1389" s="314">
        <v>0</v>
      </c>
      <c r="M1389" s="314"/>
      <c r="N1389" s="314"/>
      <c r="O1389" s="314">
        <v>0</v>
      </c>
      <c r="P1389" s="314">
        <v>565</v>
      </c>
      <c r="Q1389" s="314"/>
      <c r="R1389" s="314">
        <v>0</v>
      </c>
      <c r="S1389" s="314">
        <v>0</v>
      </c>
      <c r="T1389" s="314" t="s">
        <v>1783</v>
      </c>
      <c r="U1389" s="320"/>
      <c r="W1389" s="320"/>
      <c r="X1389" s="320"/>
      <c r="Y1389" s="320"/>
    </row>
    <row r="1390" spans="1:25" x14ac:dyDescent="0.45">
      <c r="A1390" s="313">
        <v>6</v>
      </c>
      <c r="B1390" s="424" t="s">
        <v>1219</v>
      </c>
      <c r="C1390" s="425" t="s">
        <v>2134</v>
      </c>
      <c r="D1390" s="314">
        <v>441175</v>
      </c>
      <c r="E1390" s="314"/>
      <c r="F1390" s="314">
        <v>393950</v>
      </c>
      <c r="G1390" s="314"/>
      <c r="H1390" s="314">
        <v>47225</v>
      </c>
      <c r="I1390" s="314"/>
      <c r="J1390" s="314">
        <v>0</v>
      </c>
      <c r="K1390" s="314">
        <v>0</v>
      </c>
      <c r="L1390" s="314">
        <v>0</v>
      </c>
      <c r="M1390" s="314"/>
      <c r="N1390" s="314"/>
      <c r="O1390" s="314">
        <v>441175</v>
      </c>
      <c r="P1390" s="314">
        <v>566</v>
      </c>
      <c r="Q1390" s="314"/>
      <c r="R1390" s="314">
        <v>441175</v>
      </c>
      <c r="S1390" s="314">
        <v>0</v>
      </c>
      <c r="T1390" s="314" t="s">
        <v>1783</v>
      </c>
      <c r="U1390" s="320"/>
      <c r="W1390" s="320"/>
      <c r="X1390" s="320"/>
      <c r="Y1390" s="320"/>
    </row>
    <row r="1391" spans="1:25" x14ac:dyDescent="0.45">
      <c r="A1391" s="313">
        <v>7</v>
      </c>
      <c r="B1391" s="424" t="s">
        <v>1220</v>
      </c>
      <c r="C1391" s="425" t="s">
        <v>2134</v>
      </c>
      <c r="D1391" s="314">
        <v>0</v>
      </c>
      <c r="E1391" s="314"/>
      <c r="F1391" s="314">
        <v>0</v>
      </c>
      <c r="G1391" s="314"/>
      <c r="H1391" s="314">
        <v>0</v>
      </c>
      <c r="I1391" s="314"/>
      <c r="J1391" s="314">
        <v>0</v>
      </c>
      <c r="K1391" s="314">
        <v>0</v>
      </c>
      <c r="L1391" s="314">
        <v>0</v>
      </c>
      <c r="M1391" s="314"/>
      <c r="N1391" s="314"/>
      <c r="O1391" s="314">
        <v>0</v>
      </c>
      <c r="P1391" s="314">
        <v>567</v>
      </c>
      <c r="Q1391" s="314"/>
      <c r="R1391" s="314">
        <v>0</v>
      </c>
      <c r="S1391" s="314">
        <v>0</v>
      </c>
      <c r="T1391" s="314" t="s">
        <v>1783</v>
      </c>
      <c r="U1391" s="320"/>
      <c r="W1391" s="320"/>
      <c r="X1391" s="320"/>
      <c r="Y1391" s="320"/>
    </row>
    <row r="1392" spans="1:25" x14ac:dyDescent="0.45">
      <c r="A1392" s="45">
        <v>8</v>
      </c>
      <c r="B1392" s="45" t="s">
        <v>1221</v>
      </c>
      <c r="C1392" s="425" t="s">
        <v>2134</v>
      </c>
      <c r="D1392" s="314">
        <v>0</v>
      </c>
      <c r="E1392" s="314"/>
      <c r="F1392" s="314">
        <v>0</v>
      </c>
      <c r="G1392" s="314"/>
      <c r="H1392" s="314">
        <v>0</v>
      </c>
      <c r="I1392" s="314"/>
      <c r="J1392" s="314">
        <v>0</v>
      </c>
      <c r="K1392" s="314">
        <v>0</v>
      </c>
      <c r="L1392" s="314">
        <v>0</v>
      </c>
      <c r="M1392" s="314"/>
      <c r="N1392" s="314"/>
      <c r="O1392" s="314">
        <v>0</v>
      </c>
      <c r="P1392" s="314">
        <v>569</v>
      </c>
      <c r="Q1392" s="314"/>
      <c r="R1392" s="314">
        <v>0</v>
      </c>
      <c r="S1392" s="314">
        <v>0</v>
      </c>
      <c r="T1392" s="314" t="s">
        <v>1783</v>
      </c>
      <c r="U1392" s="320"/>
      <c r="W1392" s="320"/>
      <c r="X1392" s="320"/>
      <c r="Y1392" s="320"/>
    </row>
    <row r="1393" spans="1:25" x14ac:dyDescent="0.45">
      <c r="A1393" s="45">
        <v>9</v>
      </c>
      <c r="B1393" s="45" t="s">
        <v>1222</v>
      </c>
      <c r="C1393" s="425" t="s">
        <v>2134</v>
      </c>
      <c r="D1393" s="314">
        <v>1261739</v>
      </c>
      <c r="E1393" s="314"/>
      <c r="F1393" s="314">
        <v>1126679</v>
      </c>
      <c r="G1393" s="314"/>
      <c r="H1393" s="314">
        <v>135060</v>
      </c>
      <c r="I1393" s="314"/>
      <c r="J1393" s="314">
        <v>0</v>
      </c>
      <c r="K1393" s="314">
        <v>0</v>
      </c>
      <c r="L1393" s="314">
        <v>0</v>
      </c>
      <c r="M1393" s="314"/>
      <c r="N1393" s="314"/>
      <c r="O1393" s="314">
        <v>1261739</v>
      </c>
      <c r="P1393" s="314">
        <v>570</v>
      </c>
      <c r="Q1393" s="314"/>
      <c r="R1393" s="314">
        <v>1261739</v>
      </c>
      <c r="S1393" s="314">
        <v>0</v>
      </c>
      <c r="T1393" s="314" t="s">
        <v>1783</v>
      </c>
      <c r="W1393" s="320"/>
      <c r="X1393" s="320"/>
      <c r="Y1393" s="320"/>
    </row>
    <row r="1394" spans="1:25" x14ac:dyDescent="0.45">
      <c r="A1394" s="45">
        <v>10</v>
      </c>
      <c r="B1394" s="45" t="s">
        <v>1223</v>
      </c>
      <c r="C1394" s="425" t="s">
        <v>2134</v>
      </c>
      <c r="D1394" s="314">
        <v>346156</v>
      </c>
      <c r="E1394" s="314"/>
      <c r="F1394" s="314">
        <v>309102</v>
      </c>
      <c r="G1394" s="314"/>
      <c r="H1394" s="314">
        <v>37054</v>
      </c>
      <c r="I1394" s="314"/>
      <c r="J1394" s="314">
        <v>0</v>
      </c>
      <c r="K1394" s="314">
        <v>0</v>
      </c>
      <c r="L1394" s="314">
        <v>0</v>
      </c>
      <c r="M1394" s="314"/>
      <c r="N1394" s="314"/>
      <c r="O1394" s="314">
        <v>346156</v>
      </c>
      <c r="P1394" s="314">
        <v>571</v>
      </c>
      <c r="Q1394" s="314"/>
      <c r="R1394" s="314">
        <v>346156</v>
      </c>
      <c r="S1394" s="314">
        <v>0</v>
      </c>
      <c r="T1394" s="314" t="s">
        <v>1783</v>
      </c>
      <c r="W1394" s="320"/>
      <c r="X1394" s="320"/>
      <c r="Y1394" s="320"/>
    </row>
    <row r="1395" spans="1:25" x14ac:dyDescent="0.45">
      <c r="A1395" s="45">
        <v>11</v>
      </c>
      <c r="B1395" s="45" t="s">
        <v>1224</v>
      </c>
      <c r="C1395" s="425" t="s">
        <v>2134</v>
      </c>
      <c r="D1395" s="314">
        <v>0</v>
      </c>
      <c r="E1395" s="314"/>
      <c r="F1395" s="314">
        <v>0</v>
      </c>
      <c r="G1395" s="314"/>
      <c r="H1395" s="314">
        <v>0</v>
      </c>
      <c r="I1395" s="314"/>
      <c r="J1395" s="314">
        <v>0</v>
      </c>
      <c r="K1395" s="314">
        <v>0</v>
      </c>
      <c r="L1395" s="314">
        <v>0</v>
      </c>
      <c r="M1395" s="314"/>
      <c r="N1395" s="314"/>
      <c r="O1395" s="314">
        <v>0</v>
      </c>
      <c r="P1395" s="314">
        <v>572</v>
      </c>
      <c r="Q1395" s="314"/>
      <c r="R1395" s="314">
        <v>0</v>
      </c>
      <c r="S1395" s="314">
        <v>0</v>
      </c>
      <c r="T1395" s="314" t="s">
        <v>1783</v>
      </c>
      <c r="U1395" s="320"/>
      <c r="W1395" s="320"/>
      <c r="X1395" s="320"/>
      <c r="Y1395" s="320"/>
    </row>
    <row r="1396" spans="1:25" x14ac:dyDescent="0.45">
      <c r="A1396" s="45">
        <v>12</v>
      </c>
      <c r="B1396" s="45" t="s">
        <v>1225</v>
      </c>
      <c r="C1396" s="425" t="s">
        <v>2134</v>
      </c>
      <c r="D1396" s="314">
        <v>0</v>
      </c>
      <c r="E1396" s="314"/>
      <c r="F1396" s="314">
        <v>0</v>
      </c>
      <c r="G1396" s="314"/>
      <c r="H1396" s="314">
        <v>0</v>
      </c>
      <c r="I1396" s="314"/>
      <c r="J1396" s="314">
        <v>0</v>
      </c>
      <c r="K1396" s="314">
        <v>0</v>
      </c>
      <c r="L1396" s="314">
        <v>0</v>
      </c>
      <c r="M1396" s="314"/>
      <c r="N1396" s="314"/>
      <c r="O1396" s="314">
        <v>0</v>
      </c>
      <c r="P1396" s="314">
        <v>573</v>
      </c>
      <c r="Q1396" s="314"/>
      <c r="R1396" s="314">
        <v>0</v>
      </c>
      <c r="S1396" s="314">
        <v>0</v>
      </c>
      <c r="T1396" s="314" t="s">
        <v>1783</v>
      </c>
      <c r="U1396" s="320"/>
      <c r="W1396" s="320"/>
      <c r="X1396" s="320"/>
      <c r="Y1396" s="320"/>
    </row>
    <row r="1397" spans="1:25" x14ac:dyDescent="0.45">
      <c r="A1397" s="45"/>
      <c r="B1397" s="45"/>
      <c r="C1397" s="438"/>
      <c r="D1397" s="314"/>
      <c r="E1397" s="314"/>
      <c r="F1397" s="314"/>
      <c r="G1397" s="314"/>
      <c r="H1397" s="314"/>
      <c r="I1397" s="314"/>
      <c r="J1397" s="314"/>
      <c r="K1397" s="314"/>
      <c r="L1397" s="314"/>
      <c r="M1397" s="314"/>
      <c r="N1397" s="314"/>
      <c r="O1397" s="314"/>
      <c r="P1397" s="314"/>
      <c r="Q1397" s="314"/>
      <c r="R1397" s="314"/>
      <c r="S1397" s="314"/>
      <c r="T1397" s="314"/>
      <c r="U1397" s="320"/>
      <c r="W1397" s="320"/>
      <c r="X1397" s="320"/>
      <c r="Y1397" s="320"/>
    </row>
    <row r="1398" spans="1:25" x14ac:dyDescent="0.45">
      <c r="A1398" s="313">
        <v>13</v>
      </c>
      <c r="B1398" s="424" t="s">
        <v>1226</v>
      </c>
      <c r="C1398" s="425" t="s">
        <v>2134</v>
      </c>
      <c r="D1398" s="314">
        <v>8937860</v>
      </c>
      <c r="E1398" s="314"/>
      <c r="F1398" s="314">
        <v>7981124</v>
      </c>
      <c r="G1398" s="314"/>
      <c r="H1398" s="314">
        <v>956736</v>
      </c>
      <c r="I1398" s="314"/>
      <c r="J1398" s="314">
        <v>0</v>
      </c>
      <c r="K1398" s="314">
        <v>0</v>
      </c>
      <c r="L1398" s="314">
        <v>0</v>
      </c>
      <c r="M1398" s="314"/>
      <c r="N1398" s="314"/>
      <c r="O1398" s="314"/>
      <c r="P1398" s="314"/>
      <c r="Q1398" s="314"/>
      <c r="R1398" s="314"/>
      <c r="S1398" s="314"/>
      <c r="T1398" s="314"/>
      <c r="U1398" s="320"/>
      <c r="W1398" s="320"/>
      <c r="X1398" s="320"/>
      <c r="Y1398" s="320"/>
    </row>
    <row r="1399" spans="1:25" x14ac:dyDescent="0.45">
      <c r="A1399" s="45"/>
      <c r="B1399" s="45"/>
      <c r="C1399" s="312"/>
      <c r="D1399" s="314"/>
      <c r="E1399" s="314"/>
      <c r="F1399" s="314"/>
      <c r="G1399" s="314"/>
      <c r="H1399" s="314"/>
      <c r="I1399" s="314"/>
      <c r="J1399" s="314"/>
      <c r="K1399" s="314"/>
      <c r="L1399" s="314"/>
      <c r="M1399" s="314"/>
      <c r="N1399" s="314"/>
      <c r="O1399" s="314"/>
      <c r="P1399" s="314"/>
      <c r="Q1399" s="314"/>
      <c r="R1399" s="314"/>
      <c r="S1399" s="314"/>
      <c r="T1399" s="314"/>
      <c r="W1399" s="320"/>
    </row>
    <row r="1400" spans="1:25" x14ac:dyDescent="0.45">
      <c r="A1400" s="45"/>
      <c r="B1400" s="45" t="s">
        <v>2478</v>
      </c>
      <c r="C1400" s="312"/>
      <c r="D1400" s="314"/>
      <c r="E1400" s="314"/>
      <c r="F1400" s="314"/>
      <c r="G1400" s="314"/>
      <c r="H1400" s="314"/>
      <c r="I1400" s="314"/>
      <c r="J1400" s="314"/>
      <c r="K1400" s="314"/>
      <c r="L1400" s="314"/>
      <c r="M1400" s="314"/>
      <c r="N1400" s="314"/>
      <c r="O1400" s="314"/>
      <c r="P1400" s="314"/>
      <c r="Q1400" s="314"/>
      <c r="R1400" s="314"/>
      <c r="S1400" s="314"/>
      <c r="T1400" s="314"/>
      <c r="U1400" s="320"/>
      <c r="W1400" s="320"/>
      <c r="X1400" s="320"/>
      <c r="Y1400" s="320"/>
    </row>
    <row r="1401" spans="1:25" x14ac:dyDescent="0.45">
      <c r="A1401" s="45">
        <v>1</v>
      </c>
      <c r="B1401" s="45" t="s">
        <v>1227</v>
      </c>
      <c r="C1401" s="312" t="s">
        <v>1442</v>
      </c>
      <c r="D1401" s="314">
        <v>1332697</v>
      </c>
      <c r="E1401" s="314"/>
      <c r="F1401" s="314">
        <v>1268655</v>
      </c>
      <c r="G1401" s="314"/>
      <c r="H1401" s="314">
        <v>61992</v>
      </c>
      <c r="I1401" s="314"/>
      <c r="J1401" s="314">
        <v>2050</v>
      </c>
      <c r="K1401" s="314">
        <v>2034</v>
      </c>
      <c r="L1401" s="314">
        <v>16</v>
      </c>
      <c r="M1401" s="314"/>
      <c r="N1401" s="314"/>
      <c r="O1401" s="314">
        <v>1332697</v>
      </c>
      <c r="P1401" s="314">
        <v>580</v>
      </c>
      <c r="Q1401" s="314"/>
      <c r="R1401" s="314">
        <v>1332697</v>
      </c>
      <c r="S1401" s="314">
        <v>0</v>
      </c>
      <c r="T1401" s="314" t="s">
        <v>1783</v>
      </c>
      <c r="U1401" s="320"/>
      <c r="W1401" s="320"/>
      <c r="X1401" s="320"/>
      <c r="Y1401" s="320"/>
    </row>
    <row r="1402" spans="1:25" x14ac:dyDescent="0.45">
      <c r="A1402" s="45">
        <v>2</v>
      </c>
      <c r="B1402" s="433" t="s">
        <v>1228</v>
      </c>
      <c r="C1402" s="312" t="s">
        <v>1442</v>
      </c>
      <c r="D1402" s="314">
        <v>352767</v>
      </c>
      <c r="E1402" s="314"/>
      <c r="F1402" s="314">
        <v>335815</v>
      </c>
      <c r="G1402" s="314"/>
      <c r="H1402" s="314">
        <v>16409</v>
      </c>
      <c r="I1402" s="314"/>
      <c r="J1402" s="314">
        <v>543</v>
      </c>
      <c r="K1402" s="314">
        <v>539</v>
      </c>
      <c r="L1402" s="314">
        <v>4</v>
      </c>
      <c r="M1402" s="314"/>
      <c r="N1402" s="314"/>
      <c r="O1402" s="314">
        <v>352767</v>
      </c>
      <c r="P1402" s="314">
        <v>581</v>
      </c>
      <c r="Q1402" s="314"/>
      <c r="R1402" s="314">
        <v>352767</v>
      </c>
      <c r="S1402" s="314">
        <v>0</v>
      </c>
      <c r="T1402" s="314" t="s">
        <v>1783</v>
      </c>
      <c r="U1402" s="320"/>
      <c r="W1402" s="320"/>
      <c r="X1402" s="320"/>
      <c r="Y1402" s="320"/>
    </row>
    <row r="1403" spans="1:25" x14ac:dyDescent="0.45">
      <c r="A1403" s="45">
        <v>3</v>
      </c>
      <c r="B1403" s="45" t="s">
        <v>1229</v>
      </c>
      <c r="C1403" s="312" t="s">
        <v>1442</v>
      </c>
      <c r="D1403" s="314">
        <v>1213331</v>
      </c>
      <c r="E1403" s="314"/>
      <c r="F1403" s="314">
        <v>1155025</v>
      </c>
      <c r="G1403" s="314"/>
      <c r="H1403" s="314">
        <v>56440</v>
      </c>
      <c r="I1403" s="314"/>
      <c r="J1403" s="314">
        <v>1866</v>
      </c>
      <c r="K1403" s="314">
        <v>1852</v>
      </c>
      <c r="L1403" s="314">
        <v>14</v>
      </c>
      <c r="M1403" s="314"/>
      <c r="N1403" s="314"/>
      <c r="O1403" s="314">
        <v>1213331</v>
      </c>
      <c r="P1403" s="314">
        <v>582</v>
      </c>
      <c r="Q1403" s="314"/>
      <c r="R1403" s="314">
        <v>1213331</v>
      </c>
      <c r="S1403" s="314">
        <v>0</v>
      </c>
      <c r="T1403" s="314" t="s">
        <v>1783</v>
      </c>
      <c r="U1403" s="320"/>
      <c r="W1403" s="320"/>
      <c r="X1403" s="320"/>
      <c r="Y1403" s="320"/>
    </row>
    <row r="1404" spans="1:25" x14ac:dyDescent="0.45">
      <c r="A1404" s="45">
        <v>4</v>
      </c>
      <c r="B1404" s="45" t="s">
        <v>1230</v>
      </c>
      <c r="C1404" s="312" t="s">
        <v>1442</v>
      </c>
      <c r="D1404" s="314">
        <v>3221429</v>
      </c>
      <c r="E1404" s="314"/>
      <c r="F1404" s="314">
        <v>3066624</v>
      </c>
      <c r="G1404" s="314"/>
      <c r="H1404" s="314">
        <v>149850</v>
      </c>
      <c r="I1404" s="314"/>
      <c r="J1404" s="314">
        <v>4955</v>
      </c>
      <c r="K1404" s="314">
        <v>4918</v>
      </c>
      <c r="L1404" s="314">
        <v>38</v>
      </c>
      <c r="M1404" s="314"/>
      <c r="N1404" s="314"/>
      <c r="O1404" s="314">
        <v>3221429</v>
      </c>
      <c r="P1404" s="314">
        <v>583</v>
      </c>
      <c r="Q1404" s="314"/>
      <c r="R1404" s="314">
        <v>3221429</v>
      </c>
      <c r="S1404" s="314">
        <v>0</v>
      </c>
      <c r="T1404" s="314" t="s">
        <v>1783</v>
      </c>
      <c r="U1404" s="320"/>
      <c r="W1404" s="320"/>
      <c r="X1404" s="320"/>
      <c r="Y1404" s="320"/>
    </row>
    <row r="1405" spans="1:25" x14ac:dyDescent="0.45">
      <c r="A1405" s="45">
        <v>5</v>
      </c>
      <c r="B1405" s="45" t="s">
        <v>1231</v>
      </c>
      <c r="C1405" s="312" t="s">
        <v>1442</v>
      </c>
      <c r="D1405" s="314">
        <v>30446</v>
      </c>
      <c r="E1405" s="314"/>
      <c r="F1405" s="314">
        <v>28983</v>
      </c>
      <c r="G1405" s="314"/>
      <c r="H1405" s="314">
        <v>1416</v>
      </c>
      <c r="I1405" s="314"/>
      <c r="J1405" s="314">
        <v>47</v>
      </c>
      <c r="K1405" s="314">
        <v>46</v>
      </c>
      <c r="L1405" s="314">
        <v>0</v>
      </c>
      <c r="M1405" s="314"/>
      <c r="N1405" s="314"/>
      <c r="O1405" s="314">
        <v>30446</v>
      </c>
      <c r="P1405" s="314">
        <v>584</v>
      </c>
      <c r="Q1405" s="314"/>
      <c r="R1405" s="314">
        <v>30446</v>
      </c>
      <c r="S1405" s="314">
        <v>0</v>
      </c>
      <c r="T1405" s="314" t="s">
        <v>1783</v>
      </c>
      <c r="U1405" s="320"/>
      <c r="W1405" s="320"/>
      <c r="X1405" s="320"/>
      <c r="Y1405" s="320"/>
    </row>
    <row r="1406" spans="1:25" x14ac:dyDescent="0.45">
      <c r="A1406" s="45">
        <v>6</v>
      </c>
      <c r="B1406" s="45" t="s">
        <v>1232</v>
      </c>
      <c r="C1406" s="312" t="s">
        <v>1442</v>
      </c>
      <c r="D1406" s="314">
        <v>0</v>
      </c>
      <c r="E1406" s="314"/>
      <c r="F1406" s="314">
        <v>0</v>
      </c>
      <c r="G1406" s="314"/>
      <c r="H1406" s="314">
        <v>0</v>
      </c>
      <c r="I1406" s="314"/>
      <c r="J1406" s="314">
        <v>0</v>
      </c>
      <c r="K1406" s="314">
        <v>0</v>
      </c>
      <c r="L1406" s="314">
        <v>0</v>
      </c>
      <c r="M1406" s="314"/>
      <c r="N1406" s="314"/>
      <c r="O1406" s="314">
        <v>0</v>
      </c>
      <c r="P1406" s="314">
        <v>585</v>
      </c>
      <c r="Q1406" s="314"/>
      <c r="R1406" s="314">
        <v>0</v>
      </c>
      <c r="S1406" s="314">
        <v>0</v>
      </c>
      <c r="T1406" s="314" t="s">
        <v>1783</v>
      </c>
      <c r="U1406" s="320"/>
      <c r="W1406" s="320"/>
      <c r="X1406" s="320"/>
      <c r="Y1406" s="320"/>
    </row>
    <row r="1407" spans="1:25" x14ac:dyDescent="0.45">
      <c r="A1407" s="45">
        <v>7</v>
      </c>
      <c r="B1407" s="45" t="s">
        <v>1233</v>
      </c>
      <c r="C1407" s="312" t="s">
        <v>1442</v>
      </c>
      <c r="D1407" s="314">
        <v>5257660</v>
      </c>
      <c r="E1407" s="314"/>
      <c r="F1407" s="314">
        <v>5005004</v>
      </c>
      <c r="G1407" s="314"/>
      <c r="H1407" s="314">
        <v>244568</v>
      </c>
      <c r="I1407" s="314"/>
      <c r="J1407" s="314">
        <v>8087</v>
      </c>
      <c r="K1407" s="314">
        <v>8026</v>
      </c>
      <c r="L1407" s="314">
        <v>62</v>
      </c>
      <c r="M1407" s="314"/>
      <c r="N1407" s="314"/>
      <c r="O1407" s="314">
        <v>5257660</v>
      </c>
      <c r="P1407" s="314">
        <v>586</v>
      </c>
      <c r="Q1407" s="314"/>
      <c r="R1407" s="314">
        <v>5257660</v>
      </c>
      <c r="S1407" s="314">
        <v>0</v>
      </c>
      <c r="T1407" s="314" t="s">
        <v>1783</v>
      </c>
      <c r="U1407" s="320"/>
      <c r="W1407" s="320"/>
      <c r="X1407" s="320"/>
      <c r="Y1407" s="320"/>
    </row>
    <row r="1408" spans="1:25" x14ac:dyDescent="0.45">
      <c r="A1408" s="45">
        <v>8</v>
      </c>
      <c r="B1408" s="45" t="s">
        <v>1234</v>
      </c>
      <c r="C1408" s="312" t="s">
        <v>1442</v>
      </c>
      <c r="D1408" s="314">
        <v>0</v>
      </c>
      <c r="E1408" s="314"/>
      <c r="F1408" s="314">
        <v>0</v>
      </c>
      <c r="G1408" s="314"/>
      <c r="H1408" s="314">
        <v>0</v>
      </c>
      <c r="I1408" s="314"/>
      <c r="J1408" s="314">
        <v>0</v>
      </c>
      <c r="K1408" s="314">
        <v>0</v>
      </c>
      <c r="L1408" s="314">
        <v>0</v>
      </c>
      <c r="M1408" s="314"/>
      <c r="N1408" s="314"/>
      <c r="O1408" s="314">
        <v>0</v>
      </c>
      <c r="P1408" s="314">
        <v>587</v>
      </c>
      <c r="Q1408" s="314"/>
      <c r="R1408" s="314">
        <v>0</v>
      </c>
      <c r="S1408" s="314">
        <v>0</v>
      </c>
      <c r="T1408" s="314" t="s">
        <v>1783</v>
      </c>
      <c r="U1408" s="320"/>
      <c r="W1408" s="320"/>
      <c r="X1408" s="320"/>
      <c r="Y1408" s="320"/>
    </row>
    <row r="1409" spans="1:25" x14ac:dyDescent="0.45">
      <c r="A1409" s="45">
        <v>9</v>
      </c>
      <c r="B1409" s="45" t="s">
        <v>1235</v>
      </c>
      <c r="C1409" s="312" t="s">
        <v>1442</v>
      </c>
      <c r="D1409" s="314">
        <v>3197096</v>
      </c>
      <c r="E1409" s="314"/>
      <c r="F1409" s="314">
        <v>3043460</v>
      </c>
      <c r="G1409" s="314"/>
      <c r="H1409" s="314">
        <v>148718</v>
      </c>
      <c r="I1409" s="314"/>
      <c r="J1409" s="314">
        <v>4918</v>
      </c>
      <c r="K1409" s="314">
        <v>4880</v>
      </c>
      <c r="L1409" s="314">
        <v>37</v>
      </c>
      <c r="M1409" s="314"/>
      <c r="N1409" s="314"/>
      <c r="O1409" s="314">
        <v>3197096</v>
      </c>
      <c r="P1409" s="314">
        <v>588</v>
      </c>
      <c r="Q1409" s="314"/>
      <c r="R1409" s="314">
        <v>3197096</v>
      </c>
      <c r="S1409" s="314">
        <v>0</v>
      </c>
      <c r="T1409" s="314" t="s">
        <v>1783</v>
      </c>
      <c r="U1409" s="320"/>
      <c r="W1409" s="320"/>
      <c r="X1409" s="320"/>
      <c r="Y1409" s="320"/>
    </row>
    <row r="1410" spans="1:25" x14ac:dyDescent="0.45">
      <c r="A1410" s="45">
        <v>10</v>
      </c>
      <c r="B1410" s="45" t="s">
        <v>1236</v>
      </c>
      <c r="C1410" s="312" t="s">
        <v>1442</v>
      </c>
      <c r="D1410" s="314">
        <v>0</v>
      </c>
      <c r="E1410" s="314"/>
      <c r="F1410" s="314">
        <v>0</v>
      </c>
      <c r="G1410" s="314"/>
      <c r="H1410" s="314">
        <v>0</v>
      </c>
      <c r="I1410" s="314"/>
      <c r="J1410" s="314">
        <v>0</v>
      </c>
      <c r="K1410" s="314">
        <v>0</v>
      </c>
      <c r="L1410" s="314">
        <v>0</v>
      </c>
      <c r="M1410" s="314"/>
      <c r="N1410" s="314"/>
      <c r="O1410" s="314">
        <v>0</v>
      </c>
      <c r="P1410" s="314">
        <v>589</v>
      </c>
      <c r="Q1410" s="314"/>
      <c r="R1410" s="314">
        <v>0</v>
      </c>
      <c r="S1410" s="314">
        <v>0</v>
      </c>
      <c r="T1410" s="314" t="s">
        <v>1783</v>
      </c>
      <c r="U1410" s="320"/>
      <c r="W1410" s="320"/>
      <c r="X1410" s="320"/>
      <c r="Y1410" s="320"/>
    </row>
    <row r="1411" spans="1:25" x14ac:dyDescent="0.45">
      <c r="A1411" s="45">
        <v>11</v>
      </c>
      <c r="B1411" s="45" t="s">
        <v>1237</v>
      </c>
      <c r="C1411" s="312" t="s">
        <v>1442</v>
      </c>
      <c r="D1411" s="314">
        <v>0</v>
      </c>
      <c r="E1411" s="314"/>
      <c r="F1411" s="314">
        <v>0</v>
      </c>
      <c r="G1411" s="314"/>
      <c r="H1411" s="314">
        <v>0</v>
      </c>
      <c r="I1411" s="314"/>
      <c r="J1411" s="314">
        <v>0</v>
      </c>
      <c r="K1411" s="314">
        <v>0</v>
      </c>
      <c r="L1411" s="314">
        <v>0</v>
      </c>
      <c r="M1411" s="314"/>
      <c r="N1411" s="314"/>
      <c r="O1411" s="314">
        <v>0</v>
      </c>
      <c r="P1411" s="314">
        <v>590</v>
      </c>
      <c r="Q1411" s="314"/>
      <c r="R1411" s="314">
        <v>0</v>
      </c>
      <c r="S1411" s="314">
        <v>0</v>
      </c>
      <c r="T1411" s="314" t="s">
        <v>1783</v>
      </c>
      <c r="U1411" s="320"/>
      <c r="W1411" s="320"/>
      <c r="X1411" s="320"/>
      <c r="Y1411" s="320"/>
    </row>
    <row r="1412" spans="1:25" x14ac:dyDescent="0.45">
      <c r="A1412" s="45">
        <v>12</v>
      </c>
      <c r="B1412" s="433" t="s">
        <v>1467</v>
      </c>
      <c r="C1412" s="312" t="s">
        <v>1442</v>
      </c>
      <c r="D1412" s="314">
        <v>0</v>
      </c>
      <c r="E1412" s="314"/>
      <c r="F1412" s="314">
        <v>0</v>
      </c>
      <c r="G1412" s="314"/>
      <c r="H1412" s="314">
        <v>0</v>
      </c>
      <c r="I1412" s="314"/>
      <c r="J1412" s="314">
        <v>0</v>
      </c>
      <c r="K1412" s="314">
        <v>0</v>
      </c>
      <c r="L1412" s="314">
        <v>0</v>
      </c>
      <c r="M1412" s="314"/>
      <c r="N1412" s="314"/>
      <c r="O1412" s="314">
        <v>0</v>
      </c>
      <c r="P1412" s="314">
        <v>591</v>
      </c>
      <c r="Q1412" s="314"/>
      <c r="R1412" s="314">
        <v>0</v>
      </c>
      <c r="S1412" s="314">
        <v>0</v>
      </c>
      <c r="T1412" s="314" t="s">
        <v>1783</v>
      </c>
      <c r="U1412" s="320"/>
      <c r="W1412" s="320"/>
      <c r="X1412" s="320"/>
      <c r="Y1412" s="320"/>
    </row>
    <row r="1413" spans="1:25" x14ac:dyDescent="0.45">
      <c r="A1413" s="45">
        <v>13</v>
      </c>
      <c r="B1413" s="45" t="s">
        <v>1238</v>
      </c>
      <c r="C1413" s="312" t="s">
        <v>1442</v>
      </c>
      <c r="D1413" s="314">
        <v>653756</v>
      </c>
      <c r="E1413" s="314"/>
      <c r="F1413" s="314">
        <v>622340</v>
      </c>
      <c r="G1413" s="314"/>
      <c r="H1413" s="314">
        <v>30410</v>
      </c>
      <c r="I1413" s="314"/>
      <c r="J1413" s="314">
        <v>1006</v>
      </c>
      <c r="K1413" s="314">
        <v>998</v>
      </c>
      <c r="L1413" s="314">
        <v>8</v>
      </c>
      <c r="M1413" s="314"/>
      <c r="N1413" s="314"/>
      <c r="O1413" s="314">
        <v>653756</v>
      </c>
      <c r="P1413" s="314">
        <v>592</v>
      </c>
      <c r="Q1413" s="314"/>
      <c r="R1413" s="314">
        <v>653756</v>
      </c>
      <c r="S1413" s="314">
        <v>0</v>
      </c>
      <c r="T1413" s="314" t="s">
        <v>1783</v>
      </c>
      <c r="U1413" s="320"/>
      <c r="W1413" s="320"/>
      <c r="X1413" s="320"/>
      <c r="Y1413" s="320"/>
    </row>
    <row r="1414" spans="1:25" x14ac:dyDescent="0.45">
      <c r="A1414" s="45">
        <v>14</v>
      </c>
      <c r="B1414" s="45" t="s">
        <v>1239</v>
      </c>
      <c r="C1414" s="312" t="s">
        <v>1442</v>
      </c>
      <c r="D1414" s="314">
        <v>6808860</v>
      </c>
      <c r="E1414" s="314"/>
      <c r="F1414" s="314">
        <v>6481662</v>
      </c>
      <c r="G1414" s="314"/>
      <c r="H1414" s="314">
        <v>316725</v>
      </c>
      <c r="I1414" s="314"/>
      <c r="J1414" s="314">
        <v>10474</v>
      </c>
      <c r="K1414" s="314">
        <v>10394</v>
      </c>
      <c r="L1414" s="314">
        <v>80</v>
      </c>
      <c r="M1414" s="314"/>
      <c r="N1414" s="314"/>
      <c r="O1414" s="314">
        <v>6808860</v>
      </c>
      <c r="P1414" s="314">
        <v>593</v>
      </c>
      <c r="Q1414" s="314"/>
      <c r="R1414" s="314">
        <v>6808860</v>
      </c>
      <c r="S1414" s="314">
        <v>0</v>
      </c>
      <c r="T1414" s="314" t="s">
        <v>1783</v>
      </c>
      <c r="U1414" s="320"/>
      <c r="W1414" s="320"/>
      <c r="X1414" s="320"/>
      <c r="Y1414" s="320"/>
    </row>
    <row r="1415" spans="1:25" x14ac:dyDescent="0.45">
      <c r="A1415" s="45">
        <v>15</v>
      </c>
      <c r="B1415" s="45" t="s">
        <v>1240</v>
      </c>
      <c r="C1415" s="312" t="s">
        <v>1442</v>
      </c>
      <c r="D1415" s="314">
        <v>261456</v>
      </c>
      <c r="E1415" s="314"/>
      <c r="F1415" s="314">
        <v>248892</v>
      </c>
      <c r="G1415" s="314"/>
      <c r="H1415" s="314">
        <v>12162</v>
      </c>
      <c r="I1415" s="314"/>
      <c r="J1415" s="314">
        <v>402</v>
      </c>
      <c r="K1415" s="314">
        <v>399</v>
      </c>
      <c r="L1415" s="314">
        <v>3</v>
      </c>
      <c r="M1415" s="314"/>
      <c r="N1415" s="314"/>
      <c r="O1415" s="314">
        <v>261456</v>
      </c>
      <c r="P1415" s="314">
        <v>594</v>
      </c>
      <c r="Q1415" s="314"/>
      <c r="R1415" s="314">
        <v>261456</v>
      </c>
      <c r="S1415" s="314">
        <v>0</v>
      </c>
      <c r="T1415" s="314" t="s">
        <v>1783</v>
      </c>
      <c r="U1415" s="320"/>
      <c r="W1415" s="320"/>
      <c r="X1415" s="320"/>
      <c r="Y1415" s="320"/>
    </row>
    <row r="1416" spans="1:25" x14ac:dyDescent="0.45">
      <c r="A1416" s="45">
        <v>16</v>
      </c>
      <c r="B1416" s="45" t="s">
        <v>1241</v>
      </c>
      <c r="C1416" s="312" t="s">
        <v>1442</v>
      </c>
      <c r="D1416" s="314">
        <v>56103</v>
      </c>
      <c r="E1416" s="314"/>
      <c r="F1416" s="314">
        <v>53407</v>
      </c>
      <c r="G1416" s="314"/>
      <c r="H1416" s="314">
        <v>2610</v>
      </c>
      <c r="I1416" s="314"/>
      <c r="J1416" s="314">
        <v>86</v>
      </c>
      <c r="K1416" s="314">
        <v>86</v>
      </c>
      <c r="L1416" s="314">
        <v>1</v>
      </c>
      <c r="M1416" s="314"/>
      <c r="N1416" s="314"/>
      <c r="O1416" s="314">
        <v>56103</v>
      </c>
      <c r="P1416" s="314">
        <v>595</v>
      </c>
      <c r="Q1416" s="314"/>
      <c r="R1416" s="314">
        <v>56103</v>
      </c>
      <c r="S1416" s="314">
        <v>0</v>
      </c>
      <c r="T1416" s="314" t="s">
        <v>1783</v>
      </c>
      <c r="U1416" s="320"/>
      <c r="W1416" s="320"/>
      <c r="X1416" s="320"/>
      <c r="Y1416" s="320"/>
    </row>
    <row r="1417" spans="1:25" x14ac:dyDescent="0.45">
      <c r="A1417" s="45">
        <v>17</v>
      </c>
      <c r="B1417" s="45" t="s">
        <v>1242</v>
      </c>
      <c r="C1417" s="312" t="s">
        <v>1442</v>
      </c>
      <c r="D1417" s="314">
        <v>0</v>
      </c>
      <c r="E1417" s="314"/>
      <c r="F1417" s="314">
        <v>0</v>
      </c>
      <c r="G1417" s="314"/>
      <c r="H1417" s="314">
        <v>0</v>
      </c>
      <c r="I1417" s="314"/>
      <c r="J1417" s="314">
        <v>0</v>
      </c>
      <c r="K1417" s="314">
        <v>0</v>
      </c>
      <c r="L1417" s="314">
        <v>0</v>
      </c>
      <c r="M1417" s="314"/>
      <c r="N1417" s="314"/>
      <c r="O1417" s="314">
        <v>0</v>
      </c>
      <c r="P1417" s="314">
        <v>596</v>
      </c>
      <c r="Q1417" s="314"/>
      <c r="R1417" s="314">
        <v>0</v>
      </c>
      <c r="S1417" s="314">
        <v>0</v>
      </c>
      <c r="T1417" s="314" t="s">
        <v>1783</v>
      </c>
      <c r="U1417" s="320"/>
      <c r="W1417" s="320"/>
      <c r="X1417" s="320"/>
      <c r="Y1417" s="320"/>
    </row>
    <row r="1418" spans="1:25" x14ac:dyDescent="0.45">
      <c r="A1418" s="45">
        <v>18</v>
      </c>
      <c r="B1418" s="45" t="s">
        <v>1243</v>
      </c>
      <c r="C1418" s="312" t="s">
        <v>1442</v>
      </c>
      <c r="D1418" s="314">
        <v>0</v>
      </c>
      <c r="E1418" s="314"/>
      <c r="F1418" s="314">
        <v>0</v>
      </c>
      <c r="G1418" s="314"/>
      <c r="H1418" s="314">
        <v>0</v>
      </c>
      <c r="I1418" s="314"/>
      <c r="J1418" s="314">
        <v>0</v>
      </c>
      <c r="K1418" s="314">
        <v>0</v>
      </c>
      <c r="L1418" s="314">
        <v>0</v>
      </c>
      <c r="M1418" s="314"/>
      <c r="N1418" s="314"/>
      <c r="O1418" s="314">
        <v>0</v>
      </c>
      <c r="P1418" s="314">
        <v>597</v>
      </c>
      <c r="Q1418" s="314"/>
      <c r="R1418" s="314">
        <v>0</v>
      </c>
      <c r="S1418" s="314">
        <v>0</v>
      </c>
      <c r="T1418" s="314" t="s">
        <v>1783</v>
      </c>
      <c r="U1418" s="320"/>
      <c r="W1418" s="320"/>
      <c r="X1418" s="320"/>
      <c r="Y1418" s="320"/>
    </row>
    <row r="1419" spans="1:25" x14ac:dyDescent="0.45">
      <c r="A1419" s="45">
        <v>19</v>
      </c>
      <c r="B1419" s="45" t="s">
        <v>880</v>
      </c>
      <c r="C1419" s="312" t="s">
        <v>1442</v>
      </c>
      <c r="D1419" s="314">
        <v>3720</v>
      </c>
      <c r="E1419" s="314"/>
      <c r="F1419" s="314">
        <v>3541</v>
      </c>
      <c r="G1419" s="314"/>
      <c r="H1419" s="314">
        <v>173</v>
      </c>
      <c r="I1419" s="314"/>
      <c r="J1419" s="314">
        <v>6</v>
      </c>
      <c r="K1419" s="314">
        <v>6</v>
      </c>
      <c r="L1419" s="314">
        <v>0</v>
      </c>
      <c r="M1419" s="314"/>
      <c r="N1419" s="314"/>
      <c r="O1419" s="314">
        <v>3720</v>
      </c>
      <c r="P1419" s="314">
        <v>598</v>
      </c>
      <c r="Q1419" s="314"/>
      <c r="R1419" s="314">
        <v>3720</v>
      </c>
      <c r="S1419" s="314">
        <v>0</v>
      </c>
      <c r="T1419" s="314" t="s">
        <v>1783</v>
      </c>
      <c r="U1419" s="320"/>
      <c r="W1419" s="320"/>
      <c r="X1419" s="320"/>
      <c r="Y1419" s="320"/>
    </row>
    <row r="1420" spans="1:25" x14ac:dyDescent="0.45">
      <c r="A1420" s="45"/>
      <c r="B1420" s="45"/>
      <c r="C1420" s="312"/>
      <c r="D1420" s="314"/>
      <c r="E1420" s="314"/>
      <c r="F1420" s="314"/>
      <c r="G1420" s="314"/>
      <c r="H1420" s="314"/>
      <c r="I1420" s="314"/>
      <c r="J1420" s="314"/>
      <c r="K1420" s="314"/>
      <c r="L1420" s="314"/>
      <c r="M1420" s="314"/>
      <c r="N1420" s="314"/>
      <c r="O1420" s="314"/>
      <c r="P1420" s="314"/>
      <c r="Q1420" s="314"/>
      <c r="R1420" s="314"/>
      <c r="S1420" s="314"/>
      <c r="T1420" s="314"/>
      <c r="U1420" s="320"/>
      <c r="W1420" s="320"/>
      <c r="X1420" s="320"/>
      <c r="Y1420" s="320"/>
    </row>
    <row r="1421" spans="1:25" x14ac:dyDescent="0.45">
      <c r="A1421" s="313">
        <v>20</v>
      </c>
      <c r="B1421" s="424" t="s">
        <v>881</v>
      </c>
      <c r="C1421" s="425" t="s">
        <v>1442</v>
      </c>
      <c r="D1421" s="314">
        <v>22389321</v>
      </c>
      <c r="E1421" s="314"/>
      <c r="F1421" s="314">
        <v>21313408</v>
      </c>
      <c r="G1421" s="314"/>
      <c r="H1421" s="314">
        <v>1041474</v>
      </c>
      <c r="I1421" s="314"/>
      <c r="J1421" s="314">
        <v>34440</v>
      </c>
      <c r="K1421" s="314">
        <v>34178</v>
      </c>
      <c r="L1421" s="314">
        <v>262</v>
      </c>
      <c r="M1421" s="314"/>
      <c r="N1421" s="314"/>
      <c r="O1421" s="314"/>
      <c r="P1421" s="314"/>
      <c r="Q1421" s="314"/>
      <c r="R1421" s="314"/>
      <c r="S1421" s="314"/>
      <c r="T1421" s="314"/>
      <c r="U1421" s="320"/>
      <c r="W1421" s="320"/>
      <c r="X1421" s="320"/>
      <c r="Y1421" s="320"/>
    </row>
    <row r="1422" spans="1:25" x14ac:dyDescent="0.45">
      <c r="A1422" s="45"/>
      <c r="B1422" s="45"/>
      <c r="C1422" s="312"/>
      <c r="D1422" s="314"/>
      <c r="E1422" s="314"/>
      <c r="F1422" s="314"/>
      <c r="G1422" s="314"/>
      <c r="H1422" s="314"/>
      <c r="I1422" s="314"/>
      <c r="J1422" s="314"/>
      <c r="K1422" s="314"/>
      <c r="L1422" s="314"/>
      <c r="M1422" s="314"/>
      <c r="N1422" s="314"/>
      <c r="O1422" s="314"/>
      <c r="P1422" s="314"/>
      <c r="Q1422" s="314"/>
      <c r="R1422" s="314"/>
      <c r="S1422" s="314"/>
      <c r="T1422" s="314"/>
      <c r="U1422" s="320"/>
      <c r="W1422" s="320"/>
      <c r="X1422" s="320"/>
      <c r="Y1422" s="320"/>
    </row>
    <row r="1423" spans="1:25" x14ac:dyDescent="0.45">
      <c r="A1423" s="313">
        <v>21</v>
      </c>
      <c r="B1423" s="424" t="s">
        <v>882</v>
      </c>
      <c r="C1423" s="45"/>
      <c r="D1423" s="314">
        <v>96926052</v>
      </c>
      <c r="E1423" s="314"/>
      <c r="F1423" s="314">
        <v>90909156</v>
      </c>
      <c r="G1423" s="314"/>
      <c r="H1423" s="314">
        <v>4670387</v>
      </c>
      <c r="I1423" s="314"/>
      <c r="J1423" s="314">
        <v>1346509</v>
      </c>
      <c r="K1423" s="314">
        <v>703022</v>
      </c>
      <c r="L1423" s="314">
        <v>643487</v>
      </c>
      <c r="M1423" s="314"/>
      <c r="N1423" s="314"/>
      <c r="O1423" s="314"/>
      <c r="P1423" s="314"/>
      <c r="Q1423" s="314"/>
      <c r="R1423" s="314"/>
      <c r="S1423" s="314"/>
      <c r="T1423" s="314"/>
      <c r="U1423" s="320"/>
      <c r="W1423" s="320"/>
      <c r="X1423" s="320"/>
      <c r="Y1423" s="320"/>
    </row>
    <row r="1424" spans="1:25" x14ac:dyDescent="0.45">
      <c r="A1424" s="313"/>
      <c r="B1424" s="424"/>
      <c r="C1424" s="45"/>
      <c r="D1424" s="314"/>
      <c r="E1424" s="314"/>
      <c r="F1424" s="314"/>
      <c r="G1424" s="314"/>
      <c r="H1424" s="314"/>
      <c r="I1424" s="314"/>
      <c r="J1424" s="314"/>
      <c r="K1424" s="314"/>
      <c r="L1424" s="314"/>
      <c r="M1424" s="314"/>
      <c r="N1424" s="314"/>
      <c r="O1424" s="314"/>
      <c r="P1424" s="314"/>
      <c r="Q1424" s="314"/>
      <c r="R1424" s="314"/>
      <c r="S1424" s="314"/>
      <c r="T1424" s="314"/>
      <c r="U1424" s="320"/>
      <c r="W1424" s="320"/>
      <c r="X1424" s="320"/>
      <c r="Y1424" s="320"/>
    </row>
    <row r="1425" spans="1:25" x14ac:dyDescent="0.45">
      <c r="A1425" s="313"/>
      <c r="B1425" s="424"/>
      <c r="C1425" s="45"/>
      <c r="D1425" s="314"/>
      <c r="E1425" s="314"/>
      <c r="F1425" s="314"/>
      <c r="G1425" s="314"/>
      <c r="H1425" s="314"/>
      <c r="I1425" s="314"/>
      <c r="J1425" s="314"/>
      <c r="K1425" s="314"/>
      <c r="L1425" s="314"/>
      <c r="M1425" s="314"/>
      <c r="N1425" s="314"/>
      <c r="O1425" s="314"/>
      <c r="P1425" s="314"/>
      <c r="Q1425" s="314"/>
      <c r="R1425" s="314"/>
      <c r="S1425" s="314"/>
      <c r="T1425" s="314"/>
      <c r="W1425" s="320"/>
    </row>
    <row r="1426" spans="1:25" x14ac:dyDescent="0.45">
      <c r="A1426" s="313"/>
      <c r="B1426" s="424"/>
      <c r="C1426" s="45"/>
      <c r="D1426" s="314"/>
      <c r="E1426" s="314"/>
      <c r="F1426" s="314"/>
      <c r="G1426" s="314"/>
      <c r="H1426" s="314"/>
      <c r="I1426" s="314"/>
      <c r="J1426" s="314"/>
      <c r="K1426" s="314"/>
      <c r="L1426" s="314"/>
      <c r="M1426" s="314"/>
      <c r="N1426" s="314"/>
      <c r="O1426" s="314"/>
      <c r="P1426" s="314"/>
      <c r="Q1426" s="314"/>
      <c r="R1426" s="314"/>
      <c r="S1426" s="314"/>
      <c r="T1426" s="314"/>
      <c r="W1426" s="320"/>
    </row>
    <row r="1427" spans="1:25" x14ac:dyDescent="0.45">
      <c r="A1427" s="313"/>
      <c r="B1427" s="424"/>
      <c r="C1427" s="45"/>
      <c r="D1427" s="314"/>
      <c r="E1427" s="314"/>
      <c r="F1427" s="314"/>
      <c r="G1427" s="314"/>
      <c r="H1427" s="314"/>
      <c r="I1427" s="314"/>
      <c r="J1427" s="314"/>
      <c r="K1427" s="314"/>
      <c r="L1427" s="314"/>
      <c r="M1427" s="314"/>
      <c r="N1427" s="314"/>
      <c r="O1427" s="314"/>
      <c r="P1427" s="314"/>
      <c r="Q1427" s="314"/>
      <c r="R1427" s="314"/>
      <c r="S1427" s="314"/>
      <c r="T1427" s="314"/>
      <c r="W1427" s="320"/>
    </row>
    <row r="1428" spans="1:25" x14ac:dyDescent="0.45">
      <c r="A1428" s="45"/>
      <c r="B1428" s="424" t="s">
        <v>883</v>
      </c>
      <c r="C1428" s="45"/>
      <c r="D1428" s="314"/>
      <c r="E1428" s="314"/>
      <c r="F1428" s="314"/>
      <c r="G1428" s="314"/>
      <c r="H1428" s="314"/>
      <c r="I1428" s="314"/>
      <c r="J1428" s="314"/>
      <c r="K1428" s="314"/>
      <c r="L1428" s="314"/>
      <c r="M1428" s="314"/>
      <c r="N1428" s="314"/>
      <c r="O1428" s="314"/>
      <c r="P1428" s="314"/>
      <c r="Q1428" s="314"/>
      <c r="R1428" s="314"/>
      <c r="S1428" s="314"/>
      <c r="T1428" s="314"/>
      <c r="W1428" s="320"/>
    </row>
    <row r="1429" spans="1:25" x14ac:dyDescent="0.45">
      <c r="A1429" s="313">
        <v>1</v>
      </c>
      <c r="B1429" s="424" t="s">
        <v>884</v>
      </c>
      <c r="C1429" s="428" t="s">
        <v>1939</v>
      </c>
      <c r="D1429" s="314">
        <v>4212138</v>
      </c>
      <c r="E1429" s="314"/>
      <c r="F1429" s="314">
        <v>4005700</v>
      </c>
      <c r="G1429" s="314"/>
      <c r="H1429" s="314">
        <v>204741</v>
      </c>
      <c r="I1429" s="314"/>
      <c r="J1429" s="314">
        <v>1697</v>
      </c>
      <c r="K1429" s="314">
        <v>679</v>
      </c>
      <c r="L1429" s="314">
        <v>1018</v>
      </c>
      <c r="M1429" s="314"/>
      <c r="N1429" s="314"/>
      <c r="O1429" s="314">
        <v>4212138</v>
      </c>
      <c r="P1429" s="314">
        <v>901</v>
      </c>
      <c r="Q1429" s="314"/>
      <c r="R1429" s="314">
        <v>4212138</v>
      </c>
      <c r="S1429" s="314">
        <v>0</v>
      </c>
      <c r="T1429" s="314" t="s">
        <v>1783</v>
      </c>
      <c r="W1429" s="320"/>
    </row>
    <row r="1430" spans="1:25" x14ac:dyDescent="0.45">
      <c r="A1430" s="45">
        <v>2</v>
      </c>
      <c r="B1430" s="424" t="s">
        <v>885</v>
      </c>
      <c r="C1430" s="428" t="s">
        <v>1939</v>
      </c>
      <c r="D1430" s="314">
        <v>791136</v>
      </c>
      <c r="E1430" s="314"/>
      <c r="F1430" s="314">
        <v>752362</v>
      </c>
      <c r="G1430" s="314"/>
      <c r="H1430" s="314">
        <v>38455</v>
      </c>
      <c r="I1430" s="314"/>
      <c r="J1430" s="314">
        <v>319</v>
      </c>
      <c r="K1430" s="314">
        <v>128</v>
      </c>
      <c r="L1430" s="314">
        <v>191</v>
      </c>
      <c r="M1430" s="314"/>
      <c r="N1430" s="314"/>
      <c r="O1430" s="314">
        <v>791136</v>
      </c>
      <c r="P1430" s="314">
        <v>902</v>
      </c>
      <c r="Q1430" s="314"/>
      <c r="R1430" s="314">
        <v>791136</v>
      </c>
      <c r="S1430" s="314">
        <v>0</v>
      </c>
      <c r="T1430" s="314" t="s">
        <v>1783</v>
      </c>
      <c r="W1430" s="320"/>
      <c r="X1430" s="320"/>
      <c r="Y1430" s="320"/>
    </row>
    <row r="1431" spans="1:25" x14ac:dyDescent="0.45">
      <c r="A1431" s="313">
        <v>3</v>
      </c>
      <c r="B1431" s="45" t="s">
        <v>886</v>
      </c>
      <c r="C1431" s="428" t="s">
        <v>1939</v>
      </c>
      <c r="D1431" s="314">
        <v>14131600</v>
      </c>
      <c r="E1431" s="314"/>
      <c r="F1431" s="314">
        <v>13439006</v>
      </c>
      <c r="G1431" s="314"/>
      <c r="H1431" s="314">
        <v>686900</v>
      </c>
      <c r="I1431" s="314"/>
      <c r="J1431" s="314">
        <v>5695</v>
      </c>
      <c r="K1431" s="314">
        <v>2278</v>
      </c>
      <c r="L1431" s="314">
        <v>3417</v>
      </c>
      <c r="M1431" s="314"/>
      <c r="N1431" s="314"/>
      <c r="O1431" s="314">
        <v>14131600</v>
      </c>
      <c r="P1431" s="314">
        <v>903</v>
      </c>
      <c r="Q1431" s="314"/>
      <c r="R1431" s="314">
        <v>14131600</v>
      </c>
      <c r="S1431" s="314">
        <v>0</v>
      </c>
      <c r="T1431" s="314" t="s">
        <v>1783</v>
      </c>
      <c r="U1431" s="320"/>
      <c r="W1431" s="320"/>
      <c r="X1431" s="320"/>
      <c r="Y1431" s="320"/>
    </row>
    <row r="1432" spans="1:25" x14ac:dyDescent="0.45">
      <c r="A1432" s="45">
        <v>4</v>
      </c>
      <c r="B1432" s="424" t="s">
        <v>887</v>
      </c>
      <c r="C1432" s="428" t="s">
        <v>1939</v>
      </c>
      <c r="D1432" s="314">
        <v>0</v>
      </c>
      <c r="E1432" s="314"/>
      <c r="F1432" s="314">
        <v>0</v>
      </c>
      <c r="G1432" s="314"/>
      <c r="H1432" s="314">
        <v>0</v>
      </c>
      <c r="I1432" s="314"/>
      <c r="J1432" s="314">
        <v>0</v>
      </c>
      <c r="K1432" s="314">
        <v>0</v>
      </c>
      <c r="L1432" s="314">
        <v>0</v>
      </c>
      <c r="M1432" s="314"/>
      <c r="N1432" s="314"/>
      <c r="O1432" s="314">
        <v>0</v>
      </c>
      <c r="P1432" s="314">
        <v>904</v>
      </c>
      <c r="Q1432" s="314"/>
      <c r="R1432" s="314">
        <v>0</v>
      </c>
      <c r="S1432" s="314">
        <v>0</v>
      </c>
      <c r="T1432" s="314" t="s">
        <v>1783</v>
      </c>
      <c r="W1432" s="320"/>
      <c r="X1432" s="320"/>
      <c r="Y1432" s="320"/>
    </row>
    <row r="1433" spans="1:25" x14ac:dyDescent="0.45">
      <c r="A1433" s="313">
        <v>5</v>
      </c>
      <c r="B1433" s="45" t="s">
        <v>888</v>
      </c>
      <c r="C1433" s="428" t="s">
        <v>1939</v>
      </c>
      <c r="D1433" s="314">
        <v>0</v>
      </c>
      <c r="E1433" s="314"/>
      <c r="F1433" s="314">
        <v>0</v>
      </c>
      <c r="G1433" s="314"/>
      <c r="H1433" s="314">
        <v>0</v>
      </c>
      <c r="I1433" s="314"/>
      <c r="J1433" s="314">
        <v>0</v>
      </c>
      <c r="K1433" s="314">
        <v>0</v>
      </c>
      <c r="L1433" s="314">
        <v>0</v>
      </c>
      <c r="M1433" s="314"/>
      <c r="N1433" s="314"/>
      <c r="O1433" s="314">
        <v>0</v>
      </c>
      <c r="P1433" s="314">
        <v>905</v>
      </c>
      <c r="Q1433" s="314"/>
      <c r="R1433" s="314">
        <v>0</v>
      </c>
      <c r="S1433" s="314">
        <v>0</v>
      </c>
      <c r="T1433" s="314" t="s">
        <v>1783</v>
      </c>
      <c r="U1433" s="320"/>
      <c r="W1433" s="320"/>
      <c r="X1433" s="320"/>
      <c r="Y1433" s="320"/>
    </row>
    <row r="1434" spans="1:25" x14ac:dyDescent="0.45">
      <c r="A1434" s="45"/>
      <c r="B1434" s="424"/>
      <c r="C1434" s="425"/>
      <c r="D1434" s="314"/>
      <c r="E1434" s="314"/>
      <c r="F1434" s="314"/>
      <c r="G1434" s="314"/>
      <c r="H1434" s="314"/>
      <c r="I1434" s="314"/>
      <c r="J1434" s="314"/>
      <c r="K1434" s="314"/>
      <c r="L1434" s="314"/>
      <c r="M1434" s="314"/>
      <c r="N1434" s="314"/>
      <c r="O1434" s="314"/>
      <c r="P1434" s="314"/>
      <c r="Q1434" s="314"/>
      <c r="R1434" s="314"/>
      <c r="S1434" s="314"/>
      <c r="T1434" s="314"/>
      <c r="W1434" s="320"/>
      <c r="X1434" s="320"/>
      <c r="Y1434" s="320"/>
    </row>
    <row r="1435" spans="1:25" x14ac:dyDescent="0.45">
      <c r="A1435" s="313">
        <v>6</v>
      </c>
      <c r="B1435" s="45" t="s">
        <v>889</v>
      </c>
      <c r="C1435" s="312"/>
      <c r="D1435" s="314">
        <v>19134874</v>
      </c>
      <c r="E1435" s="314"/>
      <c r="F1435" s="314">
        <v>18197068</v>
      </c>
      <c r="G1435" s="314"/>
      <c r="H1435" s="314">
        <v>930095</v>
      </c>
      <c r="I1435" s="314"/>
      <c r="J1435" s="314">
        <v>7711</v>
      </c>
      <c r="K1435" s="314">
        <v>3084</v>
      </c>
      <c r="L1435" s="314">
        <v>4626</v>
      </c>
      <c r="M1435" s="314"/>
      <c r="N1435" s="314"/>
      <c r="O1435" s="314"/>
      <c r="P1435" s="314"/>
      <c r="Q1435" s="314"/>
      <c r="R1435" s="314"/>
      <c r="S1435" s="314"/>
      <c r="T1435" s="314"/>
      <c r="U1435" s="320"/>
      <c r="W1435" s="320"/>
    </row>
    <row r="1436" spans="1:25" x14ac:dyDescent="0.45">
      <c r="A1436" s="313"/>
      <c r="B1436" s="45"/>
      <c r="C1436" s="312"/>
      <c r="D1436" s="314"/>
      <c r="E1436" s="314"/>
      <c r="F1436" s="314"/>
      <c r="G1436" s="314"/>
      <c r="H1436" s="314"/>
      <c r="I1436" s="314"/>
      <c r="J1436" s="314"/>
      <c r="K1436" s="314"/>
      <c r="L1436" s="314"/>
      <c r="M1436" s="314"/>
      <c r="N1436" s="314"/>
      <c r="O1436" s="314"/>
      <c r="P1436" s="314"/>
      <c r="Q1436" s="314"/>
      <c r="R1436" s="314"/>
      <c r="S1436" s="314"/>
      <c r="T1436" s="314"/>
      <c r="W1436" s="320"/>
    </row>
    <row r="1437" spans="1:25" x14ac:dyDescent="0.45">
      <c r="A1437" s="45"/>
      <c r="B1437" s="424" t="s">
        <v>890</v>
      </c>
      <c r="C1437" s="45"/>
      <c r="D1437" s="314"/>
      <c r="E1437" s="314"/>
      <c r="F1437" s="314"/>
      <c r="G1437" s="314"/>
      <c r="H1437" s="314"/>
      <c r="I1437" s="314"/>
      <c r="J1437" s="314"/>
      <c r="K1437" s="314"/>
      <c r="L1437" s="314"/>
      <c r="M1437" s="314"/>
      <c r="N1437" s="314"/>
      <c r="O1437" s="314"/>
      <c r="P1437" s="314"/>
      <c r="Q1437" s="314"/>
      <c r="R1437" s="314"/>
      <c r="S1437" s="314"/>
      <c r="T1437" s="314"/>
      <c r="W1437" s="320"/>
    </row>
    <row r="1438" spans="1:25" x14ac:dyDescent="0.45">
      <c r="A1438" s="45">
        <v>7</v>
      </c>
      <c r="B1438" s="45" t="s">
        <v>891</v>
      </c>
      <c r="C1438" s="428" t="s">
        <v>1940</v>
      </c>
      <c r="D1438" s="314">
        <v>354341</v>
      </c>
      <c r="E1438" s="314"/>
      <c r="F1438" s="314">
        <v>350160</v>
      </c>
      <c r="G1438" s="314"/>
      <c r="H1438" s="314">
        <v>4181</v>
      </c>
      <c r="I1438" s="314"/>
      <c r="J1438" s="314">
        <v>0</v>
      </c>
      <c r="K1438" s="314">
        <v>0</v>
      </c>
      <c r="L1438" s="314">
        <v>0</v>
      </c>
      <c r="M1438" s="314"/>
      <c r="N1438" s="314"/>
      <c r="O1438" s="314">
        <v>354341</v>
      </c>
      <c r="P1438" s="314">
        <v>907</v>
      </c>
      <c r="Q1438" s="314"/>
      <c r="R1438" s="314">
        <v>354341</v>
      </c>
      <c r="S1438" s="314">
        <v>0</v>
      </c>
      <c r="T1438" s="314" t="s">
        <v>1783</v>
      </c>
      <c r="W1438" s="320"/>
    </row>
    <row r="1439" spans="1:25" x14ac:dyDescent="0.45">
      <c r="A1439" s="45">
        <v>8</v>
      </c>
      <c r="B1439" s="424" t="s">
        <v>892</v>
      </c>
      <c r="C1439" s="428" t="s">
        <v>1940</v>
      </c>
      <c r="D1439" s="314">
        <v>1321702</v>
      </c>
      <c r="E1439" s="314"/>
      <c r="F1439" s="314">
        <v>1306105</v>
      </c>
      <c r="G1439" s="314"/>
      <c r="H1439" s="314">
        <v>15597</v>
      </c>
      <c r="I1439" s="314"/>
      <c r="J1439" s="314">
        <v>0</v>
      </c>
      <c r="K1439" s="314">
        <v>0</v>
      </c>
      <c r="L1439" s="314">
        <v>0</v>
      </c>
      <c r="M1439" s="314"/>
      <c r="N1439" s="314"/>
      <c r="O1439" s="314">
        <v>1321702</v>
      </c>
      <c r="P1439" s="314">
        <v>908</v>
      </c>
      <c r="Q1439" s="314"/>
      <c r="R1439" s="314">
        <v>1321702</v>
      </c>
      <c r="S1439" s="314">
        <v>0</v>
      </c>
      <c r="T1439" s="314" t="s">
        <v>1783</v>
      </c>
      <c r="W1439" s="320"/>
      <c r="X1439" s="320"/>
      <c r="Y1439" s="320"/>
    </row>
    <row r="1440" spans="1:25" x14ac:dyDescent="0.45">
      <c r="A1440" s="45">
        <v>9</v>
      </c>
      <c r="B1440" s="45" t="s">
        <v>893</v>
      </c>
      <c r="C1440" s="428" t="s">
        <v>1940</v>
      </c>
      <c r="D1440" s="314">
        <v>0</v>
      </c>
      <c r="E1440" s="314"/>
      <c r="F1440" s="314">
        <v>0</v>
      </c>
      <c r="G1440" s="314"/>
      <c r="H1440" s="314">
        <v>0</v>
      </c>
      <c r="I1440" s="314"/>
      <c r="J1440" s="314">
        <v>0</v>
      </c>
      <c r="K1440" s="314">
        <v>0</v>
      </c>
      <c r="L1440" s="314">
        <v>0</v>
      </c>
      <c r="M1440" s="314"/>
      <c r="N1440" s="314"/>
      <c r="O1440" s="314">
        <v>0</v>
      </c>
      <c r="P1440" s="314">
        <v>909</v>
      </c>
      <c r="Q1440" s="314"/>
      <c r="R1440" s="314">
        <v>0</v>
      </c>
      <c r="S1440" s="314">
        <v>0</v>
      </c>
      <c r="T1440" s="314" t="s">
        <v>1783</v>
      </c>
      <c r="W1440" s="320"/>
      <c r="X1440" s="320"/>
      <c r="Y1440" s="320"/>
    </row>
    <row r="1441" spans="1:25" x14ac:dyDescent="0.45">
      <c r="A1441" s="45">
        <v>10</v>
      </c>
      <c r="B1441" s="424" t="s">
        <v>894</v>
      </c>
      <c r="C1441" s="428" t="s">
        <v>1940</v>
      </c>
      <c r="D1441" s="314">
        <v>522747</v>
      </c>
      <c r="E1441" s="314"/>
      <c r="F1441" s="314">
        <v>516578</v>
      </c>
      <c r="G1441" s="314"/>
      <c r="H1441" s="314">
        <v>6169</v>
      </c>
      <c r="I1441" s="314"/>
      <c r="J1441" s="314">
        <v>0</v>
      </c>
      <c r="K1441" s="314">
        <v>0</v>
      </c>
      <c r="L1441" s="314">
        <v>0</v>
      </c>
      <c r="M1441" s="314"/>
      <c r="N1441" s="314"/>
      <c r="O1441" s="314">
        <v>522747</v>
      </c>
      <c r="P1441" s="314">
        <v>910</v>
      </c>
      <c r="Q1441" s="314"/>
      <c r="R1441" s="314">
        <v>522747</v>
      </c>
      <c r="S1441" s="314">
        <v>0</v>
      </c>
      <c r="T1441" s="314" t="s">
        <v>1783</v>
      </c>
      <c r="W1441" s="320"/>
      <c r="X1441" s="320"/>
      <c r="Y1441" s="320"/>
    </row>
    <row r="1442" spans="1:25" x14ac:dyDescent="0.45">
      <c r="A1442" s="45">
        <v>11</v>
      </c>
      <c r="B1442" s="45" t="s">
        <v>1038</v>
      </c>
      <c r="C1442" s="428" t="s">
        <v>1940</v>
      </c>
      <c r="D1442" s="314">
        <v>0</v>
      </c>
      <c r="E1442" s="314"/>
      <c r="F1442" s="314">
        <v>0</v>
      </c>
      <c r="G1442" s="314"/>
      <c r="H1442" s="314">
        <v>0</v>
      </c>
      <c r="I1442" s="314"/>
      <c r="J1442" s="314">
        <v>0</v>
      </c>
      <c r="K1442" s="314">
        <v>0</v>
      </c>
      <c r="L1442" s="314">
        <v>0</v>
      </c>
      <c r="M1442" s="314"/>
      <c r="N1442" s="314"/>
      <c r="O1442" s="314">
        <v>0</v>
      </c>
      <c r="P1442" s="314">
        <v>912</v>
      </c>
      <c r="Q1442" s="314"/>
      <c r="R1442" s="314">
        <v>0</v>
      </c>
      <c r="S1442" s="314">
        <v>0</v>
      </c>
      <c r="T1442" s="314" t="s">
        <v>1783</v>
      </c>
      <c r="W1442" s="320"/>
      <c r="X1442" s="320"/>
      <c r="Y1442" s="320"/>
    </row>
    <row r="1443" spans="1:25" x14ac:dyDescent="0.45">
      <c r="A1443" s="45">
        <v>12</v>
      </c>
      <c r="B1443" s="424" t="s">
        <v>1039</v>
      </c>
      <c r="C1443" s="428" t="s">
        <v>1940</v>
      </c>
      <c r="D1443" s="314">
        <v>0</v>
      </c>
      <c r="E1443" s="314"/>
      <c r="F1443" s="314">
        <v>0</v>
      </c>
      <c r="G1443" s="314"/>
      <c r="H1443" s="314">
        <v>0</v>
      </c>
      <c r="I1443" s="314"/>
      <c r="J1443" s="314">
        <v>0</v>
      </c>
      <c r="K1443" s="314">
        <v>0</v>
      </c>
      <c r="L1443" s="314">
        <v>0</v>
      </c>
      <c r="M1443" s="314"/>
      <c r="N1443" s="314"/>
      <c r="O1443" s="314">
        <v>0</v>
      </c>
      <c r="P1443" s="314">
        <v>913</v>
      </c>
      <c r="Q1443" s="314"/>
      <c r="R1443" s="314">
        <v>0</v>
      </c>
      <c r="S1443" s="314">
        <v>0</v>
      </c>
      <c r="T1443" s="314" t="s">
        <v>1783</v>
      </c>
      <c r="W1443" s="320"/>
      <c r="X1443" s="320"/>
      <c r="Y1443" s="320"/>
    </row>
    <row r="1444" spans="1:25" x14ac:dyDescent="0.45">
      <c r="A1444" s="45">
        <v>13</v>
      </c>
      <c r="B1444" s="45" t="s">
        <v>1040</v>
      </c>
      <c r="C1444" s="428" t="s">
        <v>1940</v>
      </c>
      <c r="D1444" s="314">
        <v>0</v>
      </c>
      <c r="E1444" s="314"/>
      <c r="F1444" s="314">
        <v>0</v>
      </c>
      <c r="G1444" s="314"/>
      <c r="H1444" s="314">
        <v>0</v>
      </c>
      <c r="I1444" s="314"/>
      <c r="J1444" s="314">
        <v>0</v>
      </c>
      <c r="K1444" s="314">
        <v>0</v>
      </c>
      <c r="L1444" s="314">
        <v>0</v>
      </c>
      <c r="M1444" s="314"/>
      <c r="N1444" s="314"/>
      <c r="O1444" s="314">
        <v>0</v>
      </c>
      <c r="P1444" s="314">
        <v>916</v>
      </c>
      <c r="Q1444" s="314"/>
      <c r="R1444" s="314">
        <v>0</v>
      </c>
      <c r="S1444" s="314">
        <v>0</v>
      </c>
      <c r="T1444" s="314" t="s">
        <v>1783</v>
      </c>
      <c r="W1444" s="320"/>
      <c r="X1444" s="320"/>
      <c r="Y1444" s="320"/>
    </row>
    <row r="1445" spans="1:25" x14ac:dyDescent="0.45">
      <c r="A1445" s="45"/>
      <c r="B1445" s="424"/>
      <c r="C1445" s="45"/>
      <c r="D1445" s="314"/>
      <c r="E1445" s="314"/>
      <c r="F1445" s="314"/>
      <c r="G1445" s="314"/>
      <c r="H1445" s="314"/>
      <c r="I1445" s="314"/>
      <c r="J1445" s="314"/>
      <c r="K1445" s="314"/>
      <c r="L1445" s="314"/>
      <c r="M1445" s="314"/>
      <c r="N1445" s="314"/>
      <c r="O1445" s="314"/>
      <c r="P1445" s="314"/>
      <c r="Q1445" s="314"/>
      <c r="R1445" s="314"/>
      <c r="S1445" s="314"/>
      <c r="T1445" s="314"/>
      <c r="W1445" s="320"/>
      <c r="X1445" s="320"/>
      <c r="Y1445" s="320"/>
    </row>
    <row r="1446" spans="1:25" x14ac:dyDescent="0.45">
      <c r="A1446" s="45">
        <v>14</v>
      </c>
      <c r="B1446" s="433" t="s">
        <v>1326</v>
      </c>
      <c r="C1446" s="45"/>
      <c r="D1446" s="314">
        <v>2198790</v>
      </c>
      <c r="E1446" s="314"/>
      <c r="F1446" s="314">
        <v>2172843</v>
      </c>
      <c r="G1446" s="314"/>
      <c r="H1446" s="314">
        <v>25947</v>
      </c>
      <c r="I1446" s="314"/>
      <c r="J1446" s="314">
        <v>0</v>
      </c>
      <c r="K1446" s="314">
        <v>0</v>
      </c>
      <c r="L1446" s="314">
        <v>0</v>
      </c>
      <c r="M1446" s="314"/>
      <c r="N1446" s="314"/>
      <c r="O1446" s="314"/>
      <c r="P1446" s="314"/>
      <c r="Q1446" s="314"/>
      <c r="R1446" s="314"/>
      <c r="S1446" s="314"/>
      <c r="T1446" s="314"/>
      <c r="W1446" s="320"/>
    </row>
    <row r="1447" spans="1:25" x14ac:dyDescent="0.45">
      <c r="A1447" s="45"/>
      <c r="B1447" s="45"/>
      <c r="C1447" s="45"/>
      <c r="D1447" s="314"/>
      <c r="E1447" s="314"/>
      <c r="F1447" s="314"/>
      <c r="G1447" s="314"/>
      <c r="H1447" s="314"/>
      <c r="I1447" s="314"/>
      <c r="J1447" s="314"/>
      <c r="K1447" s="314"/>
      <c r="L1447" s="314"/>
      <c r="M1447" s="314"/>
      <c r="N1447" s="314"/>
      <c r="O1447" s="314"/>
      <c r="P1447" s="314"/>
      <c r="Q1447" s="314"/>
      <c r="R1447" s="314"/>
      <c r="S1447" s="314"/>
      <c r="T1447" s="314"/>
      <c r="W1447" s="320"/>
    </row>
    <row r="1448" spans="1:25" x14ac:dyDescent="0.45">
      <c r="A1448" s="45">
        <v>15</v>
      </c>
      <c r="B1448" s="439" t="s">
        <v>1327</v>
      </c>
      <c r="C1448" s="45"/>
      <c r="D1448" s="314">
        <v>118259716</v>
      </c>
      <c r="E1448" s="314"/>
      <c r="F1448" s="314">
        <v>111279067</v>
      </c>
      <c r="G1448" s="314"/>
      <c r="H1448" s="314">
        <v>5626429</v>
      </c>
      <c r="I1448" s="314"/>
      <c r="J1448" s="314">
        <v>1354219</v>
      </c>
      <c r="K1448" s="314">
        <v>706106</v>
      </c>
      <c r="L1448" s="314">
        <v>648114</v>
      </c>
      <c r="M1448" s="314"/>
      <c r="N1448" s="314"/>
      <c r="O1448" s="314"/>
      <c r="P1448" s="314"/>
      <c r="Q1448" s="314"/>
      <c r="R1448" s="314"/>
      <c r="S1448" s="314"/>
      <c r="T1448" s="314"/>
      <c r="W1448" s="320"/>
    </row>
    <row r="1449" spans="1:25" x14ac:dyDescent="0.45">
      <c r="A1449" s="45"/>
      <c r="B1449" s="45"/>
      <c r="C1449" s="45"/>
      <c r="D1449" s="314"/>
      <c r="E1449" s="314"/>
      <c r="F1449" s="314"/>
      <c r="G1449" s="314"/>
      <c r="H1449" s="314"/>
      <c r="I1449" s="314"/>
      <c r="J1449" s="314"/>
      <c r="K1449" s="314"/>
      <c r="L1449" s="314"/>
      <c r="M1449" s="314"/>
      <c r="N1449" s="314"/>
      <c r="O1449" s="314"/>
      <c r="P1449" s="314"/>
      <c r="Q1449" s="314"/>
      <c r="R1449" s="314"/>
      <c r="S1449" s="314"/>
      <c r="T1449" s="314"/>
      <c r="W1449" s="320"/>
    </row>
    <row r="1450" spans="1:25" x14ac:dyDescent="0.45">
      <c r="A1450" s="45"/>
      <c r="B1450" s="45" t="s">
        <v>1328</v>
      </c>
      <c r="C1450" s="45"/>
      <c r="D1450" s="314"/>
      <c r="E1450" s="314"/>
      <c r="F1450" s="314"/>
      <c r="G1450" s="314"/>
      <c r="H1450" s="314"/>
      <c r="I1450" s="314"/>
      <c r="J1450" s="314"/>
      <c r="K1450" s="314"/>
      <c r="L1450" s="314"/>
      <c r="M1450" s="314"/>
      <c r="N1450" s="314"/>
      <c r="O1450" s="314"/>
      <c r="P1450" s="314"/>
      <c r="Q1450" s="314"/>
      <c r="R1450" s="314"/>
      <c r="S1450" s="314"/>
      <c r="T1450" s="314"/>
      <c r="W1450" s="320"/>
    </row>
    <row r="1451" spans="1:25" x14ac:dyDescent="0.45">
      <c r="A1451" s="45">
        <v>16</v>
      </c>
      <c r="B1451" s="45" t="s">
        <v>1329</v>
      </c>
      <c r="C1451" s="428" t="s">
        <v>1430</v>
      </c>
      <c r="D1451" s="314">
        <v>35051942</v>
      </c>
      <c r="E1451" s="314"/>
      <c r="F1451" s="314">
        <v>32982892</v>
      </c>
      <c r="G1451" s="314"/>
      <c r="H1451" s="314">
        <v>1667662</v>
      </c>
      <c r="I1451" s="314"/>
      <c r="J1451" s="314">
        <v>401388</v>
      </c>
      <c r="K1451" s="314">
        <v>209288</v>
      </c>
      <c r="L1451" s="314">
        <v>192100</v>
      </c>
      <c r="M1451" s="314"/>
      <c r="N1451" s="314"/>
      <c r="O1451" s="314">
        <v>35051942</v>
      </c>
      <c r="P1451" s="314">
        <v>920</v>
      </c>
      <c r="Q1451" s="314"/>
      <c r="R1451" s="314">
        <v>35051942</v>
      </c>
      <c r="S1451" s="314">
        <v>0</v>
      </c>
      <c r="T1451" s="314" t="s">
        <v>1783</v>
      </c>
      <c r="W1451" s="320"/>
    </row>
    <row r="1452" spans="1:25" x14ac:dyDescent="0.45">
      <c r="A1452" s="45">
        <v>17</v>
      </c>
      <c r="B1452" s="45" t="s">
        <v>1330</v>
      </c>
      <c r="C1452" s="428" t="s">
        <v>1430</v>
      </c>
      <c r="D1452" s="314">
        <v>4790</v>
      </c>
      <c r="E1452" s="314"/>
      <c r="F1452" s="314">
        <v>4507</v>
      </c>
      <c r="G1452" s="314"/>
      <c r="H1452" s="314">
        <v>228</v>
      </c>
      <c r="I1452" s="314"/>
      <c r="J1452" s="314">
        <v>55</v>
      </c>
      <c r="K1452" s="314">
        <v>29</v>
      </c>
      <c r="L1452" s="314">
        <v>26</v>
      </c>
      <c r="M1452" s="314"/>
      <c r="N1452" s="314"/>
      <c r="O1452" s="314">
        <v>4790</v>
      </c>
      <c r="P1452" s="314">
        <v>921</v>
      </c>
      <c r="Q1452" s="314"/>
      <c r="R1452" s="314">
        <v>4790</v>
      </c>
      <c r="S1452" s="314">
        <v>0</v>
      </c>
      <c r="T1452" s="314" t="s">
        <v>1783</v>
      </c>
      <c r="W1452" s="320"/>
      <c r="X1452" s="320"/>
      <c r="Y1452" s="320"/>
    </row>
    <row r="1453" spans="1:25" x14ac:dyDescent="0.45">
      <c r="A1453" s="45">
        <v>18</v>
      </c>
      <c r="B1453" s="45" t="s">
        <v>1331</v>
      </c>
      <c r="C1453" s="428" t="s">
        <v>1430</v>
      </c>
      <c r="D1453" s="314">
        <v>-4647475</v>
      </c>
      <c r="E1453" s="314"/>
      <c r="F1453" s="314">
        <v>-4373143</v>
      </c>
      <c r="G1453" s="314"/>
      <c r="H1453" s="314">
        <v>-221112</v>
      </c>
      <c r="I1453" s="314"/>
      <c r="J1453" s="314">
        <v>-53219</v>
      </c>
      <c r="K1453" s="314">
        <v>-27749</v>
      </c>
      <c r="L1453" s="314">
        <v>-25470</v>
      </c>
      <c r="M1453" s="314"/>
      <c r="N1453" s="314"/>
      <c r="O1453" s="314">
        <v>-4647475</v>
      </c>
      <c r="P1453" s="314">
        <v>922</v>
      </c>
      <c r="Q1453" s="314"/>
      <c r="R1453" s="314">
        <v>-4647475</v>
      </c>
      <c r="S1453" s="314">
        <v>0</v>
      </c>
      <c r="T1453" s="314" t="s">
        <v>1783</v>
      </c>
      <c r="W1453" s="320"/>
      <c r="X1453" s="320"/>
      <c r="Y1453" s="320"/>
    </row>
    <row r="1454" spans="1:25" x14ac:dyDescent="0.45">
      <c r="A1454" s="45">
        <v>19</v>
      </c>
      <c r="B1454" s="45" t="s">
        <v>1332</v>
      </c>
      <c r="C1454" s="428" t="s">
        <v>1430</v>
      </c>
      <c r="D1454" s="314">
        <v>0</v>
      </c>
      <c r="E1454" s="314"/>
      <c r="F1454" s="314">
        <v>0</v>
      </c>
      <c r="G1454" s="314"/>
      <c r="H1454" s="314">
        <v>0</v>
      </c>
      <c r="I1454" s="314"/>
      <c r="J1454" s="314">
        <v>0</v>
      </c>
      <c r="K1454" s="314">
        <v>0</v>
      </c>
      <c r="L1454" s="314">
        <v>0</v>
      </c>
      <c r="M1454" s="314"/>
      <c r="N1454" s="314"/>
      <c r="O1454" s="314">
        <v>0</v>
      </c>
      <c r="P1454" s="314">
        <v>923</v>
      </c>
      <c r="Q1454" s="314"/>
      <c r="R1454" s="314">
        <v>0</v>
      </c>
      <c r="S1454" s="314">
        <v>0</v>
      </c>
      <c r="T1454" s="314" t="s">
        <v>1783</v>
      </c>
      <c r="W1454" s="320"/>
      <c r="X1454" s="320"/>
      <c r="Y1454" s="320"/>
    </row>
    <row r="1455" spans="1:25" x14ac:dyDescent="0.45">
      <c r="A1455" s="45">
        <v>20</v>
      </c>
      <c r="B1455" s="45" t="s">
        <v>1333</v>
      </c>
      <c r="C1455" s="428" t="s">
        <v>1430</v>
      </c>
      <c r="D1455" s="314">
        <v>0</v>
      </c>
      <c r="E1455" s="314"/>
      <c r="F1455" s="314">
        <v>0</v>
      </c>
      <c r="G1455" s="314"/>
      <c r="H1455" s="314">
        <v>0</v>
      </c>
      <c r="I1455" s="314"/>
      <c r="J1455" s="314">
        <v>0</v>
      </c>
      <c r="K1455" s="314">
        <v>0</v>
      </c>
      <c r="L1455" s="314">
        <v>0</v>
      </c>
      <c r="M1455" s="314"/>
      <c r="N1455" s="314"/>
      <c r="O1455" s="314">
        <v>0</v>
      </c>
      <c r="P1455" s="314">
        <v>924</v>
      </c>
      <c r="Q1455" s="314"/>
      <c r="R1455" s="314">
        <v>0</v>
      </c>
      <c r="S1455" s="314">
        <v>0</v>
      </c>
      <c r="T1455" s="314" t="s">
        <v>1783</v>
      </c>
      <c r="W1455" s="320"/>
      <c r="X1455" s="320"/>
      <c r="Y1455" s="320"/>
    </row>
    <row r="1456" spans="1:25" x14ac:dyDescent="0.45">
      <c r="A1456" s="45">
        <v>21</v>
      </c>
      <c r="B1456" s="45" t="s">
        <v>1334</v>
      </c>
      <c r="C1456" s="428" t="s">
        <v>1430</v>
      </c>
      <c r="D1456" s="314">
        <v>654397</v>
      </c>
      <c r="E1456" s="314"/>
      <c r="F1456" s="314">
        <v>615769</v>
      </c>
      <c r="G1456" s="314"/>
      <c r="H1456" s="314">
        <v>31134</v>
      </c>
      <c r="I1456" s="314"/>
      <c r="J1456" s="314">
        <v>7494</v>
      </c>
      <c r="K1456" s="314">
        <v>3907</v>
      </c>
      <c r="L1456" s="314">
        <v>3586</v>
      </c>
      <c r="M1456" s="314"/>
      <c r="N1456" s="314"/>
      <c r="O1456" s="314">
        <v>654397</v>
      </c>
      <c r="P1456" s="314">
        <v>925</v>
      </c>
      <c r="Q1456" s="314"/>
      <c r="R1456" s="314">
        <v>654397</v>
      </c>
      <c r="S1456" s="314">
        <v>0</v>
      </c>
      <c r="T1456" s="314" t="s">
        <v>1783</v>
      </c>
      <c r="W1456" s="320"/>
      <c r="X1456" s="320"/>
      <c r="Y1456" s="320"/>
    </row>
    <row r="1457" spans="1:25" x14ac:dyDescent="0.45">
      <c r="A1457" s="45">
        <v>22</v>
      </c>
      <c r="B1457" s="45" t="s">
        <v>1335</v>
      </c>
      <c r="C1457" s="428" t="s">
        <v>1430</v>
      </c>
      <c r="D1457" s="314">
        <v>33659765</v>
      </c>
      <c r="E1457" s="314"/>
      <c r="F1457" s="314">
        <v>31672892</v>
      </c>
      <c r="G1457" s="314"/>
      <c r="H1457" s="314">
        <v>1601427</v>
      </c>
      <c r="I1457" s="314"/>
      <c r="J1457" s="314">
        <v>385446</v>
      </c>
      <c r="K1457" s="314">
        <v>200976</v>
      </c>
      <c r="L1457" s="314">
        <v>184470</v>
      </c>
      <c r="M1457" s="314"/>
      <c r="N1457" s="314"/>
      <c r="O1457" s="314">
        <v>33659765</v>
      </c>
      <c r="P1457" s="314">
        <v>926</v>
      </c>
      <c r="Q1457" s="314"/>
      <c r="R1457" s="314">
        <v>33659765</v>
      </c>
      <c r="S1457" s="314">
        <v>0</v>
      </c>
      <c r="T1457" s="314" t="s">
        <v>1783</v>
      </c>
      <c r="W1457" s="320"/>
      <c r="X1457" s="320"/>
      <c r="Y1457" s="320"/>
    </row>
    <row r="1458" spans="1:25" x14ac:dyDescent="0.45">
      <c r="A1458" s="45">
        <v>23</v>
      </c>
      <c r="B1458" s="45" t="s">
        <v>1336</v>
      </c>
      <c r="C1458" s="428" t="s">
        <v>1430</v>
      </c>
      <c r="D1458" s="314">
        <v>0</v>
      </c>
      <c r="E1458" s="314"/>
      <c r="F1458" s="314">
        <v>0</v>
      </c>
      <c r="G1458" s="314"/>
      <c r="H1458" s="314">
        <v>0</v>
      </c>
      <c r="I1458" s="314"/>
      <c r="J1458" s="314">
        <v>0</v>
      </c>
      <c r="K1458" s="314">
        <v>0</v>
      </c>
      <c r="L1458" s="314">
        <v>0</v>
      </c>
      <c r="M1458" s="314"/>
      <c r="N1458" s="314"/>
      <c r="O1458" s="314">
        <v>0</v>
      </c>
      <c r="P1458" s="314">
        <v>927</v>
      </c>
      <c r="Q1458" s="314"/>
      <c r="R1458" s="314">
        <v>0</v>
      </c>
      <c r="S1458" s="314">
        <v>0</v>
      </c>
      <c r="T1458" s="314" t="s">
        <v>1783</v>
      </c>
      <c r="W1458" s="320"/>
      <c r="X1458" s="320"/>
      <c r="Y1458" s="320"/>
    </row>
    <row r="1459" spans="1:25" x14ac:dyDescent="0.45">
      <c r="A1459" s="45">
        <v>24</v>
      </c>
      <c r="B1459" s="45" t="s">
        <v>1337</v>
      </c>
      <c r="C1459" s="428" t="s">
        <v>1430</v>
      </c>
      <c r="D1459" s="314">
        <v>0</v>
      </c>
      <c r="E1459" s="314"/>
      <c r="F1459" s="314">
        <v>0</v>
      </c>
      <c r="G1459" s="314"/>
      <c r="H1459" s="314">
        <v>0</v>
      </c>
      <c r="I1459" s="314"/>
      <c r="J1459" s="314">
        <v>0</v>
      </c>
      <c r="K1459" s="314">
        <v>0</v>
      </c>
      <c r="L1459" s="314">
        <v>0</v>
      </c>
      <c r="M1459" s="314"/>
      <c r="N1459" s="314"/>
      <c r="O1459" s="314">
        <v>0</v>
      </c>
      <c r="P1459" s="314">
        <v>929</v>
      </c>
      <c r="Q1459" s="314"/>
      <c r="R1459" s="314">
        <v>0</v>
      </c>
      <c r="S1459" s="314">
        <v>0</v>
      </c>
      <c r="T1459" s="314" t="s">
        <v>1783</v>
      </c>
      <c r="W1459" s="320"/>
      <c r="X1459" s="320"/>
      <c r="Y1459" s="320"/>
    </row>
    <row r="1460" spans="1:25" x14ac:dyDescent="0.45">
      <c r="A1460" s="45">
        <v>25</v>
      </c>
      <c r="B1460" s="45" t="s">
        <v>1338</v>
      </c>
      <c r="C1460" s="428" t="s">
        <v>1430</v>
      </c>
      <c r="D1460" s="314">
        <v>334191</v>
      </c>
      <c r="E1460" s="314"/>
      <c r="F1460" s="314">
        <v>314464</v>
      </c>
      <c r="G1460" s="314"/>
      <c r="H1460" s="314">
        <v>15900</v>
      </c>
      <c r="I1460" s="314"/>
      <c r="J1460" s="314">
        <v>3827</v>
      </c>
      <c r="K1460" s="314">
        <v>1995</v>
      </c>
      <c r="L1460" s="314">
        <v>1832</v>
      </c>
      <c r="M1460" s="314"/>
      <c r="N1460" s="314"/>
      <c r="O1460" s="314">
        <v>334191</v>
      </c>
      <c r="P1460" s="314">
        <v>930.1</v>
      </c>
      <c r="Q1460" s="314">
        <v>930.2</v>
      </c>
      <c r="R1460" s="314">
        <v>334191</v>
      </c>
      <c r="S1460" s="314">
        <v>0</v>
      </c>
      <c r="T1460" s="314" t="s">
        <v>1783</v>
      </c>
      <c r="W1460" s="320"/>
      <c r="X1460" s="320"/>
      <c r="Y1460" s="320"/>
    </row>
    <row r="1461" spans="1:25" x14ac:dyDescent="0.45">
      <c r="A1461" s="45">
        <v>26</v>
      </c>
      <c r="B1461" s="45" t="s">
        <v>1339</v>
      </c>
      <c r="C1461" s="428" t="s">
        <v>1430</v>
      </c>
      <c r="D1461" s="314">
        <v>0</v>
      </c>
      <c r="E1461" s="314"/>
      <c r="F1461" s="314">
        <v>0</v>
      </c>
      <c r="G1461" s="314"/>
      <c r="H1461" s="314">
        <v>0</v>
      </c>
      <c r="I1461" s="314"/>
      <c r="J1461" s="314">
        <v>0</v>
      </c>
      <c r="K1461" s="314">
        <v>0</v>
      </c>
      <c r="L1461" s="314">
        <v>0</v>
      </c>
      <c r="M1461" s="314"/>
      <c r="N1461" s="314"/>
      <c r="O1461" s="314">
        <v>0</v>
      </c>
      <c r="P1461" s="314">
        <v>931</v>
      </c>
      <c r="Q1461" s="314"/>
      <c r="R1461" s="314">
        <v>0</v>
      </c>
      <c r="S1461" s="314">
        <v>0</v>
      </c>
      <c r="T1461" s="314" t="s">
        <v>1783</v>
      </c>
      <c r="V1461" s="354"/>
      <c r="W1461" s="320"/>
      <c r="X1461" s="320"/>
      <c r="Y1461" s="320"/>
    </row>
    <row r="1462" spans="1:25" x14ac:dyDescent="0.45">
      <c r="A1462" s="45">
        <v>27</v>
      </c>
      <c r="B1462" s="45" t="s">
        <v>1340</v>
      </c>
      <c r="C1462" s="428" t="s">
        <v>1430</v>
      </c>
      <c r="D1462" s="314">
        <v>777903</v>
      </c>
      <c r="E1462" s="314"/>
      <c r="F1462" s="314">
        <v>731985</v>
      </c>
      <c r="G1462" s="314"/>
      <c r="H1462" s="314">
        <v>37010</v>
      </c>
      <c r="I1462" s="314"/>
      <c r="J1462" s="314">
        <v>8908</v>
      </c>
      <c r="K1462" s="314">
        <v>4645</v>
      </c>
      <c r="L1462" s="314">
        <v>4263</v>
      </c>
      <c r="M1462" s="314"/>
      <c r="N1462" s="314"/>
      <c r="O1462" s="314">
        <v>777903</v>
      </c>
      <c r="P1462" s="314">
        <v>935</v>
      </c>
      <c r="Q1462" s="314"/>
      <c r="R1462" s="314">
        <v>777903</v>
      </c>
      <c r="S1462" s="314">
        <v>0</v>
      </c>
      <c r="T1462" s="314" t="s">
        <v>1783</v>
      </c>
      <c r="U1462" s="354"/>
      <c r="W1462" s="320"/>
      <c r="X1462" s="320"/>
      <c r="Y1462" s="320"/>
    </row>
    <row r="1463" spans="1:25" x14ac:dyDescent="0.45">
      <c r="A1463" s="45"/>
      <c r="B1463" s="45"/>
      <c r="C1463" s="45"/>
      <c r="D1463" s="314"/>
      <c r="E1463" s="314"/>
      <c r="F1463" s="314"/>
      <c r="G1463" s="314"/>
      <c r="H1463" s="314"/>
      <c r="I1463" s="314"/>
      <c r="J1463" s="314"/>
      <c r="K1463" s="314"/>
      <c r="L1463" s="314"/>
      <c r="M1463" s="314"/>
      <c r="N1463" s="314"/>
      <c r="O1463" s="314"/>
      <c r="P1463" s="314"/>
      <c r="Q1463" s="314"/>
      <c r="R1463" s="314"/>
      <c r="S1463" s="314"/>
      <c r="T1463" s="314"/>
      <c r="V1463" s="354"/>
      <c r="W1463" s="320"/>
      <c r="X1463" s="320"/>
      <c r="Y1463" s="320"/>
    </row>
    <row r="1464" spans="1:25" x14ac:dyDescent="0.45">
      <c r="A1464" s="45">
        <v>28</v>
      </c>
      <c r="B1464" s="45" t="s">
        <v>1341</v>
      </c>
      <c r="C1464" s="45"/>
      <c r="D1464" s="314">
        <v>65835513</v>
      </c>
      <c r="E1464" s="314"/>
      <c r="F1464" s="314">
        <v>61949366</v>
      </c>
      <c r="G1464" s="314"/>
      <c r="H1464" s="314">
        <v>3132249</v>
      </c>
      <c r="I1464" s="314"/>
      <c r="J1464" s="314">
        <v>753898</v>
      </c>
      <c r="K1464" s="314">
        <v>393091</v>
      </c>
      <c r="L1464" s="314">
        <v>360807</v>
      </c>
      <c r="M1464" s="314"/>
      <c r="N1464" s="314"/>
      <c r="O1464" s="314"/>
      <c r="P1464" s="314"/>
      <c r="Q1464" s="314"/>
      <c r="R1464" s="314"/>
      <c r="S1464" s="314"/>
      <c r="T1464" s="314"/>
      <c r="U1464" s="354"/>
      <c r="W1464" s="320"/>
    </row>
    <row r="1465" spans="1:25" x14ac:dyDescent="0.45">
      <c r="A1465" s="45"/>
      <c r="B1465" s="45"/>
      <c r="C1465" s="45"/>
      <c r="D1465" s="314"/>
      <c r="E1465" s="314"/>
      <c r="F1465" s="314"/>
      <c r="G1465" s="314"/>
      <c r="H1465" s="314"/>
      <c r="I1465" s="314"/>
      <c r="J1465" s="314"/>
      <c r="K1465" s="314"/>
      <c r="L1465" s="314"/>
      <c r="M1465" s="314"/>
      <c r="N1465" s="314"/>
      <c r="O1465" s="314"/>
      <c r="P1465" s="314"/>
      <c r="Q1465" s="314"/>
      <c r="R1465" s="314"/>
      <c r="S1465" s="314"/>
      <c r="T1465" s="314"/>
      <c r="W1465" s="320"/>
    </row>
    <row r="1466" spans="1:25" x14ac:dyDescent="0.45">
      <c r="A1466" s="45">
        <v>29</v>
      </c>
      <c r="B1466" s="45" t="s">
        <v>1342</v>
      </c>
      <c r="C1466" s="45"/>
      <c r="D1466" s="314">
        <v>184095229</v>
      </c>
      <c r="E1466" s="314"/>
      <c r="F1466" s="314">
        <v>173228434</v>
      </c>
      <c r="G1466" s="314"/>
      <c r="H1466" s="314">
        <v>8758678</v>
      </c>
      <c r="I1466" s="314"/>
      <c r="J1466" s="314">
        <v>2108117</v>
      </c>
      <c r="K1466" s="314">
        <v>1099197</v>
      </c>
      <c r="L1466" s="314">
        <v>1008920</v>
      </c>
      <c r="M1466" s="314"/>
      <c r="N1466" s="314"/>
      <c r="O1466" s="314"/>
      <c r="P1466" s="314" t="s">
        <v>556</v>
      </c>
      <c r="Q1466" s="314"/>
      <c r="R1466" s="314">
        <v>0</v>
      </c>
      <c r="S1466" s="314"/>
      <c r="T1466" s="314"/>
      <c r="W1466" s="320"/>
    </row>
    <row r="1467" spans="1:25" x14ac:dyDescent="0.45">
      <c r="A1467" s="45"/>
      <c r="B1467" s="45"/>
      <c r="C1467" s="45"/>
      <c r="D1467" s="314"/>
      <c r="E1467" s="314"/>
      <c r="F1467" s="314"/>
      <c r="G1467" s="314"/>
      <c r="H1467" s="314"/>
      <c r="I1467" s="314"/>
      <c r="J1467" s="314"/>
      <c r="K1467" s="314"/>
      <c r="L1467" s="314"/>
      <c r="M1467" s="314"/>
      <c r="N1467" s="314"/>
      <c r="O1467" s="314"/>
      <c r="P1467" s="314"/>
      <c r="Q1467" s="314"/>
      <c r="R1467" s="314"/>
      <c r="S1467" s="314"/>
      <c r="T1467" s="314"/>
      <c r="W1467" s="320">
        <v>0</v>
      </c>
    </row>
    <row r="1468" spans="1:25" x14ac:dyDescent="0.45">
      <c r="D1468" s="314"/>
      <c r="E1468" s="314"/>
      <c r="F1468" s="314"/>
      <c r="G1468" s="314"/>
      <c r="H1468" s="314"/>
      <c r="I1468" s="314"/>
      <c r="J1468" s="314"/>
      <c r="K1468" s="314"/>
      <c r="L1468" s="314"/>
      <c r="M1468" s="314"/>
      <c r="N1468" s="314"/>
      <c r="O1468" s="314"/>
      <c r="P1468" s="314"/>
      <c r="Q1468" s="314"/>
      <c r="R1468" s="314"/>
      <c r="S1468" s="314"/>
      <c r="T1468" s="314"/>
      <c r="W1468" s="320"/>
    </row>
    <row r="1469" spans="1:25" x14ac:dyDescent="0.45">
      <c r="W1469" s="320"/>
    </row>
    <row r="1470" spans="1:25" x14ac:dyDescent="0.45">
      <c r="W1470" s="320"/>
    </row>
    <row r="1471" spans="1:25" x14ac:dyDescent="0.45">
      <c r="W1471" s="320"/>
    </row>
    <row r="1472" spans="1:25" x14ac:dyDescent="0.45">
      <c r="W1472" s="320"/>
    </row>
    <row r="1473" spans="23:23" x14ac:dyDescent="0.45">
      <c r="W1473" s="320"/>
    </row>
    <row r="1474" spans="23:23" x14ac:dyDescent="0.45">
      <c r="W1474" s="320"/>
    </row>
    <row r="1475" spans="23:23" x14ac:dyDescent="0.45">
      <c r="W1475" s="320"/>
    </row>
    <row r="1476" spans="23:23" x14ac:dyDescent="0.45">
      <c r="W1476" s="320"/>
    </row>
    <row r="1477" spans="23:23" x14ac:dyDescent="0.45">
      <c r="W1477" s="320"/>
    </row>
    <row r="1478" spans="23:23" x14ac:dyDescent="0.45">
      <c r="W1478" s="320"/>
    </row>
    <row r="1479" spans="23:23" x14ac:dyDescent="0.45">
      <c r="W1479" s="320"/>
    </row>
    <row r="1480" spans="23:23" x14ac:dyDescent="0.45">
      <c r="W1480" s="320"/>
    </row>
    <row r="1481" spans="23:23" x14ac:dyDescent="0.45">
      <c r="W1481" s="320"/>
    </row>
    <row r="1482" spans="23:23" x14ac:dyDescent="0.45">
      <c r="W1482" s="320"/>
    </row>
    <row r="1483" spans="23:23" x14ac:dyDescent="0.45">
      <c r="W1483" s="320"/>
    </row>
    <row r="1484" spans="23:23" x14ac:dyDescent="0.45">
      <c r="W1484" s="320"/>
    </row>
    <row r="1485" spans="23:23" x14ac:dyDescent="0.45">
      <c r="W1485" s="320"/>
    </row>
    <row r="1486" spans="23:23" x14ac:dyDescent="0.45">
      <c r="W1486" s="320"/>
    </row>
    <row r="1487" spans="23:23" x14ac:dyDescent="0.45">
      <c r="W1487" s="320"/>
    </row>
    <row r="1488" spans="23:23" x14ac:dyDescent="0.45">
      <c r="W1488" s="320"/>
    </row>
    <row r="1489" spans="23:23" x14ac:dyDescent="0.45">
      <c r="W1489" s="320"/>
    </row>
    <row r="1490" spans="23:23" x14ac:dyDescent="0.45">
      <c r="W1490" s="320"/>
    </row>
    <row r="1491" spans="23:23" x14ac:dyDescent="0.45">
      <c r="W1491" s="320"/>
    </row>
    <row r="1492" spans="23:23" x14ac:dyDescent="0.45">
      <c r="W1492" s="320"/>
    </row>
    <row r="1493" spans="23:23" x14ac:dyDescent="0.45">
      <c r="W1493" s="320"/>
    </row>
    <row r="1494" spans="23:23" x14ac:dyDescent="0.45">
      <c r="W1494" s="320"/>
    </row>
    <row r="1495" spans="23:23" x14ac:dyDescent="0.45">
      <c r="W1495" s="320"/>
    </row>
    <row r="1496" spans="23:23" x14ac:dyDescent="0.45">
      <c r="W1496" s="320"/>
    </row>
    <row r="1497" spans="23:23" x14ac:dyDescent="0.45">
      <c r="W1497" s="320"/>
    </row>
    <row r="1498" spans="23:23" x14ac:dyDescent="0.45">
      <c r="W1498" s="320"/>
    </row>
    <row r="1499" spans="23:23" x14ac:dyDescent="0.45">
      <c r="W1499" s="320"/>
    </row>
    <row r="1500" spans="23:23" x14ac:dyDescent="0.45">
      <c r="W1500" s="320"/>
    </row>
    <row r="1501" spans="23:23" x14ac:dyDescent="0.45">
      <c r="W1501" s="320"/>
    </row>
    <row r="1502" spans="23:23" x14ac:dyDescent="0.45">
      <c r="W1502" s="320"/>
    </row>
    <row r="1503" spans="23:23" x14ac:dyDescent="0.45">
      <c r="W1503" s="320"/>
    </row>
    <row r="1504" spans="23:23" x14ac:dyDescent="0.45">
      <c r="W1504" s="320"/>
    </row>
    <row r="1505" spans="23:23" x14ac:dyDescent="0.45">
      <c r="W1505" s="320"/>
    </row>
    <row r="1506" spans="23:23" x14ac:dyDescent="0.45">
      <c r="W1506" s="320"/>
    </row>
    <row r="1507" spans="23:23" x14ac:dyDescent="0.45">
      <c r="W1507" s="320"/>
    </row>
    <row r="1508" spans="23:23" x14ac:dyDescent="0.45">
      <c r="W1508" s="320"/>
    </row>
    <row r="1509" spans="23:23" x14ac:dyDescent="0.45">
      <c r="W1509" s="320"/>
    </row>
    <row r="1510" spans="23:23" x14ac:dyDescent="0.45">
      <c r="W1510" s="320"/>
    </row>
    <row r="1511" spans="23:23" x14ac:dyDescent="0.45">
      <c r="W1511" s="320"/>
    </row>
    <row r="1512" spans="23:23" x14ac:dyDescent="0.45">
      <c r="W1512" s="320"/>
    </row>
    <row r="1513" spans="23:23" x14ac:dyDescent="0.45">
      <c r="W1513" s="320"/>
    </row>
    <row r="1514" spans="23:23" x14ac:dyDescent="0.45">
      <c r="W1514" s="320"/>
    </row>
    <row r="1515" spans="23:23" x14ac:dyDescent="0.45">
      <c r="W1515" s="320"/>
    </row>
    <row r="1516" spans="23:23" x14ac:dyDescent="0.45">
      <c r="W1516" s="320"/>
    </row>
    <row r="1517" spans="23:23" x14ac:dyDescent="0.45">
      <c r="W1517" s="320"/>
    </row>
    <row r="1518" spans="23:23" x14ac:dyDescent="0.45">
      <c r="W1518" s="320"/>
    </row>
    <row r="1519" spans="23:23" x14ac:dyDescent="0.45">
      <c r="W1519" s="320"/>
    </row>
    <row r="1520" spans="23:23" x14ac:dyDescent="0.45">
      <c r="W1520" s="320"/>
    </row>
    <row r="1521" spans="23:23" x14ac:dyDescent="0.45">
      <c r="W1521" s="320"/>
    </row>
    <row r="1522" spans="23:23" x14ac:dyDescent="0.45">
      <c r="W1522" s="320"/>
    </row>
    <row r="1523" spans="23:23" x14ac:dyDescent="0.45">
      <c r="W1523" s="320"/>
    </row>
    <row r="1524" spans="23:23" x14ac:dyDescent="0.45">
      <c r="W1524" s="320"/>
    </row>
    <row r="1525" spans="23:23" x14ac:dyDescent="0.45">
      <c r="W1525" s="320"/>
    </row>
    <row r="1526" spans="23:23" x14ac:dyDescent="0.45">
      <c r="W1526" s="320"/>
    </row>
    <row r="1527" spans="23:23" x14ac:dyDescent="0.45">
      <c r="W1527" s="320"/>
    </row>
    <row r="1528" spans="23:23" x14ac:dyDescent="0.45">
      <c r="W1528" s="320"/>
    </row>
    <row r="1529" spans="23:23" x14ac:dyDescent="0.45">
      <c r="W1529" s="320"/>
    </row>
    <row r="1530" spans="23:23" x14ac:dyDescent="0.45">
      <c r="W1530" s="320"/>
    </row>
    <row r="1531" spans="23:23" x14ac:dyDescent="0.45">
      <c r="W1531" s="320"/>
    </row>
    <row r="1532" spans="23:23" x14ac:dyDescent="0.45">
      <c r="W1532" s="320"/>
    </row>
    <row r="1533" spans="23:23" x14ac:dyDescent="0.45">
      <c r="W1533" s="320"/>
    </row>
    <row r="1534" spans="23:23" x14ac:dyDescent="0.45">
      <c r="W1534" s="320"/>
    </row>
    <row r="1535" spans="23:23" x14ac:dyDescent="0.45">
      <c r="W1535" s="320"/>
    </row>
    <row r="1536" spans="23:23" x14ac:dyDescent="0.45">
      <c r="W1536" s="320"/>
    </row>
    <row r="1537" spans="23:23" x14ac:dyDescent="0.45">
      <c r="W1537" s="320"/>
    </row>
    <row r="1538" spans="23:23" x14ac:dyDescent="0.45">
      <c r="W1538" s="320"/>
    </row>
    <row r="1539" spans="23:23" x14ac:dyDescent="0.45">
      <c r="W1539" s="320"/>
    </row>
    <row r="1540" spans="23:23" x14ac:dyDescent="0.45">
      <c r="W1540" s="320"/>
    </row>
    <row r="1541" spans="23:23" x14ac:dyDescent="0.45">
      <c r="W1541" s="320"/>
    </row>
    <row r="1542" spans="23:23" x14ac:dyDescent="0.45">
      <c r="W1542" s="320"/>
    </row>
    <row r="1543" spans="23:23" x14ac:dyDescent="0.45">
      <c r="W1543" s="320"/>
    </row>
    <row r="1544" spans="23:23" x14ac:dyDescent="0.45">
      <c r="W1544" s="320"/>
    </row>
    <row r="1545" spans="23:23" x14ac:dyDescent="0.45">
      <c r="W1545" s="320"/>
    </row>
    <row r="1546" spans="23:23" x14ac:dyDescent="0.45">
      <c r="W1546" s="320"/>
    </row>
    <row r="1547" spans="23:23" x14ac:dyDescent="0.45">
      <c r="W1547" s="320"/>
    </row>
    <row r="1548" spans="23:23" x14ac:dyDescent="0.45">
      <c r="W1548" s="320"/>
    </row>
    <row r="1549" spans="23:23" x14ac:dyDescent="0.45">
      <c r="W1549" s="320"/>
    </row>
    <row r="1550" spans="23:23" x14ac:dyDescent="0.45">
      <c r="W1550" s="320"/>
    </row>
    <row r="1551" spans="23:23" x14ac:dyDescent="0.45">
      <c r="W1551" s="320"/>
    </row>
    <row r="1552" spans="23:23" x14ac:dyDescent="0.45">
      <c r="W1552" s="320"/>
    </row>
    <row r="1553" spans="23:23" x14ac:dyDescent="0.45">
      <c r="W1553" s="320"/>
    </row>
    <row r="1554" spans="23:23" x14ac:dyDescent="0.45">
      <c r="W1554" s="320"/>
    </row>
    <row r="1555" spans="23:23" x14ac:dyDescent="0.45">
      <c r="W1555" s="320"/>
    </row>
    <row r="1556" spans="23:23" x14ac:dyDescent="0.45">
      <c r="W1556" s="320"/>
    </row>
    <row r="1557" spans="23:23" x14ac:dyDescent="0.45">
      <c r="W1557" s="320"/>
    </row>
    <row r="1558" spans="23:23" x14ac:dyDescent="0.45">
      <c r="W1558" s="320"/>
    </row>
    <row r="1559" spans="23:23" x14ac:dyDescent="0.45">
      <c r="W1559" s="320"/>
    </row>
    <row r="1560" spans="23:23" x14ac:dyDescent="0.45">
      <c r="W1560" s="320"/>
    </row>
    <row r="1561" spans="23:23" x14ac:dyDescent="0.45">
      <c r="W1561" s="320"/>
    </row>
    <row r="1562" spans="23:23" x14ac:dyDescent="0.45">
      <c r="W1562" s="320"/>
    </row>
    <row r="1563" spans="23:23" x14ac:dyDescent="0.45">
      <c r="W1563" s="320"/>
    </row>
    <row r="1564" spans="23:23" x14ac:dyDescent="0.45">
      <c r="W1564" s="320"/>
    </row>
    <row r="1565" spans="23:23" x14ac:dyDescent="0.45">
      <c r="W1565" s="320"/>
    </row>
    <row r="1566" spans="23:23" x14ac:dyDescent="0.45">
      <c r="W1566" s="320"/>
    </row>
    <row r="1567" spans="23:23" x14ac:dyDescent="0.45">
      <c r="W1567" s="320"/>
    </row>
    <row r="1568" spans="23:23" x14ac:dyDescent="0.45">
      <c r="W1568" s="320"/>
    </row>
    <row r="1569" spans="23:23" x14ac:dyDescent="0.45">
      <c r="W1569" s="320"/>
    </row>
    <row r="1570" spans="23:23" x14ac:dyDescent="0.45">
      <c r="W1570" s="320"/>
    </row>
    <row r="1571" spans="23:23" x14ac:dyDescent="0.45">
      <c r="W1571" s="320"/>
    </row>
    <row r="1572" spans="23:23" x14ac:dyDescent="0.45">
      <c r="W1572" s="320"/>
    </row>
    <row r="1573" spans="23:23" x14ac:dyDescent="0.45">
      <c r="W1573" s="320"/>
    </row>
    <row r="1574" spans="23:23" x14ac:dyDescent="0.45">
      <c r="W1574" s="320"/>
    </row>
    <row r="1575" spans="23:23" x14ac:dyDescent="0.45">
      <c r="W1575" s="320"/>
    </row>
    <row r="1576" spans="23:23" x14ac:dyDescent="0.45">
      <c r="W1576" s="320"/>
    </row>
    <row r="1577" spans="23:23" x14ac:dyDescent="0.45">
      <c r="W1577" s="320"/>
    </row>
    <row r="1578" spans="23:23" x14ac:dyDescent="0.45">
      <c r="W1578" s="320"/>
    </row>
    <row r="1579" spans="23:23" x14ac:dyDescent="0.45">
      <c r="W1579" s="320"/>
    </row>
    <row r="1580" spans="23:23" x14ac:dyDescent="0.45">
      <c r="W1580" s="320"/>
    </row>
    <row r="1581" spans="23:23" x14ac:dyDescent="0.45">
      <c r="W1581" s="320"/>
    </row>
    <row r="1582" spans="23:23" x14ac:dyDescent="0.45">
      <c r="W1582" s="320"/>
    </row>
    <row r="1583" spans="23:23" x14ac:dyDescent="0.45">
      <c r="W1583" s="320"/>
    </row>
    <row r="1584" spans="23:23" x14ac:dyDescent="0.45">
      <c r="W1584" s="320"/>
    </row>
    <row r="1585" spans="23:23" x14ac:dyDescent="0.45">
      <c r="W1585" s="320"/>
    </row>
    <row r="1586" spans="23:23" x14ac:dyDescent="0.45">
      <c r="W1586" s="320"/>
    </row>
    <row r="1587" spans="23:23" x14ac:dyDescent="0.45">
      <c r="W1587" s="320"/>
    </row>
    <row r="1588" spans="23:23" x14ac:dyDescent="0.45">
      <c r="W1588" s="320"/>
    </row>
    <row r="1589" spans="23:23" x14ac:dyDescent="0.45">
      <c r="W1589" s="320"/>
    </row>
    <row r="1590" spans="23:23" x14ac:dyDescent="0.45">
      <c r="W1590" s="320"/>
    </row>
    <row r="1591" spans="23:23" x14ac:dyDescent="0.45">
      <c r="W1591" s="320"/>
    </row>
    <row r="1592" spans="23:23" x14ac:dyDescent="0.45">
      <c r="W1592" s="320"/>
    </row>
    <row r="1593" spans="23:23" x14ac:dyDescent="0.45">
      <c r="W1593" s="320"/>
    </row>
    <row r="1594" spans="23:23" x14ac:dyDescent="0.45">
      <c r="W1594" s="320"/>
    </row>
    <row r="1595" spans="23:23" x14ac:dyDescent="0.45">
      <c r="W1595" s="320"/>
    </row>
    <row r="1596" spans="23:23" x14ac:dyDescent="0.45">
      <c r="W1596" s="320"/>
    </row>
    <row r="1597" spans="23:23" x14ac:dyDescent="0.45">
      <c r="W1597" s="320"/>
    </row>
    <row r="1598" spans="23:23" x14ac:dyDescent="0.45">
      <c r="W1598" s="320"/>
    </row>
    <row r="1599" spans="23:23" x14ac:dyDescent="0.45">
      <c r="W1599" s="320"/>
    </row>
    <row r="1600" spans="23:23" x14ac:dyDescent="0.45">
      <c r="W1600" s="320"/>
    </row>
    <row r="1601" spans="23:23" x14ac:dyDescent="0.45">
      <c r="W1601" s="320"/>
    </row>
    <row r="1602" spans="23:23" x14ac:dyDescent="0.45">
      <c r="W1602" s="320"/>
    </row>
    <row r="1603" spans="23:23" x14ac:dyDescent="0.45">
      <c r="W1603" s="320"/>
    </row>
    <row r="1604" spans="23:23" x14ac:dyDescent="0.45">
      <c r="W1604" s="320"/>
    </row>
    <row r="1605" spans="23:23" x14ac:dyDescent="0.45">
      <c r="W1605" s="320"/>
    </row>
    <row r="1606" spans="23:23" x14ac:dyDescent="0.45">
      <c r="W1606" s="320"/>
    </row>
    <row r="1607" spans="23:23" x14ac:dyDescent="0.45">
      <c r="W1607" s="320"/>
    </row>
    <row r="1608" spans="23:23" x14ac:dyDescent="0.45">
      <c r="W1608" s="320"/>
    </row>
    <row r="1609" spans="23:23" x14ac:dyDescent="0.45">
      <c r="W1609" s="320"/>
    </row>
    <row r="1610" spans="23:23" x14ac:dyDescent="0.45">
      <c r="W1610" s="320"/>
    </row>
    <row r="1611" spans="23:23" x14ac:dyDescent="0.45">
      <c r="W1611" s="320"/>
    </row>
    <row r="1612" spans="23:23" x14ac:dyDescent="0.45">
      <c r="W1612" s="320"/>
    </row>
    <row r="1613" spans="23:23" x14ac:dyDescent="0.45">
      <c r="W1613" s="320"/>
    </row>
    <row r="1614" spans="23:23" x14ac:dyDescent="0.45">
      <c r="W1614" s="320"/>
    </row>
    <row r="1615" spans="23:23" x14ac:dyDescent="0.45">
      <c r="W1615" s="320"/>
    </row>
    <row r="1616" spans="23:23" x14ac:dyDescent="0.45">
      <c r="W1616" s="320"/>
    </row>
    <row r="1617" spans="23:23" x14ac:dyDescent="0.45">
      <c r="W1617" s="320"/>
    </row>
    <row r="1618" spans="23:23" x14ac:dyDescent="0.45">
      <c r="W1618" s="320"/>
    </row>
    <row r="1619" spans="23:23" x14ac:dyDescent="0.45">
      <c r="W1619" s="320"/>
    </row>
    <row r="1620" spans="23:23" x14ac:dyDescent="0.45">
      <c r="W1620" s="320"/>
    </row>
    <row r="1621" spans="23:23" x14ac:dyDescent="0.45">
      <c r="W1621" s="320"/>
    </row>
    <row r="1622" spans="23:23" x14ac:dyDescent="0.45">
      <c r="W1622" s="320"/>
    </row>
    <row r="1623" spans="23:23" x14ac:dyDescent="0.45">
      <c r="W1623" s="320"/>
    </row>
    <row r="1624" spans="23:23" x14ac:dyDescent="0.45">
      <c r="W1624" s="320"/>
    </row>
    <row r="1625" spans="23:23" x14ac:dyDescent="0.45">
      <c r="W1625" s="320"/>
    </row>
    <row r="1626" spans="23:23" x14ac:dyDescent="0.45">
      <c r="W1626" s="320"/>
    </row>
    <row r="1627" spans="23:23" x14ac:dyDescent="0.45">
      <c r="W1627" s="320"/>
    </row>
    <row r="1628" spans="23:23" x14ac:dyDescent="0.45">
      <c r="W1628" s="320"/>
    </row>
    <row r="1629" spans="23:23" x14ac:dyDescent="0.45">
      <c r="W1629" s="320"/>
    </row>
    <row r="1630" spans="23:23" x14ac:dyDescent="0.45">
      <c r="W1630" s="320"/>
    </row>
    <row r="1631" spans="23:23" x14ac:dyDescent="0.45">
      <c r="W1631" s="320"/>
    </row>
    <row r="1632" spans="23:23" x14ac:dyDescent="0.45">
      <c r="W1632" s="320"/>
    </row>
    <row r="1633" spans="23:23" x14ac:dyDescent="0.45">
      <c r="W1633" s="320"/>
    </row>
    <row r="1634" spans="23:23" x14ac:dyDescent="0.45">
      <c r="W1634" s="320"/>
    </row>
    <row r="1635" spans="23:23" x14ac:dyDescent="0.45">
      <c r="W1635" s="320"/>
    </row>
    <row r="1636" spans="23:23" x14ac:dyDescent="0.45">
      <c r="W1636" s="320"/>
    </row>
    <row r="1637" spans="23:23" x14ac:dyDescent="0.45">
      <c r="W1637" s="320"/>
    </row>
    <row r="1638" spans="23:23" x14ac:dyDescent="0.45">
      <c r="W1638" s="320"/>
    </row>
    <row r="1639" spans="23:23" x14ac:dyDescent="0.45">
      <c r="W1639" s="320"/>
    </row>
    <row r="1640" spans="23:23" x14ac:dyDescent="0.45">
      <c r="W1640" s="320"/>
    </row>
    <row r="1641" spans="23:23" x14ac:dyDescent="0.45">
      <c r="W1641" s="320"/>
    </row>
    <row r="1642" spans="23:23" x14ac:dyDescent="0.45">
      <c r="W1642" s="320"/>
    </row>
    <row r="1643" spans="23:23" x14ac:dyDescent="0.45">
      <c r="W1643" s="320"/>
    </row>
    <row r="1644" spans="23:23" x14ac:dyDescent="0.45">
      <c r="W1644" s="320"/>
    </row>
    <row r="1645" spans="23:23" x14ac:dyDescent="0.45">
      <c r="W1645" s="320"/>
    </row>
    <row r="1646" spans="23:23" x14ac:dyDescent="0.45">
      <c r="W1646" s="320"/>
    </row>
    <row r="1647" spans="23:23" x14ac:dyDescent="0.45">
      <c r="W1647" s="320"/>
    </row>
    <row r="1648" spans="23:23" x14ac:dyDescent="0.45">
      <c r="W1648" s="320"/>
    </row>
    <row r="1649" spans="23:23" x14ac:dyDescent="0.45">
      <c r="W1649" s="320"/>
    </row>
    <row r="1650" spans="23:23" x14ac:dyDescent="0.45">
      <c r="W1650" s="320"/>
    </row>
    <row r="1651" spans="23:23" x14ac:dyDescent="0.45">
      <c r="W1651" s="320"/>
    </row>
    <row r="1652" spans="23:23" x14ac:dyDescent="0.45">
      <c r="W1652" s="320"/>
    </row>
    <row r="1653" spans="23:23" x14ac:dyDescent="0.45">
      <c r="W1653" s="320"/>
    </row>
    <row r="1654" spans="23:23" x14ac:dyDescent="0.45">
      <c r="W1654" s="320"/>
    </row>
    <row r="1655" spans="23:23" x14ac:dyDescent="0.45">
      <c r="W1655" s="320"/>
    </row>
    <row r="1656" spans="23:23" x14ac:dyDescent="0.45">
      <c r="W1656" s="320"/>
    </row>
    <row r="1657" spans="23:23" x14ac:dyDescent="0.45">
      <c r="W1657" s="320"/>
    </row>
    <row r="1658" spans="23:23" x14ac:dyDescent="0.45">
      <c r="W1658" s="320"/>
    </row>
    <row r="1659" spans="23:23" x14ac:dyDescent="0.45">
      <c r="W1659" s="320"/>
    </row>
    <row r="1660" spans="23:23" x14ac:dyDescent="0.45">
      <c r="W1660" s="320"/>
    </row>
    <row r="1661" spans="23:23" x14ac:dyDescent="0.45">
      <c r="W1661" s="320"/>
    </row>
    <row r="1662" spans="23:23" x14ac:dyDescent="0.45">
      <c r="W1662" s="320"/>
    </row>
    <row r="1663" spans="23:23" x14ac:dyDescent="0.45">
      <c r="W1663" s="320"/>
    </row>
    <row r="1664" spans="23:23" x14ac:dyDescent="0.45">
      <c r="W1664" s="320"/>
    </row>
    <row r="1665" spans="23:23" x14ac:dyDescent="0.45">
      <c r="W1665" s="320"/>
    </row>
    <row r="1666" spans="23:23" x14ac:dyDescent="0.45">
      <c r="W1666" s="320"/>
    </row>
    <row r="1667" spans="23:23" x14ac:dyDescent="0.45">
      <c r="W1667" s="320"/>
    </row>
    <row r="1668" spans="23:23" x14ac:dyDescent="0.45">
      <c r="W1668" s="320"/>
    </row>
    <row r="1669" spans="23:23" x14ac:dyDescent="0.45">
      <c r="W1669" s="320"/>
    </row>
    <row r="1670" spans="23:23" x14ac:dyDescent="0.45">
      <c r="W1670" s="320"/>
    </row>
    <row r="1671" spans="23:23" x14ac:dyDescent="0.45">
      <c r="W1671" s="320"/>
    </row>
    <row r="1672" spans="23:23" x14ac:dyDescent="0.45">
      <c r="W1672" s="320"/>
    </row>
    <row r="1673" spans="23:23" x14ac:dyDescent="0.45">
      <c r="W1673" s="320"/>
    </row>
    <row r="1674" spans="23:23" x14ac:dyDescent="0.45">
      <c r="W1674" s="320"/>
    </row>
    <row r="1675" spans="23:23" x14ac:dyDescent="0.45">
      <c r="W1675" s="320"/>
    </row>
    <row r="1676" spans="23:23" x14ac:dyDescent="0.45">
      <c r="W1676" s="320"/>
    </row>
    <row r="1677" spans="23:23" x14ac:dyDescent="0.45">
      <c r="W1677" s="320"/>
    </row>
    <row r="1678" spans="23:23" x14ac:dyDescent="0.45">
      <c r="W1678" s="320"/>
    </row>
    <row r="1679" spans="23:23" x14ac:dyDescent="0.45">
      <c r="W1679" s="320"/>
    </row>
    <row r="1680" spans="23:23" x14ac:dyDescent="0.45">
      <c r="W1680" s="320"/>
    </row>
    <row r="1681" spans="23:23" x14ac:dyDescent="0.45">
      <c r="W1681" s="320"/>
    </row>
    <row r="1682" spans="23:23" x14ac:dyDescent="0.45">
      <c r="W1682" s="320"/>
    </row>
    <row r="1683" spans="23:23" x14ac:dyDescent="0.45">
      <c r="W1683" s="320"/>
    </row>
    <row r="1684" spans="23:23" x14ac:dyDescent="0.45">
      <c r="W1684" s="320"/>
    </row>
    <row r="1685" spans="23:23" x14ac:dyDescent="0.45">
      <c r="W1685" s="320"/>
    </row>
    <row r="1686" spans="23:23" x14ac:dyDescent="0.45">
      <c r="W1686" s="320"/>
    </row>
    <row r="1687" spans="23:23" x14ac:dyDescent="0.45">
      <c r="W1687" s="320"/>
    </row>
    <row r="1688" spans="23:23" x14ac:dyDescent="0.45">
      <c r="W1688" s="320"/>
    </row>
    <row r="1689" spans="23:23" x14ac:dyDescent="0.45">
      <c r="W1689" s="320"/>
    </row>
    <row r="1690" spans="23:23" x14ac:dyDescent="0.45">
      <c r="W1690" s="320"/>
    </row>
    <row r="1691" spans="23:23" x14ac:dyDescent="0.45">
      <c r="W1691" s="320"/>
    </row>
    <row r="1692" spans="23:23" x14ac:dyDescent="0.45">
      <c r="W1692" s="320"/>
    </row>
    <row r="1693" spans="23:23" x14ac:dyDescent="0.45">
      <c r="W1693" s="320"/>
    </row>
    <row r="1694" spans="23:23" x14ac:dyDescent="0.45">
      <c r="W1694" s="320"/>
    </row>
    <row r="1695" spans="23:23" x14ac:dyDescent="0.45">
      <c r="W1695" s="320"/>
    </row>
    <row r="1696" spans="23:23" x14ac:dyDescent="0.45">
      <c r="W1696" s="320"/>
    </row>
    <row r="1697" spans="23:23" x14ac:dyDescent="0.45">
      <c r="W1697" s="320"/>
    </row>
    <row r="1698" spans="23:23" x14ac:dyDescent="0.45">
      <c r="W1698" s="320"/>
    </row>
    <row r="1699" spans="23:23" x14ac:dyDescent="0.45">
      <c r="W1699" s="320"/>
    </row>
    <row r="1700" spans="23:23" x14ac:dyDescent="0.45">
      <c r="W1700" s="320"/>
    </row>
    <row r="1701" spans="23:23" x14ac:dyDescent="0.45">
      <c r="W1701" s="320"/>
    </row>
    <row r="1702" spans="23:23" x14ac:dyDescent="0.45">
      <c r="W1702" s="320"/>
    </row>
    <row r="1703" spans="23:23" x14ac:dyDescent="0.45">
      <c r="W1703" s="320"/>
    </row>
    <row r="1704" spans="23:23" x14ac:dyDescent="0.45">
      <c r="W1704" s="320"/>
    </row>
    <row r="1705" spans="23:23" x14ac:dyDescent="0.45">
      <c r="W1705" s="320"/>
    </row>
    <row r="1706" spans="23:23" x14ac:dyDescent="0.45">
      <c r="W1706" s="320"/>
    </row>
    <row r="1707" spans="23:23" x14ac:dyDescent="0.45">
      <c r="W1707" s="320"/>
    </row>
    <row r="1708" spans="23:23" x14ac:dyDescent="0.45">
      <c r="W1708" s="320"/>
    </row>
    <row r="1709" spans="23:23" x14ac:dyDescent="0.45">
      <c r="W1709" s="320"/>
    </row>
    <row r="1710" spans="23:23" x14ac:dyDescent="0.45">
      <c r="W1710" s="320"/>
    </row>
    <row r="1711" spans="23:23" x14ac:dyDescent="0.45">
      <c r="W1711" s="320"/>
    </row>
    <row r="1712" spans="23:23" x14ac:dyDescent="0.45">
      <c r="W1712" s="320"/>
    </row>
    <row r="1713" spans="23:23" x14ac:dyDescent="0.45">
      <c r="W1713" s="320"/>
    </row>
    <row r="1714" spans="23:23" x14ac:dyDescent="0.45">
      <c r="W1714" s="320"/>
    </row>
    <row r="1715" spans="23:23" x14ac:dyDescent="0.45">
      <c r="W1715" s="320"/>
    </row>
    <row r="1716" spans="23:23" x14ac:dyDescent="0.45">
      <c r="W1716" s="320"/>
    </row>
    <row r="1717" spans="23:23" x14ac:dyDescent="0.45">
      <c r="W1717" s="320"/>
    </row>
    <row r="1718" spans="23:23" x14ac:dyDescent="0.45">
      <c r="W1718" s="320"/>
    </row>
    <row r="1719" spans="23:23" x14ac:dyDescent="0.45">
      <c r="W1719" s="320"/>
    </row>
    <row r="1720" spans="23:23" x14ac:dyDescent="0.45">
      <c r="W1720" s="320"/>
    </row>
    <row r="1721" spans="23:23" x14ac:dyDescent="0.45">
      <c r="W1721" s="320"/>
    </row>
    <row r="1722" spans="23:23" x14ac:dyDescent="0.45">
      <c r="W1722" s="320"/>
    </row>
    <row r="1723" spans="23:23" x14ac:dyDescent="0.45">
      <c r="W1723" s="320"/>
    </row>
    <row r="1724" spans="23:23" x14ac:dyDescent="0.45">
      <c r="W1724" s="320"/>
    </row>
    <row r="1725" spans="23:23" x14ac:dyDescent="0.45">
      <c r="W1725" s="320"/>
    </row>
    <row r="1726" spans="23:23" x14ac:dyDescent="0.45">
      <c r="W1726" s="320"/>
    </row>
    <row r="1727" spans="23:23" x14ac:dyDescent="0.45">
      <c r="W1727" s="320"/>
    </row>
    <row r="1728" spans="23:23" x14ac:dyDescent="0.45">
      <c r="W1728" s="320"/>
    </row>
    <row r="1729" spans="23:23" x14ac:dyDescent="0.45">
      <c r="W1729" s="320"/>
    </row>
    <row r="1730" spans="23:23" x14ac:dyDescent="0.45">
      <c r="W1730" s="320"/>
    </row>
    <row r="1731" spans="23:23" x14ac:dyDescent="0.45">
      <c r="W1731" s="320"/>
    </row>
    <row r="1732" spans="23:23" x14ac:dyDescent="0.45">
      <c r="W1732" s="320"/>
    </row>
    <row r="1733" spans="23:23" x14ac:dyDescent="0.45">
      <c r="W1733" s="320"/>
    </row>
    <row r="1734" spans="23:23" x14ac:dyDescent="0.45">
      <c r="W1734" s="320"/>
    </row>
    <row r="1735" spans="23:23" x14ac:dyDescent="0.45">
      <c r="W1735" s="320"/>
    </row>
    <row r="1736" spans="23:23" x14ac:dyDescent="0.45">
      <c r="W1736" s="320"/>
    </row>
    <row r="1737" spans="23:23" x14ac:dyDescent="0.45">
      <c r="W1737" s="320"/>
    </row>
    <row r="1738" spans="23:23" x14ac:dyDescent="0.45">
      <c r="W1738" s="320"/>
    </row>
    <row r="1739" spans="23:23" x14ac:dyDescent="0.45">
      <c r="W1739" s="320"/>
    </row>
    <row r="1740" spans="23:23" x14ac:dyDescent="0.45">
      <c r="W1740" s="320"/>
    </row>
    <row r="1741" spans="23:23" x14ac:dyDescent="0.45">
      <c r="W1741" s="320"/>
    </row>
    <row r="1742" spans="23:23" x14ac:dyDescent="0.45">
      <c r="W1742" s="320"/>
    </row>
    <row r="1743" spans="23:23" x14ac:dyDescent="0.45">
      <c r="W1743" s="320"/>
    </row>
    <row r="1744" spans="23:23" x14ac:dyDescent="0.45">
      <c r="W1744" s="320"/>
    </row>
    <row r="1745" spans="23:23" x14ac:dyDescent="0.45">
      <c r="W1745" s="320"/>
    </row>
    <row r="1746" spans="23:23" x14ac:dyDescent="0.45">
      <c r="W1746" s="320"/>
    </row>
    <row r="1747" spans="23:23" x14ac:dyDescent="0.45">
      <c r="W1747" s="320"/>
    </row>
    <row r="1748" spans="23:23" x14ac:dyDescent="0.45">
      <c r="W1748" s="320"/>
    </row>
    <row r="1749" spans="23:23" x14ac:dyDescent="0.45">
      <c r="W1749" s="320"/>
    </row>
    <row r="1750" spans="23:23" x14ac:dyDescent="0.45">
      <c r="W1750" s="320"/>
    </row>
    <row r="1751" spans="23:23" x14ac:dyDescent="0.45">
      <c r="W1751" s="320"/>
    </row>
    <row r="1752" spans="23:23" x14ac:dyDescent="0.45">
      <c r="W1752" s="320"/>
    </row>
    <row r="1753" spans="23:23" x14ac:dyDescent="0.45">
      <c r="W1753" s="320"/>
    </row>
    <row r="1754" spans="23:23" x14ac:dyDescent="0.45">
      <c r="W1754" s="320"/>
    </row>
    <row r="1755" spans="23:23" x14ac:dyDescent="0.45">
      <c r="W1755" s="320"/>
    </row>
    <row r="1756" spans="23:23" x14ac:dyDescent="0.45">
      <c r="W1756" s="320"/>
    </row>
    <row r="1757" spans="23:23" x14ac:dyDescent="0.45">
      <c r="W1757" s="320"/>
    </row>
    <row r="1758" spans="23:23" x14ac:dyDescent="0.45">
      <c r="W1758" s="320"/>
    </row>
    <row r="1759" spans="23:23" x14ac:dyDescent="0.45">
      <c r="W1759" s="320"/>
    </row>
    <row r="1760" spans="23:23" x14ac:dyDescent="0.45">
      <c r="W1760" s="320"/>
    </row>
    <row r="1761" spans="23:23" x14ac:dyDescent="0.45">
      <c r="W1761" s="320"/>
    </row>
    <row r="1762" spans="23:23" x14ac:dyDescent="0.45">
      <c r="W1762" s="320"/>
    </row>
    <row r="1763" spans="23:23" x14ac:dyDescent="0.45">
      <c r="W1763" s="320"/>
    </row>
    <row r="1764" spans="23:23" x14ac:dyDescent="0.45">
      <c r="W1764" s="320"/>
    </row>
    <row r="1765" spans="23:23" x14ac:dyDescent="0.45">
      <c r="W1765" s="320"/>
    </row>
    <row r="1766" spans="23:23" x14ac:dyDescent="0.45">
      <c r="W1766" s="320"/>
    </row>
    <row r="1767" spans="23:23" x14ac:dyDescent="0.45">
      <c r="W1767" s="320"/>
    </row>
    <row r="1768" spans="23:23" x14ac:dyDescent="0.45">
      <c r="W1768" s="320"/>
    </row>
    <row r="1769" spans="23:23" x14ac:dyDescent="0.45">
      <c r="W1769" s="320"/>
    </row>
    <row r="1770" spans="23:23" x14ac:dyDescent="0.45">
      <c r="W1770" s="320"/>
    </row>
    <row r="1771" spans="23:23" x14ac:dyDescent="0.45">
      <c r="W1771" s="320"/>
    </row>
    <row r="1772" spans="23:23" x14ac:dyDescent="0.45">
      <c r="W1772" s="320"/>
    </row>
    <row r="1773" spans="23:23" x14ac:dyDescent="0.45">
      <c r="W1773" s="320"/>
    </row>
    <row r="1774" spans="23:23" x14ac:dyDescent="0.45">
      <c r="W1774" s="320"/>
    </row>
    <row r="1775" spans="23:23" x14ac:dyDescent="0.45">
      <c r="W1775" s="320"/>
    </row>
    <row r="1776" spans="23:23" x14ac:dyDescent="0.45">
      <c r="W1776" s="320"/>
    </row>
    <row r="1777" spans="23:23" x14ac:dyDescent="0.45">
      <c r="W1777" s="320"/>
    </row>
    <row r="1778" spans="23:23" x14ac:dyDescent="0.45">
      <c r="W1778" s="320"/>
    </row>
    <row r="1779" spans="23:23" x14ac:dyDescent="0.45">
      <c r="W1779" s="320"/>
    </row>
    <row r="1780" spans="23:23" x14ac:dyDescent="0.45">
      <c r="W1780" s="320"/>
    </row>
    <row r="1781" spans="23:23" x14ac:dyDescent="0.45">
      <c r="W1781" s="320"/>
    </row>
    <row r="1782" spans="23:23" x14ac:dyDescent="0.45">
      <c r="W1782" s="320"/>
    </row>
    <row r="1783" spans="23:23" x14ac:dyDescent="0.45">
      <c r="W1783" s="320"/>
    </row>
    <row r="1784" spans="23:23" x14ac:dyDescent="0.45">
      <c r="W1784" s="320"/>
    </row>
    <row r="1785" spans="23:23" x14ac:dyDescent="0.45">
      <c r="W1785" s="320"/>
    </row>
    <row r="1786" spans="23:23" x14ac:dyDescent="0.45">
      <c r="W1786" s="320"/>
    </row>
    <row r="1787" spans="23:23" x14ac:dyDescent="0.45">
      <c r="W1787" s="320"/>
    </row>
    <row r="1788" spans="23:23" x14ac:dyDescent="0.45">
      <c r="W1788" s="320"/>
    </row>
    <row r="1789" spans="23:23" x14ac:dyDescent="0.45">
      <c r="W1789" s="320"/>
    </row>
    <row r="1790" spans="23:23" x14ac:dyDescent="0.45">
      <c r="W1790" s="320"/>
    </row>
    <row r="1791" spans="23:23" x14ac:dyDescent="0.45">
      <c r="W1791" s="320"/>
    </row>
    <row r="1792" spans="23:23" x14ac:dyDescent="0.45">
      <c r="W1792" s="320"/>
    </row>
    <row r="1793" spans="23:23" x14ac:dyDescent="0.45">
      <c r="W1793" s="320"/>
    </row>
    <row r="1794" spans="23:23" x14ac:dyDescent="0.45">
      <c r="W1794" s="320"/>
    </row>
    <row r="1795" spans="23:23" x14ac:dyDescent="0.45">
      <c r="W1795" s="320"/>
    </row>
    <row r="1796" spans="23:23" x14ac:dyDescent="0.45">
      <c r="W1796" s="320"/>
    </row>
    <row r="1797" spans="23:23" x14ac:dyDescent="0.45">
      <c r="W1797" s="320"/>
    </row>
    <row r="1798" spans="23:23" x14ac:dyDescent="0.45">
      <c r="W1798" s="320"/>
    </row>
    <row r="1799" spans="23:23" x14ac:dyDescent="0.45">
      <c r="W1799" s="320"/>
    </row>
    <row r="1800" spans="23:23" x14ac:dyDescent="0.45">
      <c r="W1800" s="320"/>
    </row>
    <row r="1801" spans="23:23" x14ac:dyDescent="0.45">
      <c r="W1801" s="320"/>
    </row>
    <row r="1802" spans="23:23" x14ac:dyDescent="0.45">
      <c r="W1802" s="320"/>
    </row>
    <row r="1803" spans="23:23" x14ac:dyDescent="0.45">
      <c r="W1803" s="320"/>
    </row>
    <row r="1804" spans="23:23" x14ac:dyDescent="0.45">
      <c r="W1804" s="320"/>
    </row>
    <row r="1805" spans="23:23" x14ac:dyDescent="0.45">
      <c r="W1805" s="320"/>
    </row>
    <row r="1806" spans="23:23" x14ac:dyDescent="0.45">
      <c r="W1806" s="320"/>
    </row>
    <row r="1807" spans="23:23" x14ac:dyDescent="0.45">
      <c r="W1807" s="320"/>
    </row>
    <row r="1808" spans="23:23" x14ac:dyDescent="0.45">
      <c r="W1808" s="320"/>
    </row>
    <row r="1809" spans="23:23" x14ac:dyDescent="0.45">
      <c r="W1809" s="320"/>
    </row>
    <row r="1810" spans="23:23" x14ac:dyDescent="0.45">
      <c r="W1810" s="320"/>
    </row>
    <row r="1811" spans="23:23" x14ac:dyDescent="0.45">
      <c r="W1811" s="320"/>
    </row>
    <row r="1812" spans="23:23" x14ac:dyDescent="0.45">
      <c r="W1812" s="320"/>
    </row>
    <row r="1813" spans="23:23" x14ac:dyDescent="0.45">
      <c r="W1813" s="320"/>
    </row>
    <row r="1814" spans="23:23" x14ac:dyDescent="0.45">
      <c r="W1814" s="320"/>
    </row>
    <row r="1815" spans="23:23" x14ac:dyDescent="0.45">
      <c r="W1815" s="320"/>
    </row>
    <row r="1816" spans="23:23" x14ac:dyDescent="0.45">
      <c r="W1816" s="320"/>
    </row>
    <row r="1817" spans="23:23" x14ac:dyDescent="0.45">
      <c r="W1817" s="320"/>
    </row>
    <row r="1818" spans="23:23" x14ac:dyDescent="0.45">
      <c r="W1818" s="320"/>
    </row>
    <row r="1819" spans="23:23" x14ac:dyDescent="0.45">
      <c r="W1819" s="320"/>
    </row>
    <row r="1820" spans="23:23" x14ac:dyDescent="0.45">
      <c r="W1820" s="320"/>
    </row>
    <row r="1821" spans="23:23" x14ac:dyDescent="0.45">
      <c r="W1821" s="320"/>
    </row>
    <row r="1822" spans="23:23" x14ac:dyDescent="0.45">
      <c r="W1822" s="320"/>
    </row>
    <row r="1823" spans="23:23" x14ac:dyDescent="0.45">
      <c r="W1823" s="320"/>
    </row>
    <row r="1824" spans="23:23" x14ac:dyDescent="0.45">
      <c r="W1824" s="320"/>
    </row>
    <row r="1825" spans="23:23" x14ac:dyDescent="0.45">
      <c r="W1825" s="320"/>
    </row>
    <row r="1826" spans="23:23" x14ac:dyDescent="0.45">
      <c r="W1826" s="320"/>
    </row>
    <row r="1827" spans="23:23" x14ac:dyDescent="0.45">
      <c r="W1827" s="320"/>
    </row>
    <row r="1828" spans="23:23" x14ac:dyDescent="0.45">
      <c r="W1828" s="320"/>
    </row>
    <row r="1829" spans="23:23" x14ac:dyDescent="0.45">
      <c r="W1829" s="320"/>
    </row>
    <row r="1830" spans="23:23" x14ac:dyDescent="0.45">
      <c r="W1830" s="320"/>
    </row>
    <row r="1831" spans="23:23" x14ac:dyDescent="0.45">
      <c r="W1831" s="320"/>
    </row>
    <row r="1832" spans="23:23" x14ac:dyDescent="0.45">
      <c r="W1832" s="320"/>
    </row>
    <row r="1833" spans="23:23" x14ac:dyDescent="0.45">
      <c r="W1833" s="320"/>
    </row>
    <row r="1834" spans="23:23" x14ac:dyDescent="0.45">
      <c r="W1834" s="320"/>
    </row>
    <row r="1835" spans="23:23" x14ac:dyDescent="0.45">
      <c r="W1835" s="320"/>
    </row>
    <row r="1836" spans="23:23" x14ac:dyDescent="0.45">
      <c r="W1836" s="320"/>
    </row>
    <row r="1837" spans="23:23" x14ac:dyDescent="0.45">
      <c r="W1837" s="320"/>
    </row>
    <row r="1838" spans="23:23" x14ac:dyDescent="0.45">
      <c r="W1838" s="320"/>
    </row>
    <row r="1839" spans="23:23" x14ac:dyDescent="0.45">
      <c r="W1839" s="320"/>
    </row>
    <row r="1840" spans="23:23" x14ac:dyDescent="0.45">
      <c r="W1840" s="320"/>
    </row>
    <row r="1841" spans="23:23" x14ac:dyDescent="0.45">
      <c r="W1841" s="320"/>
    </row>
    <row r="1842" spans="23:23" x14ac:dyDescent="0.45">
      <c r="W1842" s="320"/>
    </row>
    <row r="1843" spans="23:23" x14ac:dyDescent="0.45">
      <c r="W1843" s="320"/>
    </row>
    <row r="1844" spans="23:23" x14ac:dyDescent="0.45">
      <c r="W1844" s="320"/>
    </row>
    <row r="1845" spans="23:23" x14ac:dyDescent="0.45">
      <c r="W1845" s="320"/>
    </row>
    <row r="1846" spans="23:23" x14ac:dyDescent="0.45">
      <c r="W1846" s="320"/>
    </row>
    <row r="1847" spans="23:23" x14ac:dyDescent="0.45">
      <c r="W1847" s="320"/>
    </row>
    <row r="1848" spans="23:23" x14ac:dyDescent="0.45">
      <c r="W1848" s="320"/>
    </row>
    <row r="1849" spans="23:23" x14ac:dyDescent="0.45">
      <c r="W1849" s="320"/>
    </row>
    <row r="1850" spans="23:23" x14ac:dyDescent="0.45">
      <c r="W1850" s="320"/>
    </row>
    <row r="1851" spans="23:23" x14ac:dyDescent="0.45">
      <c r="W1851" s="320"/>
    </row>
    <row r="1852" spans="23:23" x14ac:dyDescent="0.45">
      <c r="W1852" s="320"/>
    </row>
    <row r="1853" spans="23:23" x14ac:dyDescent="0.45">
      <c r="W1853" s="320"/>
    </row>
    <row r="1854" spans="23:23" x14ac:dyDescent="0.45">
      <c r="W1854" s="320"/>
    </row>
    <row r="1855" spans="23:23" x14ac:dyDescent="0.45">
      <c r="W1855" s="320"/>
    </row>
    <row r="1856" spans="23:23" x14ac:dyDescent="0.45">
      <c r="W1856" s="320"/>
    </row>
    <row r="1857" spans="23:23" x14ac:dyDescent="0.45">
      <c r="W1857" s="320"/>
    </row>
    <row r="1858" spans="23:23" x14ac:dyDescent="0.45">
      <c r="W1858" s="320"/>
    </row>
    <row r="1859" spans="23:23" x14ac:dyDescent="0.45">
      <c r="W1859" s="320"/>
    </row>
    <row r="1860" spans="23:23" x14ac:dyDescent="0.45">
      <c r="W1860" s="320"/>
    </row>
    <row r="1861" spans="23:23" x14ac:dyDescent="0.45">
      <c r="W1861" s="320"/>
    </row>
    <row r="1862" spans="23:23" x14ac:dyDescent="0.45">
      <c r="W1862" s="320"/>
    </row>
    <row r="1863" spans="23:23" x14ac:dyDescent="0.45">
      <c r="W1863" s="320"/>
    </row>
    <row r="1864" spans="23:23" x14ac:dyDescent="0.45">
      <c r="W1864" s="320"/>
    </row>
    <row r="1865" spans="23:23" x14ac:dyDescent="0.45">
      <c r="W1865" s="320"/>
    </row>
    <row r="1866" spans="23:23" x14ac:dyDescent="0.45">
      <c r="W1866" s="320"/>
    </row>
    <row r="1867" spans="23:23" x14ac:dyDescent="0.45">
      <c r="W1867" s="320"/>
    </row>
    <row r="1868" spans="23:23" x14ac:dyDescent="0.45">
      <c r="W1868" s="320"/>
    </row>
    <row r="1869" spans="23:23" x14ac:dyDescent="0.45">
      <c r="W1869" s="320"/>
    </row>
    <row r="1870" spans="23:23" x14ac:dyDescent="0.45">
      <c r="W1870" s="320"/>
    </row>
    <row r="1871" spans="23:23" x14ac:dyDescent="0.45">
      <c r="W1871" s="320"/>
    </row>
    <row r="1872" spans="23:23" x14ac:dyDescent="0.45">
      <c r="W1872" s="320"/>
    </row>
    <row r="1873" spans="23:23" x14ac:dyDescent="0.45">
      <c r="W1873" s="320"/>
    </row>
    <row r="1874" spans="23:23" x14ac:dyDescent="0.45">
      <c r="W1874" s="320"/>
    </row>
    <row r="1875" spans="23:23" x14ac:dyDescent="0.45">
      <c r="W1875" s="320"/>
    </row>
    <row r="1876" spans="23:23" x14ac:dyDescent="0.45">
      <c r="W1876" s="320"/>
    </row>
    <row r="1877" spans="23:23" x14ac:dyDescent="0.45">
      <c r="W1877" s="320"/>
    </row>
    <row r="1878" spans="23:23" x14ac:dyDescent="0.45">
      <c r="W1878" s="320"/>
    </row>
    <row r="1879" spans="23:23" x14ac:dyDescent="0.45">
      <c r="W1879" s="320"/>
    </row>
    <row r="1880" spans="23:23" x14ac:dyDescent="0.45">
      <c r="W1880" s="320"/>
    </row>
    <row r="1881" spans="23:23" x14ac:dyDescent="0.45">
      <c r="W1881" s="320"/>
    </row>
    <row r="1882" spans="23:23" x14ac:dyDescent="0.45">
      <c r="W1882" s="320"/>
    </row>
    <row r="1883" spans="23:23" x14ac:dyDescent="0.45">
      <c r="W1883" s="320"/>
    </row>
    <row r="1884" spans="23:23" x14ac:dyDescent="0.45">
      <c r="W1884" s="320"/>
    </row>
    <row r="1885" spans="23:23" x14ac:dyDescent="0.45">
      <c r="W1885" s="320"/>
    </row>
    <row r="1886" spans="23:23" x14ac:dyDescent="0.45">
      <c r="W1886" s="320"/>
    </row>
    <row r="1887" spans="23:23" x14ac:dyDescent="0.45">
      <c r="W1887" s="320"/>
    </row>
    <row r="1888" spans="23:23" x14ac:dyDescent="0.45">
      <c r="W1888" s="320"/>
    </row>
    <row r="1889" spans="23:23" x14ac:dyDescent="0.45">
      <c r="W1889" s="320"/>
    </row>
    <row r="1890" spans="23:23" x14ac:dyDescent="0.45">
      <c r="W1890" s="320"/>
    </row>
    <row r="1891" spans="23:23" x14ac:dyDescent="0.45">
      <c r="W1891" s="320"/>
    </row>
    <row r="1892" spans="23:23" x14ac:dyDescent="0.45">
      <c r="W1892" s="320"/>
    </row>
    <row r="1893" spans="23:23" x14ac:dyDescent="0.45">
      <c r="W1893" s="320"/>
    </row>
    <row r="1894" spans="23:23" x14ac:dyDescent="0.45">
      <c r="W1894" s="320"/>
    </row>
    <row r="1895" spans="23:23" x14ac:dyDescent="0.45">
      <c r="W1895" s="320"/>
    </row>
    <row r="1896" spans="23:23" x14ac:dyDescent="0.45">
      <c r="W1896" s="320"/>
    </row>
    <row r="1897" spans="23:23" x14ac:dyDescent="0.45">
      <c r="W1897" s="320"/>
    </row>
    <row r="1898" spans="23:23" x14ac:dyDescent="0.45">
      <c r="W1898" s="320"/>
    </row>
    <row r="1899" spans="23:23" x14ac:dyDescent="0.45">
      <c r="W1899" s="320"/>
    </row>
    <row r="1900" spans="23:23" x14ac:dyDescent="0.45">
      <c r="W1900" s="320"/>
    </row>
    <row r="1901" spans="23:23" x14ac:dyDescent="0.45">
      <c r="W1901" s="320"/>
    </row>
    <row r="1902" spans="23:23" x14ac:dyDescent="0.45">
      <c r="W1902" s="320"/>
    </row>
    <row r="1903" spans="23:23" x14ac:dyDescent="0.45">
      <c r="W1903" s="320"/>
    </row>
    <row r="1904" spans="23:23" x14ac:dyDescent="0.45">
      <c r="W1904" s="320"/>
    </row>
    <row r="1905" spans="23:23" x14ac:dyDescent="0.45">
      <c r="W1905" s="320"/>
    </row>
    <row r="1906" spans="23:23" x14ac:dyDescent="0.45">
      <c r="W1906" s="320"/>
    </row>
    <row r="1907" spans="23:23" x14ac:dyDescent="0.45">
      <c r="W1907" s="320"/>
    </row>
    <row r="1908" spans="23:23" x14ac:dyDescent="0.45">
      <c r="W1908" s="320"/>
    </row>
    <row r="1909" spans="23:23" x14ac:dyDescent="0.45">
      <c r="W1909" s="320"/>
    </row>
    <row r="1910" spans="23:23" x14ac:dyDescent="0.45">
      <c r="W1910" s="320"/>
    </row>
    <row r="1911" spans="23:23" x14ac:dyDescent="0.45">
      <c r="W1911" s="320"/>
    </row>
    <row r="1912" spans="23:23" x14ac:dyDescent="0.45">
      <c r="W1912" s="320"/>
    </row>
    <row r="1913" spans="23:23" x14ac:dyDescent="0.45">
      <c r="W1913" s="320"/>
    </row>
    <row r="1914" spans="23:23" x14ac:dyDescent="0.45">
      <c r="W1914" s="320"/>
    </row>
    <row r="1915" spans="23:23" x14ac:dyDescent="0.45">
      <c r="W1915" s="320"/>
    </row>
    <row r="1916" spans="23:23" x14ac:dyDescent="0.45">
      <c r="W1916" s="320"/>
    </row>
    <row r="1917" spans="23:23" x14ac:dyDescent="0.45">
      <c r="W1917" s="320"/>
    </row>
    <row r="1918" spans="23:23" x14ac:dyDescent="0.45">
      <c r="W1918" s="320"/>
    </row>
    <row r="1919" spans="23:23" x14ac:dyDescent="0.45">
      <c r="W1919" s="320"/>
    </row>
    <row r="1920" spans="23:23" x14ac:dyDescent="0.45">
      <c r="W1920" s="320"/>
    </row>
    <row r="1921" spans="23:23" x14ac:dyDescent="0.45">
      <c r="W1921" s="320"/>
    </row>
    <row r="1922" spans="23:23" x14ac:dyDescent="0.45">
      <c r="W1922" s="320"/>
    </row>
    <row r="1923" spans="23:23" x14ac:dyDescent="0.45">
      <c r="W1923" s="320"/>
    </row>
    <row r="1924" spans="23:23" x14ac:dyDescent="0.45">
      <c r="W1924" s="320"/>
    </row>
    <row r="1925" spans="23:23" x14ac:dyDescent="0.45">
      <c r="W1925" s="320"/>
    </row>
    <row r="1926" spans="23:23" x14ac:dyDescent="0.45">
      <c r="W1926" s="320"/>
    </row>
    <row r="1927" spans="23:23" x14ac:dyDescent="0.45">
      <c r="W1927" s="320"/>
    </row>
    <row r="1928" spans="23:23" x14ac:dyDescent="0.45">
      <c r="W1928" s="320"/>
    </row>
    <row r="1929" spans="23:23" x14ac:dyDescent="0.45">
      <c r="W1929" s="320"/>
    </row>
    <row r="1930" spans="23:23" x14ac:dyDescent="0.45">
      <c r="W1930" s="320"/>
    </row>
    <row r="1931" spans="23:23" x14ac:dyDescent="0.45">
      <c r="W1931" s="320"/>
    </row>
    <row r="1932" spans="23:23" x14ac:dyDescent="0.45">
      <c r="W1932" s="320"/>
    </row>
    <row r="1933" spans="23:23" x14ac:dyDescent="0.45">
      <c r="W1933" s="320"/>
    </row>
    <row r="1934" spans="23:23" x14ac:dyDescent="0.45">
      <c r="W1934" s="320"/>
    </row>
    <row r="1935" spans="23:23" x14ac:dyDescent="0.45">
      <c r="W1935" s="320"/>
    </row>
    <row r="1936" spans="23:23" x14ac:dyDescent="0.45">
      <c r="W1936" s="320"/>
    </row>
    <row r="1937" spans="23:23" x14ac:dyDescent="0.45">
      <c r="W1937" s="320"/>
    </row>
    <row r="1938" spans="23:23" x14ac:dyDescent="0.45">
      <c r="W1938" s="320"/>
    </row>
    <row r="1939" spans="23:23" x14ac:dyDescent="0.45">
      <c r="W1939" s="320"/>
    </row>
    <row r="1940" spans="23:23" x14ac:dyDescent="0.45">
      <c r="W1940" s="320"/>
    </row>
    <row r="1941" spans="23:23" x14ac:dyDescent="0.45">
      <c r="W1941" s="320"/>
    </row>
    <row r="1942" spans="23:23" x14ac:dyDescent="0.45">
      <c r="W1942" s="320"/>
    </row>
    <row r="1943" spans="23:23" x14ac:dyDescent="0.45">
      <c r="W1943" s="320"/>
    </row>
    <row r="1944" spans="23:23" x14ac:dyDescent="0.45">
      <c r="W1944" s="320"/>
    </row>
    <row r="1945" spans="23:23" x14ac:dyDescent="0.45">
      <c r="W1945" s="320"/>
    </row>
    <row r="1946" spans="23:23" x14ac:dyDescent="0.45">
      <c r="W1946" s="320"/>
    </row>
    <row r="1947" spans="23:23" x14ac:dyDescent="0.45">
      <c r="W1947" s="320"/>
    </row>
    <row r="1948" spans="23:23" x14ac:dyDescent="0.45">
      <c r="W1948" s="320"/>
    </row>
    <row r="1949" spans="23:23" x14ac:dyDescent="0.45">
      <c r="W1949" s="320"/>
    </row>
    <row r="1950" spans="23:23" x14ac:dyDescent="0.45">
      <c r="W1950" s="320"/>
    </row>
    <row r="1951" spans="23:23" x14ac:dyDescent="0.45">
      <c r="W1951" s="320"/>
    </row>
    <row r="1952" spans="23:23" x14ac:dyDescent="0.45">
      <c r="W1952" s="320"/>
    </row>
    <row r="1953" spans="23:23" x14ac:dyDescent="0.45">
      <c r="W1953" s="320"/>
    </row>
    <row r="1954" spans="23:23" x14ac:dyDescent="0.45">
      <c r="W1954" s="320"/>
    </row>
    <row r="1955" spans="23:23" x14ac:dyDescent="0.45">
      <c r="W1955" s="320"/>
    </row>
    <row r="1956" spans="23:23" x14ac:dyDescent="0.45">
      <c r="W1956" s="320"/>
    </row>
    <row r="1957" spans="23:23" x14ac:dyDescent="0.45">
      <c r="W1957" s="320"/>
    </row>
    <row r="1958" spans="23:23" x14ac:dyDescent="0.45">
      <c r="W1958" s="320"/>
    </row>
    <row r="1959" spans="23:23" x14ac:dyDescent="0.45">
      <c r="W1959" s="320"/>
    </row>
    <row r="1960" spans="23:23" x14ac:dyDescent="0.45">
      <c r="W1960" s="320"/>
    </row>
    <row r="1961" spans="23:23" x14ac:dyDescent="0.45">
      <c r="W1961" s="320"/>
    </row>
    <row r="1962" spans="23:23" x14ac:dyDescent="0.45">
      <c r="W1962" s="320"/>
    </row>
    <row r="1963" spans="23:23" x14ac:dyDescent="0.45">
      <c r="W1963" s="320"/>
    </row>
    <row r="1964" spans="23:23" x14ac:dyDescent="0.45">
      <c r="W1964" s="320"/>
    </row>
    <row r="1965" spans="23:23" x14ac:dyDescent="0.45">
      <c r="W1965" s="320"/>
    </row>
    <row r="1966" spans="23:23" x14ac:dyDescent="0.45">
      <c r="W1966" s="320"/>
    </row>
    <row r="1967" spans="23:23" x14ac:dyDescent="0.45">
      <c r="W1967" s="320"/>
    </row>
    <row r="1968" spans="23:23" x14ac:dyDescent="0.45">
      <c r="W1968" s="320"/>
    </row>
    <row r="1969" spans="23:23" x14ac:dyDescent="0.45">
      <c r="W1969" s="320"/>
    </row>
    <row r="1970" spans="23:23" x14ac:dyDescent="0.45">
      <c r="W1970" s="320"/>
    </row>
    <row r="1971" spans="23:23" x14ac:dyDescent="0.45">
      <c r="W1971" s="320"/>
    </row>
    <row r="1972" spans="23:23" x14ac:dyDescent="0.45">
      <c r="W1972" s="320"/>
    </row>
    <row r="1973" spans="23:23" x14ac:dyDescent="0.45">
      <c r="W1973" s="320"/>
    </row>
    <row r="1974" spans="23:23" x14ac:dyDescent="0.45">
      <c r="W1974" s="320"/>
    </row>
    <row r="1975" spans="23:23" x14ac:dyDescent="0.45">
      <c r="W1975" s="320"/>
    </row>
    <row r="1976" spans="23:23" x14ac:dyDescent="0.45">
      <c r="W1976" s="320"/>
    </row>
    <row r="1977" spans="23:23" x14ac:dyDescent="0.45">
      <c r="W1977" s="320"/>
    </row>
    <row r="1978" spans="23:23" x14ac:dyDescent="0.45">
      <c r="W1978" s="320"/>
    </row>
    <row r="1979" spans="23:23" x14ac:dyDescent="0.45">
      <c r="W1979" s="320"/>
    </row>
    <row r="1980" spans="23:23" x14ac:dyDescent="0.45">
      <c r="W1980" s="320"/>
    </row>
    <row r="1981" spans="23:23" x14ac:dyDescent="0.45">
      <c r="W1981" s="320"/>
    </row>
    <row r="1982" spans="23:23" x14ac:dyDescent="0.45">
      <c r="W1982" s="320"/>
    </row>
    <row r="1983" spans="23:23" x14ac:dyDescent="0.45">
      <c r="W1983" s="320"/>
    </row>
    <row r="1984" spans="23:23" x14ac:dyDescent="0.45">
      <c r="W1984" s="320"/>
    </row>
    <row r="1985" spans="23:23" x14ac:dyDescent="0.45">
      <c r="W1985" s="320"/>
    </row>
    <row r="1986" spans="23:23" x14ac:dyDescent="0.45">
      <c r="W1986" s="320"/>
    </row>
    <row r="1987" spans="23:23" x14ac:dyDescent="0.45">
      <c r="W1987" s="320"/>
    </row>
    <row r="1988" spans="23:23" x14ac:dyDescent="0.45">
      <c r="W1988" s="320"/>
    </row>
    <row r="1989" spans="23:23" x14ac:dyDescent="0.45">
      <c r="W1989" s="320"/>
    </row>
    <row r="1990" spans="23:23" x14ac:dyDescent="0.45">
      <c r="W1990" s="320"/>
    </row>
    <row r="1991" spans="23:23" x14ac:dyDescent="0.45">
      <c r="W1991" s="320"/>
    </row>
    <row r="1992" spans="23:23" x14ac:dyDescent="0.45">
      <c r="W1992" s="320"/>
    </row>
    <row r="1993" spans="23:23" x14ac:dyDescent="0.45">
      <c r="W1993" s="320"/>
    </row>
    <row r="1994" spans="23:23" x14ac:dyDescent="0.45">
      <c r="W1994" s="320"/>
    </row>
    <row r="1995" spans="23:23" x14ac:dyDescent="0.45">
      <c r="W1995" s="320"/>
    </row>
    <row r="1996" spans="23:23" x14ac:dyDescent="0.45">
      <c r="W1996" s="320"/>
    </row>
    <row r="1997" spans="23:23" x14ac:dyDescent="0.45">
      <c r="W1997" s="320"/>
    </row>
    <row r="1998" spans="23:23" x14ac:dyDescent="0.45">
      <c r="W1998" s="320"/>
    </row>
    <row r="1999" spans="23:23" x14ac:dyDescent="0.45">
      <c r="W1999" s="320"/>
    </row>
    <row r="2000" spans="23:23" x14ac:dyDescent="0.45">
      <c r="W2000" s="320"/>
    </row>
    <row r="2001" spans="23:23" x14ac:dyDescent="0.45">
      <c r="W2001" s="320"/>
    </row>
    <row r="2002" spans="23:23" x14ac:dyDescent="0.45">
      <c r="W2002" s="320"/>
    </row>
    <row r="2003" spans="23:23" x14ac:dyDescent="0.45">
      <c r="W2003" s="320"/>
    </row>
    <row r="2004" spans="23:23" x14ac:dyDescent="0.45">
      <c r="W2004" s="320"/>
    </row>
    <row r="2005" spans="23:23" x14ac:dyDescent="0.45">
      <c r="W2005" s="320"/>
    </row>
    <row r="2006" spans="23:23" x14ac:dyDescent="0.45">
      <c r="W2006" s="320"/>
    </row>
    <row r="2007" spans="23:23" x14ac:dyDescent="0.45">
      <c r="W2007" s="320"/>
    </row>
    <row r="2008" spans="23:23" x14ac:dyDescent="0.45">
      <c r="W2008" s="320"/>
    </row>
    <row r="2009" spans="23:23" x14ac:dyDescent="0.45">
      <c r="W2009" s="320"/>
    </row>
    <row r="2010" spans="23:23" x14ac:dyDescent="0.45">
      <c r="W2010" s="320"/>
    </row>
    <row r="2011" spans="23:23" x14ac:dyDescent="0.45">
      <c r="W2011" s="320"/>
    </row>
    <row r="2012" spans="23:23" x14ac:dyDescent="0.45">
      <c r="W2012" s="320"/>
    </row>
    <row r="2013" spans="23:23" x14ac:dyDescent="0.45">
      <c r="W2013" s="320"/>
    </row>
    <row r="2014" spans="23:23" x14ac:dyDescent="0.45">
      <c r="W2014" s="320"/>
    </row>
    <row r="2015" spans="23:23" x14ac:dyDescent="0.45">
      <c r="W2015" s="320"/>
    </row>
    <row r="2016" spans="23:23" x14ac:dyDescent="0.45">
      <c r="W2016" s="320"/>
    </row>
    <row r="2017" spans="23:23" x14ac:dyDescent="0.45">
      <c r="W2017" s="320"/>
    </row>
    <row r="2018" spans="23:23" x14ac:dyDescent="0.45">
      <c r="W2018" s="320"/>
    </row>
    <row r="2019" spans="23:23" x14ac:dyDescent="0.45">
      <c r="W2019" s="320"/>
    </row>
    <row r="2020" spans="23:23" x14ac:dyDescent="0.45">
      <c r="W2020" s="320"/>
    </row>
    <row r="2021" spans="23:23" x14ac:dyDescent="0.45">
      <c r="W2021" s="320"/>
    </row>
    <row r="2022" spans="23:23" x14ac:dyDescent="0.45">
      <c r="W2022" s="320"/>
    </row>
    <row r="2023" spans="23:23" x14ac:dyDescent="0.45">
      <c r="W2023" s="320"/>
    </row>
    <row r="2024" spans="23:23" x14ac:dyDescent="0.45">
      <c r="W2024" s="320"/>
    </row>
    <row r="2025" spans="23:23" x14ac:dyDescent="0.45">
      <c r="W2025" s="320"/>
    </row>
    <row r="2026" spans="23:23" x14ac:dyDescent="0.45">
      <c r="W2026" s="320"/>
    </row>
    <row r="2027" spans="23:23" x14ac:dyDescent="0.45">
      <c r="W2027" s="320"/>
    </row>
    <row r="2028" spans="23:23" x14ac:dyDescent="0.45">
      <c r="W2028" s="320"/>
    </row>
    <row r="2029" spans="23:23" x14ac:dyDescent="0.45">
      <c r="W2029" s="320"/>
    </row>
    <row r="2030" spans="23:23" x14ac:dyDescent="0.45">
      <c r="W2030" s="320"/>
    </row>
    <row r="2031" spans="23:23" x14ac:dyDescent="0.45">
      <c r="W2031" s="320"/>
    </row>
    <row r="2032" spans="23:23" x14ac:dyDescent="0.45">
      <c r="W2032" s="320"/>
    </row>
    <row r="2033" spans="23:23" x14ac:dyDescent="0.45">
      <c r="W2033" s="320"/>
    </row>
    <row r="2034" spans="23:23" x14ac:dyDescent="0.45">
      <c r="W2034" s="320"/>
    </row>
    <row r="2035" spans="23:23" x14ac:dyDescent="0.45">
      <c r="W2035" s="320"/>
    </row>
    <row r="2036" spans="23:23" x14ac:dyDescent="0.45">
      <c r="W2036" s="320"/>
    </row>
    <row r="2037" spans="23:23" x14ac:dyDescent="0.45">
      <c r="W2037" s="320"/>
    </row>
    <row r="2038" spans="23:23" x14ac:dyDescent="0.45">
      <c r="W2038" s="320"/>
    </row>
    <row r="2039" spans="23:23" x14ac:dyDescent="0.45">
      <c r="W2039" s="320"/>
    </row>
    <row r="2040" spans="23:23" x14ac:dyDescent="0.45">
      <c r="W2040" s="320"/>
    </row>
    <row r="2041" spans="23:23" x14ac:dyDescent="0.45">
      <c r="W2041" s="320"/>
    </row>
    <row r="2042" spans="23:23" x14ac:dyDescent="0.45">
      <c r="W2042" s="320"/>
    </row>
    <row r="2043" spans="23:23" x14ac:dyDescent="0.45">
      <c r="W2043" s="320"/>
    </row>
    <row r="2044" spans="23:23" x14ac:dyDescent="0.45">
      <c r="W2044" s="320"/>
    </row>
    <row r="2045" spans="23:23" x14ac:dyDescent="0.45">
      <c r="W2045" s="320"/>
    </row>
    <row r="2046" spans="23:23" x14ac:dyDescent="0.45">
      <c r="W2046" s="320"/>
    </row>
    <row r="2047" spans="23:23" x14ac:dyDescent="0.45">
      <c r="W2047" s="320"/>
    </row>
    <row r="2048" spans="23:23" x14ac:dyDescent="0.45">
      <c r="W2048" s="320"/>
    </row>
    <row r="2049" spans="23:23" x14ac:dyDescent="0.45">
      <c r="W2049" s="320"/>
    </row>
    <row r="2050" spans="23:23" x14ac:dyDescent="0.45">
      <c r="W2050" s="320"/>
    </row>
    <row r="2051" spans="23:23" x14ac:dyDescent="0.45">
      <c r="W2051" s="320"/>
    </row>
    <row r="2052" spans="23:23" x14ac:dyDescent="0.45">
      <c r="W2052" s="320"/>
    </row>
    <row r="2053" spans="23:23" x14ac:dyDescent="0.45">
      <c r="W2053" s="320"/>
    </row>
    <row r="2054" spans="23:23" x14ac:dyDescent="0.45">
      <c r="W2054" s="320"/>
    </row>
    <row r="2055" spans="23:23" x14ac:dyDescent="0.45">
      <c r="W2055" s="320"/>
    </row>
    <row r="2056" spans="23:23" x14ac:dyDescent="0.45">
      <c r="W2056" s="320"/>
    </row>
    <row r="2057" spans="23:23" x14ac:dyDescent="0.45">
      <c r="W2057" s="320"/>
    </row>
    <row r="2058" spans="23:23" x14ac:dyDescent="0.45">
      <c r="W2058" s="320"/>
    </row>
    <row r="2059" spans="23:23" x14ac:dyDescent="0.45">
      <c r="W2059" s="320"/>
    </row>
    <row r="2060" spans="23:23" x14ac:dyDescent="0.45">
      <c r="W2060" s="320"/>
    </row>
    <row r="2061" spans="23:23" x14ac:dyDescent="0.45">
      <c r="W2061" s="320"/>
    </row>
    <row r="2062" spans="23:23" x14ac:dyDescent="0.45">
      <c r="W2062" s="320"/>
    </row>
    <row r="2063" spans="23:23" x14ac:dyDescent="0.45">
      <c r="W2063" s="320"/>
    </row>
    <row r="2064" spans="23:23" x14ac:dyDescent="0.45">
      <c r="W2064" s="320"/>
    </row>
    <row r="2065" spans="23:23" x14ac:dyDescent="0.45">
      <c r="W2065" s="320"/>
    </row>
    <row r="2066" spans="23:23" x14ac:dyDescent="0.45">
      <c r="W2066" s="320"/>
    </row>
    <row r="2067" spans="23:23" x14ac:dyDescent="0.45">
      <c r="W2067" s="320"/>
    </row>
    <row r="2068" spans="23:23" x14ac:dyDescent="0.45">
      <c r="W2068" s="320"/>
    </row>
    <row r="2069" spans="23:23" x14ac:dyDescent="0.45">
      <c r="W2069" s="320"/>
    </row>
    <row r="2070" spans="23:23" x14ac:dyDescent="0.45">
      <c r="W2070" s="320"/>
    </row>
    <row r="2071" spans="23:23" x14ac:dyDescent="0.45">
      <c r="W2071" s="320"/>
    </row>
    <row r="2072" spans="23:23" x14ac:dyDescent="0.45">
      <c r="W2072" s="320"/>
    </row>
    <row r="2073" spans="23:23" x14ac:dyDescent="0.45">
      <c r="W2073" s="320"/>
    </row>
    <row r="2074" spans="23:23" x14ac:dyDescent="0.45">
      <c r="W2074" s="320"/>
    </row>
    <row r="2075" spans="23:23" x14ac:dyDescent="0.45">
      <c r="W2075" s="320"/>
    </row>
    <row r="2076" spans="23:23" x14ac:dyDescent="0.45">
      <c r="W2076" s="320"/>
    </row>
    <row r="2077" spans="23:23" x14ac:dyDescent="0.45">
      <c r="W2077" s="320"/>
    </row>
    <row r="2078" spans="23:23" x14ac:dyDescent="0.45">
      <c r="W2078" s="320"/>
    </row>
    <row r="2079" spans="23:23" x14ac:dyDescent="0.45">
      <c r="W2079" s="320"/>
    </row>
    <row r="2080" spans="23:23" x14ac:dyDescent="0.45">
      <c r="W2080" s="320"/>
    </row>
    <row r="2081" spans="23:23" x14ac:dyDescent="0.45">
      <c r="W2081" s="320"/>
    </row>
    <row r="2082" spans="23:23" x14ac:dyDescent="0.45">
      <c r="W2082" s="320"/>
    </row>
    <row r="2083" spans="23:23" x14ac:dyDescent="0.45">
      <c r="W2083" s="320"/>
    </row>
    <row r="2084" spans="23:23" x14ac:dyDescent="0.45">
      <c r="W2084" s="320"/>
    </row>
    <row r="2085" spans="23:23" x14ac:dyDescent="0.45">
      <c r="W2085" s="320"/>
    </row>
    <row r="2086" spans="23:23" x14ac:dyDescent="0.45">
      <c r="W2086" s="320"/>
    </row>
    <row r="2087" spans="23:23" x14ac:dyDescent="0.45">
      <c r="W2087" s="320"/>
    </row>
    <row r="2088" spans="23:23" x14ac:dyDescent="0.45">
      <c r="W2088" s="320"/>
    </row>
    <row r="2089" spans="23:23" x14ac:dyDescent="0.45">
      <c r="W2089" s="320"/>
    </row>
    <row r="2090" spans="23:23" x14ac:dyDescent="0.45">
      <c r="W2090" s="320"/>
    </row>
    <row r="2091" spans="23:23" x14ac:dyDescent="0.45">
      <c r="W2091" s="320"/>
    </row>
    <row r="2092" spans="23:23" x14ac:dyDescent="0.45">
      <c r="W2092" s="320"/>
    </row>
    <row r="2093" spans="23:23" x14ac:dyDescent="0.45">
      <c r="W2093" s="320"/>
    </row>
    <row r="2094" spans="23:23" x14ac:dyDescent="0.45">
      <c r="W2094" s="320"/>
    </row>
    <row r="2095" spans="23:23" x14ac:dyDescent="0.45">
      <c r="W2095" s="320"/>
    </row>
    <row r="2096" spans="23:23" x14ac:dyDescent="0.45">
      <c r="W2096" s="320"/>
    </row>
    <row r="2097" spans="23:23" x14ac:dyDescent="0.45">
      <c r="W2097" s="320"/>
    </row>
    <row r="2098" spans="23:23" x14ac:dyDescent="0.45">
      <c r="W2098" s="320"/>
    </row>
    <row r="2099" spans="23:23" x14ac:dyDescent="0.45">
      <c r="W2099" s="320"/>
    </row>
    <row r="2100" spans="23:23" x14ac:dyDescent="0.45">
      <c r="W2100" s="320"/>
    </row>
    <row r="2101" spans="23:23" x14ac:dyDescent="0.45">
      <c r="W2101" s="320"/>
    </row>
    <row r="2102" spans="23:23" x14ac:dyDescent="0.45">
      <c r="W2102" s="320"/>
    </row>
    <row r="2103" spans="23:23" x14ac:dyDescent="0.45">
      <c r="W2103" s="320"/>
    </row>
    <row r="2104" spans="23:23" x14ac:dyDescent="0.45">
      <c r="W2104" s="320"/>
    </row>
    <row r="2105" spans="23:23" x14ac:dyDescent="0.45">
      <c r="W2105" s="320"/>
    </row>
    <row r="2106" spans="23:23" x14ac:dyDescent="0.45">
      <c r="W2106" s="320"/>
    </row>
    <row r="2107" spans="23:23" x14ac:dyDescent="0.45">
      <c r="W2107" s="320"/>
    </row>
    <row r="2108" spans="23:23" x14ac:dyDescent="0.45">
      <c r="W2108" s="320"/>
    </row>
    <row r="2109" spans="23:23" x14ac:dyDescent="0.45">
      <c r="W2109" s="320"/>
    </row>
    <row r="2110" spans="23:23" x14ac:dyDescent="0.45">
      <c r="W2110" s="320"/>
    </row>
    <row r="2111" spans="23:23" x14ac:dyDescent="0.45">
      <c r="W2111" s="320"/>
    </row>
    <row r="2112" spans="23:23" x14ac:dyDescent="0.45">
      <c r="W2112" s="320"/>
    </row>
    <row r="2113" spans="23:23" x14ac:dyDescent="0.45">
      <c r="W2113" s="320"/>
    </row>
    <row r="2114" spans="23:23" x14ac:dyDescent="0.45">
      <c r="W2114" s="320"/>
    </row>
    <row r="2115" spans="23:23" x14ac:dyDescent="0.45">
      <c r="W2115" s="320"/>
    </row>
    <row r="2116" spans="23:23" x14ac:dyDescent="0.45">
      <c r="W2116" s="320"/>
    </row>
    <row r="2117" spans="23:23" x14ac:dyDescent="0.45">
      <c r="W2117" s="320"/>
    </row>
    <row r="2118" spans="23:23" x14ac:dyDescent="0.45">
      <c r="W2118" s="320"/>
    </row>
    <row r="2119" spans="23:23" x14ac:dyDescent="0.45">
      <c r="W2119" s="320"/>
    </row>
    <row r="2120" spans="23:23" x14ac:dyDescent="0.45">
      <c r="W2120" s="320"/>
    </row>
    <row r="2121" spans="23:23" x14ac:dyDescent="0.45">
      <c r="W2121" s="320"/>
    </row>
    <row r="2122" spans="23:23" x14ac:dyDescent="0.45">
      <c r="W2122" s="320"/>
    </row>
    <row r="2123" spans="23:23" x14ac:dyDescent="0.45">
      <c r="W2123" s="320"/>
    </row>
    <row r="2124" spans="23:23" x14ac:dyDescent="0.45">
      <c r="W2124" s="320"/>
    </row>
    <row r="2125" spans="23:23" x14ac:dyDescent="0.45">
      <c r="W2125" s="320"/>
    </row>
    <row r="2126" spans="23:23" x14ac:dyDescent="0.45">
      <c r="W2126" s="320"/>
    </row>
    <row r="2127" spans="23:23" x14ac:dyDescent="0.45">
      <c r="W2127" s="320"/>
    </row>
    <row r="2128" spans="23:23" x14ac:dyDescent="0.45">
      <c r="W2128" s="320"/>
    </row>
    <row r="2129" spans="23:23" x14ac:dyDescent="0.45">
      <c r="W2129" s="320"/>
    </row>
    <row r="2130" spans="23:23" x14ac:dyDescent="0.45">
      <c r="W2130" s="320"/>
    </row>
    <row r="2131" spans="23:23" x14ac:dyDescent="0.45">
      <c r="W2131" s="320"/>
    </row>
    <row r="2132" spans="23:23" x14ac:dyDescent="0.45">
      <c r="W2132" s="320"/>
    </row>
    <row r="2133" spans="23:23" x14ac:dyDescent="0.45">
      <c r="W2133" s="320"/>
    </row>
    <row r="2134" spans="23:23" x14ac:dyDescent="0.45">
      <c r="W2134" s="320"/>
    </row>
    <row r="2135" spans="23:23" x14ac:dyDescent="0.45">
      <c r="W2135" s="320"/>
    </row>
    <row r="2136" spans="23:23" x14ac:dyDescent="0.45">
      <c r="W2136" s="320"/>
    </row>
    <row r="2137" spans="23:23" x14ac:dyDescent="0.45">
      <c r="W2137" s="320"/>
    </row>
    <row r="2138" spans="23:23" x14ac:dyDescent="0.45">
      <c r="W2138" s="320"/>
    </row>
    <row r="2139" spans="23:23" x14ac:dyDescent="0.45">
      <c r="W2139" s="320"/>
    </row>
    <row r="2140" spans="23:23" x14ac:dyDescent="0.45">
      <c r="W2140" s="320"/>
    </row>
    <row r="2141" spans="23:23" x14ac:dyDescent="0.45">
      <c r="W2141" s="320"/>
    </row>
    <row r="2142" spans="23:23" x14ac:dyDescent="0.45">
      <c r="W2142" s="320"/>
    </row>
    <row r="2143" spans="23:23" x14ac:dyDescent="0.45">
      <c r="W2143" s="320"/>
    </row>
    <row r="2144" spans="23:23" x14ac:dyDescent="0.45">
      <c r="W2144" s="320"/>
    </row>
    <row r="2145" spans="23:23" x14ac:dyDescent="0.45">
      <c r="W2145" s="320"/>
    </row>
    <row r="2146" spans="23:23" x14ac:dyDescent="0.45">
      <c r="W2146" s="320"/>
    </row>
    <row r="2147" spans="23:23" x14ac:dyDescent="0.45">
      <c r="W2147" s="320"/>
    </row>
    <row r="2148" spans="23:23" x14ac:dyDescent="0.45">
      <c r="W2148" s="320"/>
    </row>
    <row r="2149" spans="23:23" x14ac:dyDescent="0.45">
      <c r="W2149" s="320"/>
    </row>
    <row r="2150" spans="23:23" x14ac:dyDescent="0.45">
      <c r="W2150" s="320"/>
    </row>
    <row r="2151" spans="23:23" x14ac:dyDescent="0.45">
      <c r="W2151" s="320"/>
    </row>
    <row r="2152" spans="23:23" x14ac:dyDescent="0.45">
      <c r="W2152" s="320"/>
    </row>
    <row r="2153" spans="23:23" x14ac:dyDescent="0.45">
      <c r="W2153" s="320"/>
    </row>
    <row r="2154" spans="23:23" x14ac:dyDescent="0.45">
      <c r="W2154" s="320"/>
    </row>
    <row r="2155" spans="23:23" x14ac:dyDescent="0.45">
      <c r="W2155" s="320"/>
    </row>
    <row r="2156" spans="23:23" x14ac:dyDescent="0.45">
      <c r="W2156" s="320"/>
    </row>
    <row r="2157" spans="23:23" x14ac:dyDescent="0.45">
      <c r="W2157" s="320"/>
    </row>
    <row r="2158" spans="23:23" x14ac:dyDescent="0.45">
      <c r="W2158" s="320"/>
    </row>
    <row r="2159" spans="23:23" x14ac:dyDescent="0.45">
      <c r="W2159" s="320"/>
    </row>
    <row r="2160" spans="23:23" x14ac:dyDescent="0.45">
      <c r="W2160" s="320"/>
    </row>
    <row r="2161" spans="23:23" x14ac:dyDescent="0.45">
      <c r="W2161" s="320"/>
    </row>
    <row r="2162" spans="23:23" x14ac:dyDescent="0.45">
      <c r="W2162" s="320"/>
    </row>
    <row r="2163" spans="23:23" x14ac:dyDescent="0.45">
      <c r="W2163" s="320"/>
    </row>
    <row r="2164" spans="23:23" x14ac:dyDescent="0.45">
      <c r="W2164" s="320"/>
    </row>
    <row r="2165" spans="23:23" x14ac:dyDescent="0.45">
      <c r="W2165" s="320"/>
    </row>
    <row r="2166" spans="23:23" x14ac:dyDescent="0.45">
      <c r="W2166" s="320"/>
    </row>
    <row r="2167" spans="23:23" x14ac:dyDescent="0.45">
      <c r="W2167" s="320"/>
    </row>
    <row r="2168" spans="23:23" x14ac:dyDescent="0.45">
      <c r="W2168" s="320"/>
    </row>
    <row r="2169" spans="23:23" x14ac:dyDescent="0.45">
      <c r="W2169" s="320"/>
    </row>
    <row r="2170" spans="23:23" x14ac:dyDescent="0.45">
      <c r="W2170" s="320"/>
    </row>
    <row r="2171" spans="23:23" x14ac:dyDescent="0.45">
      <c r="W2171" s="320"/>
    </row>
    <row r="2172" spans="23:23" x14ac:dyDescent="0.45">
      <c r="W2172" s="320"/>
    </row>
    <row r="2173" spans="23:23" x14ac:dyDescent="0.45">
      <c r="W2173" s="320"/>
    </row>
    <row r="2174" spans="23:23" x14ac:dyDescent="0.45">
      <c r="W2174" s="320"/>
    </row>
    <row r="2175" spans="23:23" x14ac:dyDescent="0.45">
      <c r="W2175" s="320"/>
    </row>
    <row r="2176" spans="23:23" x14ac:dyDescent="0.45">
      <c r="W2176" s="320"/>
    </row>
    <row r="2177" spans="23:23" x14ac:dyDescent="0.45">
      <c r="W2177" s="320"/>
    </row>
    <row r="2178" spans="23:23" x14ac:dyDescent="0.45">
      <c r="W2178" s="320"/>
    </row>
    <row r="2179" spans="23:23" x14ac:dyDescent="0.45">
      <c r="W2179" s="320"/>
    </row>
    <row r="2180" spans="23:23" x14ac:dyDescent="0.45">
      <c r="W2180" s="320"/>
    </row>
    <row r="2181" spans="23:23" x14ac:dyDescent="0.45">
      <c r="W2181" s="320"/>
    </row>
    <row r="2182" spans="23:23" x14ac:dyDescent="0.45">
      <c r="W2182" s="320"/>
    </row>
    <row r="2183" spans="23:23" x14ac:dyDescent="0.45">
      <c r="W2183" s="320"/>
    </row>
    <row r="2184" spans="23:23" x14ac:dyDescent="0.45">
      <c r="W2184" s="320"/>
    </row>
    <row r="2185" spans="23:23" x14ac:dyDescent="0.45">
      <c r="W2185" s="320"/>
    </row>
    <row r="2186" spans="23:23" x14ac:dyDescent="0.45">
      <c r="W2186" s="320"/>
    </row>
    <row r="2187" spans="23:23" x14ac:dyDescent="0.45">
      <c r="W2187" s="320"/>
    </row>
    <row r="2188" spans="23:23" x14ac:dyDescent="0.45">
      <c r="W2188" s="320"/>
    </row>
    <row r="2189" spans="23:23" x14ac:dyDescent="0.45">
      <c r="W2189" s="320"/>
    </row>
    <row r="2190" spans="23:23" x14ac:dyDescent="0.45">
      <c r="W2190" s="320"/>
    </row>
    <row r="2191" spans="23:23" x14ac:dyDescent="0.45">
      <c r="W2191" s="320"/>
    </row>
    <row r="2192" spans="23:23" x14ac:dyDescent="0.45">
      <c r="W2192" s="320"/>
    </row>
    <row r="2193" spans="23:23" x14ac:dyDescent="0.45">
      <c r="W2193" s="320"/>
    </row>
    <row r="2194" spans="23:23" x14ac:dyDescent="0.45">
      <c r="W2194" s="320"/>
    </row>
    <row r="2195" spans="23:23" x14ac:dyDescent="0.45">
      <c r="W2195" s="320"/>
    </row>
    <row r="2196" spans="23:23" x14ac:dyDescent="0.45">
      <c r="W2196" s="320"/>
    </row>
    <row r="2197" spans="23:23" x14ac:dyDescent="0.45">
      <c r="W2197" s="320"/>
    </row>
    <row r="2198" spans="23:23" x14ac:dyDescent="0.45">
      <c r="W2198" s="320"/>
    </row>
    <row r="2199" spans="23:23" x14ac:dyDescent="0.45">
      <c r="W2199" s="320"/>
    </row>
    <row r="2200" spans="23:23" x14ac:dyDescent="0.45">
      <c r="W2200" s="320"/>
    </row>
    <row r="2201" spans="23:23" x14ac:dyDescent="0.45">
      <c r="W2201" s="320"/>
    </row>
    <row r="2202" spans="23:23" x14ac:dyDescent="0.45">
      <c r="W2202" s="320"/>
    </row>
    <row r="2203" spans="23:23" x14ac:dyDescent="0.45">
      <c r="W2203" s="320"/>
    </row>
    <row r="2204" spans="23:23" x14ac:dyDescent="0.45">
      <c r="W2204" s="320"/>
    </row>
    <row r="2205" spans="23:23" x14ac:dyDescent="0.45">
      <c r="W2205" s="320"/>
    </row>
    <row r="2206" spans="23:23" x14ac:dyDescent="0.45">
      <c r="W2206" s="320"/>
    </row>
    <row r="2207" spans="23:23" x14ac:dyDescent="0.45">
      <c r="W2207" s="320"/>
    </row>
    <row r="2208" spans="23:23" x14ac:dyDescent="0.45">
      <c r="W2208" s="320"/>
    </row>
    <row r="2209" spans="23:23" x14ac:dyDescent="0.45">
      <c r="W2209" s="320"/>
    </row>
    <row r="2210" spans="23:23" x14ac:dyDescent="0.45">
      <c r="W2210" s="320"/>
    </row>
    <row r="2211" spans="23:23" x14ac:dyDescent="0.45">
      <c r="W2211" s="320"/>
    </row>
    <row r="2212" spans="23:23" x14ac:dyDescent="0.45">
      <c r="W2212" s="320"/>
    </row>
    <row r="2213" spans="23:23" x14ac:dyDescent="0.45">
      <c r="W2213" s="320"/>
    </row>
    <row r="2214" spans="23:23" x14ac:dyDescent="0.45">
      <c r="W2214" s="320"/>
    </row>
    <row r="2215" spans="23:23" x14ac:dyDescent="0.45">
      <c r="W2215" s="320"/>
    </row>
    <row r="2216" spans="23:23" x14ac:dyDescent="0.45">
      <c r="W2216" s="320"/>
    </row>
    <row r="2217" spans="23:23" x14ac:dyDescent="0.45">
      <c r="W2217" s="320"/>
    </row>
    <row r="2218" spans="23:23" x14ac:dyDescent="0.45">
      <c r="W2218" s="320"/>
    </row>
    <row r="2219" spans="23:23" x14ac:dyDescent="0.45">
      <c r="W2219" s="320"/>
    </row>
    <row r="2220" spans="23:23" x14ac:dyDescent="0.45">
      <c r="W2220" s="320"/>
    </row>
    <row r="2221" spans="23:23" x14ac:dyDescent="0.45">
      <c r="W2221" s="320"/>
    </row>
    <row r="2222" spans="23:23" x14ac:dyDescent="0.45">
      <c r="W2222" s="320"/>
    </row>
    <row r="2223" spans="23:23" x14ac:dyDescent="0.45">
      <c r="W2223" s="320"/>
    </row>
    <row r="2224" spans="23:23" x14ac:dyDescent="0.45">
      <c r="W2224" s="320"/>
    </row>
    <row r="2225" spans="23:23" x14ac:dyDescent="0.45">
      <c r="W2225" s="320"/>
    </row>
    <row r="2226" spans="23:23" x14ac:dyDescent="0.45">
      <c r="W2226" s="320"/>
    </row>
    <row r="2227" spans="23:23" x14ac:dyDescent="0.45">
      <c r="W2227" s="320"/>
    </row>
    <row r="2228" spans="23:23" x14ac:dyDescent="0.45">
      <c r="W2228" s="320"/>
    </row>
    <row r="2229" spans="23:23" x14ac:dyDescent="0.45">
      <c r="W2229" s="320"/>
    </row>
    <row r="2230" spans="23:23" x14ac:dyDescent="0.45">
      <c r="W2230" s="320"/>
    </row>
    <row r="2231" spans="23:23" x14ac:dyDescent="0.45">
      <c r="W2231" s="320"/>
    </row>
    <row r="2232" spans="23:23" x14ac:dyDescent="0.45">
      <c r="W2232" s="320"/>
    </row>
    <row r="2233" spans="23:23" x14ac:dyDescent="0.45">
      <c r="W2233" s="320"/>
    </row>
    <row r="2234" spans="23:23" x14ac:dyDescent="0.45">
      <c r="W2234" s="320"/>
    </row>
    <row r="2235" spans="23:23" x14ac:dyDescent="0.45">
      <c r="W2235" s="320"/>
    </row>
    <row r="2236" spans="23:23" x14ac:dyDescent="0.45">
      <c r="W2236" s="320"/>
    </row>
    <row r="2237" spans="23:23" x14ac:dyDescent="0.45">
      <c r="W2237" s="320"/>
    </row>
    <row r="2238" spans="23:23" x14ac:dyDescent="0.45">
      <c r="W2238" s="320"/>
    </row>
    <row r="2239" spans="23:23" x14ac:dyDescent="0.45">
      <c r="W2239" s="320"/>
    </row>
    <row r="2240" spans="23:23" x14ac:dyDescent="0.45">
      <c r="W2240" s="320"/>
    </row>
    <row r="2241" spans="23:23" x14ac:dyDescent="0.45">
      <c r="W2241" s="320"/>
    </row>
    <row r="2242" spans="23:23" x14ac:dyDescent="0.45">
      <c r="W2242" s="320"/>
    </row>
    <row r="2243" spans="23:23" x14ac:dyDescent="0.45">
      <c r="W2243" s="320"/>
    </row>
    <row r="2244" spans="23:23" x14ac:dyDescent="0.45">
      <c r="W2244" s="320"/>
    </row>
    <row r="2245" spans="23:23" x14ac:dyDescent="0.45">
      <c r="W2245" s="320"/>
    </row>
    <row r="2246" spans="23:23" x14ac:dyDescent="0.45">
      <c r="W2246" s="320"/>
    </row>
    <row r="2247" spans="23:23" x14ac:dyDescent="0.45">
      <c r="W2247" s="320"/>
    </row>
    <row r="2248" spans="23:23" x14ac:dyDescent="0.45">
      <c r="W2248" s="320"/>
    </row>
    <row r="2249" spans="23:23" x14ac:dyDescent="0.45">
      <c r="W2249" s="320"/>
    </row>
    <row r="2250" spans="23:23" x14ac:dyDescent="0.45">
      <c r="W2250" s="320"/>
    </row>
    <row r="2251" spans="23:23" x14ac:dyDescent="0.45">
      <c r="W2251" s="320"/>
    </row>
    <row r="2252" spans="23:23" x14ac:dyDescent="0.45">
      <c r="W2252" s="320"/>
    </row>
    <row r="2253" spans="23:23" x14ac:dyDescent="0.45">
      <c r="W2253" s="320"/>
    </row>
    <row r="2254" spans="23:23" x14ac:dyDescent="0.45">
      <c r="W2254" s="320"/>
    </row>
    <row r="2255" spans="23:23" x14ac:dyDescent="0.45">
      <c r="W2255" s="320"/>
    </row>
    <row r="2256" spans="23:23" x14ac:dyDescent="0.45">
      <c r="W2256" s="320"/>
    </row>
    <row r="2257" spans="23:23" x14ac:dyDescent="0.45">
      <c r="W2257" s="320"/>
    </row>
    <row r="2258" spans="23:23" x14ac:dyDescent="0.45">
      <c r="W2258" s="320"/>
    </row>
    <row r="2259" spans="23:23" x14ac:dyDescent="0.45">
      <c r="W2259" s="320"/>
    </row>
    <row r="2260" spans="23:23" x14ac:dyDescent="0.45">
      <c r="W2260" s="320"/>
    </row>
    <row r="2261" spans="23:23" x14ac:dyDescent="0.45">
      <c r="W2261" s="320"/>
    </row>
    <row r="2262" spans="23:23" x14ac:dyDescent="0.45">
      <c r="W2262" s="320"/>
    </row>
    <row r="2263" spans="23:23" x14ac:dyDescent="0.45">
      <c r="W2263" s="320"/>
    </row>
    <row r="2264" spans="23:23" x14ac:dyDescent="0.45">
      <c r="W2264" s="320"/>
    </row>
    <row r="2265" spans="23:23" x14ac:dyDescent="0.45">
      <c r="W2265" s="320"/>
    </row>
    <row r="2266" spans="23:23" x14ac:dyDescent="0.45">
      <c r="W2266" s="320"/>
    </row>
    <row r="2267" spans="23:23" x14ac:dyDescent="0.45">
      <c r="W2267" s="320"/>
    </row>
    <row r="2268" spans="23:23" x14ac:dyDescent="0.45">
      <c r="W2268" s="320"/>
    </row>
    <row r="2269" spans="23:23" x14ac:dyDescent="0.45">
      <c r="W2269" s="320"/>
    </row>
    <row r="2270" spans="23:23" x14ac:dyDescent="0.45">
      <c r="W2270" s="320"/>
    </row>
    <row r="2271" spans="23:23" x14ac:dyDescent="0.45">
      <c r="W2271" s="320"/>
    </row>
    <row r="2272" spans="23:23" x14ac:dyDescent="0.45">
      <c r="W2272" s="320"/>
    </row>
    <row r="2273" spans="23:23" x14ac:dyDescent="0.45">
      <c r="W2273" s="320"/>
    </row>
    <row r="2274" spans="23:23" x14ac:dyDescent="0.45">
      <c r="W2274" s="320"/>
    </row>
    <row r="2275" spans="23:23" x14ac:dyDescent="0.45">
      <c r="W2275" s="320"/>
    </row>
    <row r="2276" spans="23:23" x14ac:dyDescent="0.45">
      <c r="W2276" s="320"/>
    </row>
    <row r="2277" spans="23:23" x14ac:dyDescent="0.45">
      <c r="W2277" s="320"/>
    </row>
    <row r="2278" spans="23:23" x14ac:dyDescent="0.45">
      <c r="W2278" s="320"/>
    </row>
    <row r="2279" spans="23:23" x14ac:dyDescent="0.45">
      <c r="W2279" s="320"/>
    </row>
    <row r="2280" spans="23:23" x14ac:dyDescent="0.45">
      <c r="W2280" s="320"/>
    </row>
    <row r="2281" spans="23:23" x14ac:dyDescent="0.45">
      <c r="W2281" s="320"/>
    </row>
    <row r="2282" spans="23:23" x14ac:dyDescent="0.45">
      <c r="W2282" s="320"/>
    </row>
    <row r="2283" spans="23:23" x14ac:dyDescent="0.45">
      <c r="W2283" s="320"/>
    </row>
    <row r="2284" spans="23:23" x14ac:dyDescent="0.45">
      <c r="W2284" s="320"/>
    </row>
    <row r="2285" spans="23:23" x14ac:dyDescent="0.45">
      <c r="W2285" s="320"/>
    </row>
    <row r="2286" spans="23:23" x14ac:dyDescent="0.45">
      <c r="W2286" s="320"/>
    </row>
    <row r="2287" spans="23:23" x14ac:dyDescent="0.45">
      <c r="W2287" s="320"/>
    </row>
    <row r="2288" spans="23:23" x14ac:dyDescent="0.45">
      <c r="W2288" s="320"/>
    </row>
    <row r="2289" spans="23:23" x14ac:dyDescent="0.45">
      <c r="W2289" s="320"/>
    </row>
    <row r="2290" spans="23:23" x14ac:dyDescent="0.45">
      <c r="W2290" s="320"/>
    </row>
    <row r="2291" spans="23:23" x14ac:dyDescent="0.45">
      <c r="W2291" s="320"/>
    </row>
    <row r="2292" spans="23:23" x14ac:dyDescent="0.45">
      <c r="W2292" s="320"/>
    </row>
    <row r="2293" spans="23:23" x14ac:dyDescent="0.45">
      <c r="W2293" s="320"/>
    </row>
    <row r="2294" spans="23:23" x14ac:dyDescent="0.45">
      <c r="W2294" s="320"/>
    </row>
    <row r="2295" spans="23:23" x14ac:dyDescent="0.45">
      <c r="W2295" s="320"/>
    </row>
    <row r="2296" spans="23:23" x14ac:dyDescent="0.45">
      <c r="W2296" s="320"/>
    </row>
    <row r="2297" spans="23:23" x14ac:dyDescent="0.45">
      <c r="W2297" s="320"/>
    </row>
    <row r="2298" spans="23:23" x14ac:dyDescent="0.45">
      <c r="W2298" s="320"/>
    </row>
    <row r="2299" spans="23:23" x14ac:dyDescent="0.45">
      <c r="W2299" s="320"/>
    </row>
    <row r="2300" spans="23:23" x14ac:dyDescent="0.45">
      <c r="W2300" s="320"/>
    </row>
    <row r="2301" spans="23:23" x14ac:dyDescent="0.45">
      <c r="W2301" s="320"/>
    </row>
    <row r="2302" spans="23:23" x14ac:dyDescent="0.45">
      <c r="W2302" s="320"/>
    </row>
    <row r="2303" spans="23:23" x14ac:dyDescent="0.45">
      <c r="W2303" s="320"/>
    </row>
    <row r="2304" spans="23:23" x14ac:dyDescent="0.45">
      <c r="W2304" s="320"/>
    </row>
    <row r="2305" spans="23:23" x14ac:dyDescent="0.45">
      <c r="W2305" s="320"/>
    </row>
    <row r="2306" spans="23:23" x14ac:dyDescent="0.45">
      <c r="W2306" s="320"/>
    </row>
    <row r="2307" spans="23:23" x14ac:dyDescent="0.45">
      <c r="W2307" s="320"/>
    </row>
    <row r="2308" spans="23:23" x14ac:dyDescent="0.45">
      <c r="W2308" s="320"/>
    </row>
    <row r="2309" spans="23:23" x14ac:dyDescent="0.45">
      <c r="W2309" s="320"/>
    </row>
    <row r="2310" spans="23:23" x14ac:dyDescent="0.45">
      <c r="W2310" s="320"/>
    </row>
    <row r="2311" spans="23:23" x14ac:dyDescent="0.45">
      <c r="W2311" s="320"/>
    </row>
    <row r="2312" spans="23:23" x14ac:dyDescent="0.45">
      <c r="W2312" s="320"/>
    </row>
    <row r="2313" spans="23:23" x14ac:dyDescent="0.45">
      <c r="W2313" s="320"/>
    </row>
    <row r="2314" spans="23:23" x14ac:dyDescent="0.45">
      <c r="W2314" s="320"/>
    </row>
    <row r="2315" spans="23:23" x14ac:dyDescent="0.45">
      <c r="W2315" s="320"/>
    </row>
    <row r="2316" spans="23:23" x14ac:dyDescent="0.45">
      <c r="W2316" s="320"/>
    </row>
    <row r="2317" spans="23:23" x14ac:dyDescent="0.45">
      <c r="W2317" s="320"/>
    </row>
    <row r="2318" spans="23:23" x14ac:dyDescent="0.45">
      <c r="W2318" s="320"/>
    </row>
    <row r="2319" spans="23:23" x14ac:dyDescent="0.45">
      <c r="W2319" s="320"/>
    </row>
    <row r="2320" spans="23:23" x14ac:dyDescent="0.45">
      <c r="W2320" s="320"/>
    </row>
    <row r="2321" spans="23:23" x14ac:dyDescent="0.45">
      <c r="W2321" s="320"/>
    </row>
    <row r="2322" spans="23:23" x14ac:dyDescent="0.45">
      <c r="W2322" s="320"/>
    </row>
    <row r="2323" spans="23:23" x14ac:dyDescent="0.45">
      <c r="W2323" s="320"/>
    </row>
    <row r="2324" spans="23:23" x14ac:dyDescent="0.45">
      <c r="W2324" s="320"/>
    </row>
    <row r="2325" spans="23:23" x14ac:dyDescent="0.45">
      <c r="W2325" s="320"/>
    </row>
    <row r="2326" spans="23:23" x14ac:dyDescent="0.45">
      <c r="W2326" s="320"/>
    </row>
    <row r="2327" spans="23:23" x14ac:dyDescent="0.45">
      <c r="W2327" s="320"/>
    </row>
    <row r="2328" spans="23:23" x14ac:dyDescent="0.45">
      <c r="W2328" s="320"/>
    </row>
    <row r="2329" spans="23:23" x14ac:dyDescent="0.45">
      <c r="W2329" s="320"/>
    </row>
    <row r="2330" spans="23:23" x14ac:dyDescent="0.45">
      <c r="W2330" s="320"/>
    </row>
    <row r="2331" spans="23:23" x14ac:dyDescent="0.45">
      <c r="W2331" s="320"/>
    </row>
    <row r="2332" spans="23:23" x14ac:dyDescent="0.45">
      <c r="W2332" s="320"/>
    </row>
    <row r="2333" spans="23:23" x14ac:dyDescent="0.45">
      <c r="W2333" s="320"/>
    </row>
    <row r="2334" spans="23:23" x14ac:dyDescent="0.45">
      <c r="W2334" s="320"/>
    </row>
    <row r="2335" spans="23:23" x14ac:dyDescent="0.45">
      <c r="W2335" s="320"/>
    </row>
    <row r="2336" spans="23:23" x14ac:dyDescent="0.45">
      <c r="W2336" s="320"/>
    </row>
    <row r="2337" spans="23:23" x14ac:dyDescent="0.45">
      <c r="W2337" s="320"/>
    </row>
    <row r="2338" spans="23:23" x14ac:dyDescent="0.45">
      <c r="W2338" s="320"/>
    </row>
    <row r="2339" spans="23:23" x14ac:dyDescent="0.45">
      <c r="W2339" s="320"/>
    </row>
    <row r="2340" spans="23:23" x14ac:dyDescent="0.45">
      <c r="W2340" s="320"/>
    </row>
    <row r="2341" spans="23:23" x14ac:dyDescent="0.45">
      <c r="W2341" s="320"/>
    </row>
    <row r="2342" spans="23:23" x14ac:dyDescent="0.45">
      <c r="W2342" s="320"/>
    </row>
    <row r="2343" spans="23:23" x14ac:dyDescent="0.45">
      <c r="W2343" s="320"/>
    </row>
    <row r="2344" spans="23:23" x14ac:dyDescent="0.45">
      <c r="W2344" s="320"/>
    </row>
    <row r="2345" spans="23:23" x14ac:dyDescent="0.45">
      <c r="W2345" s="320"/>
    </row>
    <row r="2346" spans="23:23" x14ac:dyDescent="0.45">
      <c r="W2346" s="320"/>
    </row>
    <row r="2347" spans="23:23" x14ac:dyDescent="0.45">
      <c r="W2347" s="320"/>
    </row>
    <row r="2348" spans="23:23" x14ac:dyDescent="0.45">
      <c r="W2348" s="320"/>
    </row>
    <row r="2349" spans="23:23" x14ac:dyDescent="0.45">
      <c r="W2349" s="320"/>
    </row>
    <row r="2350" spans="23:23" x14ac:dyDescent="0.45">
      <c r="W2350" s="320"/>
    </row>
    <row r="2351" spans="23:23" x14ac:dyDescent="0.45">
      <c r="W2351" s="320"/>
    </row>
    <row r="2352" spans="23:23" x14ac:dyDescent="0.45">
      <c r="W2352" s="320"/>
    </row>
    <row r="2353" spans="23:23" x14ac:dyDescent="0.45">
      <c r="W2353" s="320"/>
    </row>
    <row r="2354" spans="23:23" x14ac:dyDescent="0.45">
      <c r="W2354" s="320"/>
    </row>
    <row r="2355" spans="23:23" x14ac:dyDescent="0.45">
      <c r="W2355" s="320"/>
    </row>
    <row r="2356" spans="23:23" x14ac:dyDescent="0.45">
      <c r="W2356" s="320"/>
    </row>
    <row r="2357" spans="23:23" x14ac:dyDescent="0.45">
      <c r="W2357" s="320"/>
    </row>
    <row r="2358" spans="23:23" x14ac:dyDescent="0.45">
      <c r="W2358" s="320"/>
    </row>
    <row r="2359" spans="23:23" x14ac:dyDescent="0.45">
      <c r="W2359" s="320"/>
    </row>
    <row r="2360" spans="23:23" x14ac:dyDescent="0.45">
      <c r="W2360" s="320"/>
    </row>
    <row r="2361" spans="23:23" x14ac:dyDescent="0.45">
      <c r="W2361" s="320"/>
    </row>
    <row r="2362" spans="23:23" x14ac:dyDescent="0.45">
      <c r="W2362" s="320"/>
    </row>
    <row r="2363" spans="23:23" x14ac:dyDescent="0.45">
      <c r="W2363" s="320"/>
    </row>
    <row r="2364" spans="23:23" x14ac:dyDescent="0.45">
      <c r="W2364" s="320"/>
    </row>
    <row r="2365" spans="23:23" x14ac:dyDescent="0.45">
      <c r="W2365" s="320"/>
    </row>
    <row r="2366" spans="23:23" x14ac:dyDescent="0.45">
      <c r="W2366" s="320"/>
    </row>
    <row r="2367" spans="23:23" x14ac:dyDescent="0.45">
      <c r="W2367" s="320"/>
    </row>
    <row r="2368" spans="23:23" x14ac:dyDescent="0.45">
      <c r="W2368" s="320"/>
    </row>
    <row r="2369" spans="23:23" x14ac:dyDescent="0.45">
      <c r="W2369" s="320"/>
    </row>
    <row r="2370" spans="23:23" x14ac:dyDescent="0.45">
      <c r="W2370" s="320"/>
    </row>
    <row r="2371" spans="23:23" x14ac:dyDescent="0.45">
      <c r="W2371" s="320"/>
    </row>
    <row r="2372" spans="23:23" x14ac:dyDescent="0.45">
      <c r="W2372" s="320"/>
    </row>
    <row r="2373" spans="23:23" x14ac:dyDescent="0.45">
      <c r="W2373" s="320"/>
    </row>
    <row r="2374" spans="23:23" x14ac:dyDescent="0.45">
      <c r="W2374" s="320"/>
    </row>
    <row r="2375" spans="23:23" x14ac:dyDescent="0.45">
      <c r="W2375" s="320"/>
    </row>
    <row r="2376" spans="23:23" x14ac:dyDescent="0.45">
      <c r="W2376" s="320"/>
    </row>
    <row r="2377" spans="23:23" x14ac:dyDescent="0.45">
      <c r="W2377" s="320"/>
    </row>
    <row r="2378" spans="23:23" x14ac:dyDescent="0.45">
      <c r="W2378" s="320"/>
    </row>
    <row r="2379" spans="23:23" x14ac:dyDescent="0.45">
      <c r="W2379" s="320"/>
    </row>
    <row r="2380" spans="23:23" x14ac:dyDescent="0.45">
      <c r="W2380" s="320"/>
    </row>
    <row r="2381" spans="23:23" x14ac:dyDescent="0.45">
      <c r="W2381" s="320"/>
    </row>
    <row r="2382" spans="23:23" x14ac:dyDescent="0.45">
      <c r="W2382" s="320"/>
    </row>
    <row r="2383" spans="23:23" x14ac:dyDescent="0.45">
      <c r="W2383" s="320"/>
    </row>
    <row r="2384" spans="23:23" x14ac:dyDescent="0.45">
      <c r="W2384" s="320"/>
    </row>
    <row r="2385" spans="23:23" x14ac:dyDescent="0.45">
      <c r="W2385" s="320"/>
    </row>
    <row r="2386" spans="23:23" x14ac:dyDescent="0.45">
      <c r="W2386" s="320"/>
    </row>
    <row r="2387" spans="23:23" x14ac:dyDescent="0.45">
      <c r="W2387" s="320"/>
    </row>
    <row r="2388" spans="23:23" x14ac:dyDescent="0.45">
      <c r="W2388" s="320"/>
    </row>
    <row r="2389" spans="23:23" x14ac:dyDescent="0.45">
      <c r="W2389" s="320"/>
    </row>
    <row r="2390" spans="23:23" x14ac:dyDescent="0.45">
      <c r="W2390" s="320"/>
    </row>
    <row r="2391" spans="23:23" x14ac:dyDescent="0.45">
      <c r="W2391" s="320"/>
    </row>
    <row r="2392" spans="23:23" x14ac:dyDescent="0.45">
      <c r="W2392" s="320"/>
    </row>
    <row r="2393" spans="23:23" x14ac:dyDescent="0.45">
      <c r="W2393" s="320"/>
    </row>
    <row r="2394" spans="23:23" x14ac:dyDescent="0.45">
      <c r="W2394" s="320"/>
    </row>
    <row r="2395" spans="23:23" x14ac:dyDescent="0.45">
      <c r="W2395" s="320"/>
    </row>
    <row r="2396" spans="23:23" x14ac:dyDescent="0.45">
      <c r="W2396" s="320"/>
    </row>
    <row r="2397" spans="23:23" x14ac:dyDescent="0.45">
      <c r="W2397" s="320"/>
    </row>
    <row r="2398" spans="23:23" x14ac:dyDescent="0.45">
      <c r="W2398" s="320"/>
    </row>
    <row r="2399" spans="23:23" x14ac:dyDescent="0.45">
      <c r="W2399" s="320"/>
    </row>
    <row r="2400" spans="23:23" x14ac:dyDescent="0.45">
      <c r="W2400" s="320"/>
    </row>
    <row r="2401" spans="23:23" x14ac:dyDescent="0.45">
      <c r="W2401" s="320"/>
    </row>
    <row r="2402" spans="23:23" x14ac:dyDescent="0.45">
      <c r="W2402" s="320"/>
    </row>
    <row r="2403" spans="23:23" x14ac:dyDescent="0.45">
      <c r="W2403" s="320"/>
    </row>
    <row r="2404" spans="23:23" x14ac:dyDescent="0.45">
      <c r="W2404" s="320"/>
    </row>
    <row r="2405" spans="23:23" x14ac:dyDescent="0.45">
      <c r="W2405" s="320"/>
    </row>
    <row r="2406" spans="23:23" x14ac:dyDescent="0.45">
      <c r="W2406" s="320"/>
    </row>
    <row r="2407" spans="23:23" x14ac:dyDescent="0.45">
      <c r="W2407" s="320"/>
    </row>
    <row r="2408" spans="23:23" x14ac:dyDescent="0.45">
      <c r="W2408" s="320"/>
    </row>
    <row r="2409" spans="23:23" x14ac:dyDescent="0.45">
      <c r="W2409" s="320"/>
    </row>
    <row r="2410" spans="23:23" x14ac:dyDescent="0.45">
      <c r="W2410" s="320"/>
    </row>
    <row r="2411" spans="23:23" x14ac:dyDescent="0.45">
      <c r="W2411" s="320"/>
    </row>
    <row r="2412" spans="23:23" x14ac:dyDescent="0.45">
      <c r="W2412" s="320"/>
    </row>
    <row r="2413" spans="23:23" x14ac:dyDescent="0.45">
      <c r="W2413" s="320"/>
    </row>
    <row r="2414" spans="23:23" x14ac:dyDescent="0.45">
      <c r="W2414" s="320"/>
    </row>
    <row r="2415" spans="23:23" x14ac:dyDescent="0.45">
      <c r="W2415" s="320"/>
    </row>
    <row r="2416" spans="23:23" x14ac:dyDescent="0.45">
      <c r="W2416" s="320"/>
    </row>
    <row r="2417" spans="23:23" x14ac:dyDescent="0.45">
      <c r="W2417" s="320"/>
    </row>
    <row r="2418" spans="23:23" x14ac:dyDescent="0.45">
      <c r="W2418" s="320"/>
    </row>
    <row r="2419" spans="23:23" x14ac:dyDescent="0.45">
      <c r="W2419" s="320"/>
    </row>
    <row r="2420" spans="23:23" x14ac:dyDescent="0.45">
      <c r="W2420" s="320"/>
    </row>
    <row r="2421" spans="23:23" x14ac:dyDescent="0.45">
      <c r="W2421" s="320"/>
    </row>
    <row r="2422" spans="23:23" x14ac:dyDescent="0.45">
      <c r="W2422" s="320"/>
    </row>
    <row r="2423" spans="23:23" x14ac:dyDescent="0.45">
      <c r="W2423" s="320"/>
    </row>
    <row r="2424" spans="23:23" x14ac:dyDescent="0.45">
      <c r="W2424" s="320"/>
    </row>
    <row r="2425" spans="23:23" x14ac:dyDescent="0.45">
      <c r="W2425" s="320"/>
    </row>
    <row r="2426" spans="23:23" x14ac:dyDescent="0.45">
      <c r="W2426" s="320"/>
    </row>
    <row r="2427" spans="23:23" x14ac:dyDescent="0.45">
      <c r="W2427" s="320"/>
    </row>
    <row r="2428" spans="23:23" x14ac:dyDescent="0.45">
      <c r="W2428" s="320"/>
    </row>
    <row r="2429" spans="23:23" x14ac:dyDescent="0.45">
      <c r="W2429" s="320"/>
    </row>
    <row r="2430" spans="23:23" x14ac:dyDescent="0.45">
      <c r="W2430" s="320"/>
    </row>
    <row r="2431" spans="23:23" x14ac:dyDescent="0.45">
      <c r="W2431" s="320"/>
    </row>
    <row r="2432" spans="23:23" x14ac:dyDescent="0.45">
      <c r="W2432" s="320"/>
    </row>
    <row r="2433" spans="23:23" x14ac:dyDescent="0.45">
      <c r="W2433" s="320"/>
    </row>
    <row r="2434" spans="23:23" x14ac:dyDescent="0.45">
      <c r="W2434" s="320"/>
    </row>
    <row r="2435" spans="23:23" x14ac:dyDescent="0.45">
      <c r="W2435" s="320"/>
    </row>
    <row r="2436" spans="23:23" x14ac:dyDescent="0.45">
      <c r="W2436" s="320"/>
    </row>
    <row r="2437" spans="23:23" x14ac:dyDescent="0.45">
      <c r="W2437" s="320"/>
    </row>
    <row r="2438" spans="23:23" x14ac:dyDescent="0.45">
      <c r="W2438" s="320"/>
    </row>
    <row r="2439" spans="23:23" x14ac:dyDescent="0.45">
      <c r="W2439" s="320"/>
    </row>
    <row r="2440" spans="23:23" x14ac:dyDescent="0.45">
      <c r="W2440" s="320"/>
    </row>
    <row r="2441" spans="23:23" x14ac:dyDescent="0.45">
      <c r="W2441" s="320"/>
    </row>
    <row r="2442" spans="23:23" x14ac:dyDescent="0.45">
      <c r="W2442" s="320"/>
    </row>
    <row r="2443" spans="23:23" x14ac:dyDescent="0.45">
      <c r="W2443" s="320"/>
    </row>
    <row r="2444" spans="23:23" x14ac:dyDescent="0.45">
      <c r="W2444" s="320"/>
    </row>
    <row r="2445" spans="23:23" x14ac:dyDescent="0.45">
      <c r="W2445" s="320"/>
    </row>
    <row r="2446" spans="23:23" x14ac:dyDescent="0.45">
      <c r="W2446" s="320"/>
    </row>
    <row r="2447" spans="23:23" x14ac:dyDescent="0.45">
      <c r="W2447" s="320"/>
    </row>
    <row r="2448" spans="23:23" x14ac:dyDescent="0.45">
      <c r="W2448" s="320"/>
    </row>
    <row r="2449" spans="23:23" x14ac:dyDescent="0.45">
      <c r="W2449" s="320"/>
    </row>
    <row r="2450" spans="23:23" x14ac:dyDescent="0.45">
      <c r="W2450" s="320"/>
    </row>
    <row r="2451" spans="23:23" x14ac:dyDescent="0.45">
      <c r="W2451" s="320"/>
    </row>
    <row r="2452" spans="23:23" x14ac:dyDescent="0.45">
      <c r="W2452" s="320"/>
    </row>
    <row r="2453" spans="23:23" x14ac:dyDescent="0.45">
      <c r="W2453" s="320"/>
    </row>
    <row r="2454" spans="23:23" x14ac:dyDescent="0.45">
      <c r="W2454" s="320"/>
    </row>
    <row r="2455" spans="23:23" x14ac:dyDescent="0.45">
      <c r="W2455" s="320"/>
    </row>
    <row r="2456" spans="23:23" x14ac:dyDescent="0.45">
      <c r="W2456" s="320"/>
    </row>
    <row r="2457" spans="23:23" x14ac:dyDescent="0.45">
      <c r="W2457" s="320"/>
    </row>
    <row r="2458" spans="23:23" x14ac:dyDescent="0.45">
      <c r="W2458" s="320"/>
    </row>
    <row r="2459" spans="23:23" x14ac:dyDescent="0.45">
      <c r="W2459" s="320"/>
    </row>
    <row r="2460" spans="23:23" x14ac:dyDescent="0.45">
      <c r="W2460" s="320"/>
    </row>
    <row r="2461" spans="23:23" x14ac:dyDescent="0.45">
      <c r="W2461" s="320"/>
    </row>
    <row r="2462" spans="23:23" x14ac:dyDescent="0.45">
      <c r="W2462" s="320"/>
    </row>
    <row r="2463" spans="23:23" x14ac:dyDescent="0.45">
      <c r="W2463" s="320"/>
    </row>
    <row r="2464" spans="23:23" x14ac:dyDescent="0.45">
      <c r="W2464" s="320"/>
    </row>
    <row r="2465" spans="23:23" x14ac:dyDescent="0.45">
      <c r="W2465" s="320"/>
    </row>
    <row r="2466" spans="23:23" x14ac:dyDescent="0.45">
      <c r="W2466" s="320"/>
    </row>
    <row r="2467" spans="23:23" x14ac:dyDescent="0.45">
      <c r="W2467" s="320"/>
    </row>
    <row r="2468" spans="23:23" x14ac:dyDescent="0.45">
      <c r="W2468" s="320"/>
    </row>
    <row r="2469" spans="23:23" x14ac:dyDescent="0.45">
      <c r="W2469" s="320"/>
    </row>
    <row r="2470" spans="23:23" x14ac:dyDescent="0.45">
      <c r="W2470" s="320"/>
    </row>
    <row r="2471" spans="23:23" x14ac:dyDescent="0.45">
      <c r="W2471" s="320"/>
    </row>
    <row r="2472" spans="23:23" x14ac:dyDescent="0.45">
      <c r="W2472" s="320"/>
    </row>
    <row r="2473" spans="23:23" x14ac:dyDescent="0.45">
      <c r="W2473" s="320"/>
    </row>
    <row r="2474" spans="23:23" x14ac:dyDescent="0.45">
      <c r="W2474" s="320"/>
    </row>
    <row r="2475" spans="23:23" x14ac:dyDescent="0.45">
      <c r="W2475" s="320"/>
    </row>
    <row r="2476" spans="23:23" x14ac:dyDescent="0.45">
      <c r="W2476" s="320"/>
    </row>
    <row r="2477" spans="23:23" x14ac:dyDescent="0.45">
      <c r="W2477" s="320"/>
    </row>
    <row r="2478" spans="23:23" x14ac:dyDescent="0.45">
      <c r="W2478" s="320"/>
    </row>
    <row r="2479" spans="23:23" x14ac:dyDescent="0.45">
      <c r="W2479" s="320"/>
    </row>
    <row r="2480" spans="23:23" x14ac:dyDescent="0.45">
      <c r="W2480" s="320"/>
    </row>
    <row r="2481" spans="23:23" x14ac:dyDescent="0.45">
      <c r="W2481" s="320"/>
    </row>
    <row r="2482" spans="23:23" x14ac:dyDescent="0.45">
      <c r="W2482" s="320"/>
    </row>
    <row r="2483" spans="23:23" x14ac:dyDescent="0.45">
      <c r="W2483" s="320"/>
    </row>
    <row r="2484" spans="23:23" x14ac:dyDescent="0.45">
      <c r="W2484" s="320"/>
    </row>
    <row r="2485" spans="23:23" x14ac:dyDescent="0.45">
      <c r="W2485" s="320"/>
    </row>
    <row r="2486" spans="23:23" x14ac:dyDescent="0.45">
      <c r="W2486" s="320"/>
    </row>
    <row r="2487" spans="23:23" x14ac:dyDescent="0.45">
      <c r="W2487" s="320"/>
    </row>
    <row r="2488" spans="23:23" x14ac:dyDescent="0.45">
      <c r="W2488" s="320"/>
    </row>
    <row r="2489" spans="23:23" x14ac:dyDescent="0.45">
      <c r="W2489" s="320"/>
    </row>
    <row r="2490" spans="23:23" x14ac:dyDescent="0.45">
      <c r="W2490" s="320"/>
    </row>
    <row r="2491" spans="23:23" x14ac:dyDescent="0.45">
      <c r="W2491" s="320"/>
    </row>
    <row r="2492" spans="23:23" x14ac:dyDescent="0.45">
      <c r="W2492" s="320"/>
    </row>
    <row r="2493" spans="23:23" x14ac:dyDescent="0.45">
      <c r="W2493" s="320"/>
    </row>
    <row r="2494" spans="23:23" x14ac:dyDescent="0.45">
      <c r="W2494" s="320"/>
    </row>
    <row r="2495" spans="23:23" x14ac:dyDescent="0.45">
      <c r="W2495" s="320"/>
    </row>
    <row r="2496" spans="23:23" x14ac:dyDescent="0.45">
      <c r="W2496" s="320"/>
    </row>
    <row r="2497" spans="23:23" x14ac:dyDescent="0.45">
      <c r="W2497" s="320"/>
    </row>
    <row r="2498" spans="23:23" x14ac:dyDescent="0.45">
      <c r="W2498" s="320"/>
    </row>
    <row r="2499" spans="23:23" x14ac:dyDescent="0.45">
      <c r="W2499" s="320"/>
    </row>
    <row r="2500" spans="23:23" x14ac:dyDescent="0.45">
      <c r="W2500" s="320"/>
    </row>
    <row r="2501" spans="23:23" x14ac:dyDescent="0.45">
      <c r="W2501" s="320"/>
    </row>
    <row r="2502" spans="23:23" x14ac:dyDescent="0.45">
      <c r="W2502" s="320"/>
    </row>
    <row r="2503" spans="23:23" x14ac:dyDescent="0.45">
      <c r="W2503" s="320"/>
    </row>
    <row r="2504" spans="23:23" x14ac:dyDescent="0.45">
      <c r="W2504" s="320"/>
    </row>
    <row r="2505" spans="23:23" x14ac:dyDescent="0.45">
      <c r="W2505" s="320"/>
    </row>
    <row r="2506" spans="23:23" x14ac:dyDescent="0.45">
      <c r="W2506" s="320"/>
    </row>
    <row r="2507" spans="23:23" x14ac:dyDescent="0.45">
      <c r="W2507" s="320"/>
    </row>
    <row r="2508" spans="23:23" x14ac:dyDescent="0.45">
      <c r="W2508" s="320"/>
    </row>
    <row r="2509" spans="23:23" x14ac:dyDescent="0.45">
      <c r="W2509" s="320"/>
    </row>
    <row r="2510" spans="23:23" x14ac:dyDescent="0.45">
      <c r="W2510" s="320"/>
    </row>
    <row r="2511" spans="23:23" x14ac:dyDescent="0.45">
      <c r="W2511" s="320"/>
    </row>
    <row r="2512" spans="23:23" x14ac:dyDescent="0.45">
      <c r="W2512" s="320"/>
    </row>
    <row r="2513" spans="23:23" x14ac:dyDescent="0.45">
      <c r="W2513" s="320"/>
    </row>
    <row r="2514" spans="23:23" x14ac:dyDescent="0.45">
      <c r="W2514" s="320"/>
    </row>
    <row r="2515" spans="23:23" x14ac:dyDescent="0.45">
      <c r="W2515" s="320"/>
    </row>
    <row r="2516" spans="23:23" x14ac:dyDescent="0.45">
      <c r="W2516" s="320"/>
    </row>
    <row r="2517" spans="23:23" x14ac:dyDescent="0.45">
      <c r="W2517" s="320"/>
    </row>
    <row r="2518" spans="23:23" x14ac:dyDescent="0.45">
      <c r="W2518" s="320"/>
    </row>
    <row r="2519" spans="23:23" x14ac:dyDescent="0.45">
      <c r="W2519" s="320"/>
    </row>
    <row r="2520" spans="23:23" x14ac:dyDescent="0.45">
      <c r="W2520" s="320"/>
    </row>
    <row r="2521" spans="23:23" x14ac:dyDescent="0.45">
      <c r="W2521" s="320"/>
    </row>
    <row r="2522" spans="23:23" x14ac:dyDescent="0.45">
      <c r="W2522" s="320"/>
    </row>
    <row r="2523" spans="23:23" x14ac:dyDescent="0.45">
      <c r="W2523" s="320"/>
    </row>
    <row r="2524" spans="23:23" x14ac:dyDescent="0.45">
      <c r="W2524" s="320"/>
    </row>
    <row r="2525" spans="23:23" x14ac:dyDescent="0.45">
      <c r="W2525" s="320"/>
    </row>
    <row r="2526" spans="23:23" x14ac:dyDescent="0.45">
      <c r="W2526" s="320"/>
    </row>
    <row r="2527" spans="23:23" x14ac:dyDescent="0.45">
      <c r="W2527" s="320"/>
    </row>
    <row r="2528" spans="23:23" x14ac:dyDescent="0.45">
      <c r="W2528" s="320"/>
    </row>
    <row r="2529" spans="23:23" x14ac:dyDescent="0.45">
      <c r="W2529" s="320"/>
    </row>
    <row r="2530" spans="23:23" x14ac:dyDescent="0.45">
      <c r="W2530" s="320"/>
    </row>
    <row r="2531" spans="23:23" x14ac:dyDescent="0.45">
      <c r="W2531" s="320"/>
    </row>
    <row r="2532" spans="23:23" x14ac:dyDescent="0.45">
      <c r="W2532" s="320"/>
    </row>
    <row r="2533" spans="23:23" x14ac:dyDescent="0.45">
      <c r="W2533" s="320"/>
    </row>
    <row r="2534" spans="23:23" x14ac:dyDescent="0.45">
      <c r="W2534" s="320"/>
    </row>
    <row r="2535" spans="23:23" x14ac:dyDescent="0.45">
      <c r="W2535" s="320"/>
    </row>
    <row r="2536" spans="23:23" x14ac:dyDescent="0.45">
      <c r="W2536" s="320"/>
    </row>
    <row r="2537" spans="23:23" x14ac:dyDescent="0.45">
      <c r="W2537" s="320"/>
    </row>
    <row r="2538" spans="23:23" x14ac:dyDescent="0.45">
      <c r="W2538" s="320"/>
    </row>
    <row r="2539" spans="23:23" x14ac:dyDescent="0.45">
      <c r="W2539" s="320"/>
    </row>
    <row r="2540" spans="23:23" x14ac:dyDescent="0.45">
      <c r="W2540" s="320"/>
    </row>
    <row r="2541" spans="23:23" x14ac:dyDescent="0.45">
      <c r="W2541" s="320"/>
    </row>
    <row r="2542" spans="23:23" x14ac:dyDescent="0.45">
      <c r="W2542" s="320"/>
    </row>
    <row r="2543" spans="23:23" x14ac:dyDescent="0.45">
      <c r="W2543" s="320"/>
    </row>
    <row r="2544" spans="23:23" x14ac:dyDescent="0.45">
      <c r="W2544" s="320"/>
    </row>
    <row r="2545" spans="23:23" x14ac:dyDescent="0.45">
      <c r="W2545" s="320"/>
    </row>
    <row r="2546" spans="23:23" x14ac:dyDescent="0.45">
      <c r="W2546" s="320"/>
    </row>
    <row r="2547" spans="23:23" x14ac:dyDescent="0.45">
      <c r="W2547" s="320"/>
    </row>
    <row r="2548" spans="23:23" x14ac:dyDescent="0.45">
      <c r="W2548" s="320"/>
    </row>
    <row r="2549" spans="23:23" x14ac:dyDescent="0.45">
      <c r="W2549" s="320"/>
    </row>
    <row r="2550" spans="23:23" x14ac:dyDescent="0.45">
      <c r="W2550" s="320"/>
    </row>
    <row r="2551" spans="23:23" x14ac:dyDescent="0.45">
      <c r="W2551" s="320"/>
    </row>
    <row r="2552" spans="23:23" x14ac:dyDescent="0.45">
      <c r="W2552" s="320"/>
    </row>
    <row r="2553" spans="23:23" x14ac:dyDescent="0.45">
      <c r="W2553" s="320"/>
    </row>
    <row r="2554" spans="23:23" x14ac:dyDescent="0.45">
      <c r="W2554" s="320"/>
    </row>
    <row r="2555" spans="23:23" x14ac:dyDescent="0.45">
      <c r="W2555" s="320"/>
    </row>
    <row r="2556" spans="23:23" x14ac:dyDescent="0.45">
      <c r="W2556" s="320"/>
    </row>
    <row r="2557" spans="23:23" x14ac:dyDescent="0.45">
      <c r="W2557" s="320"/>
    </row>
    <row r="2558" spans="23:23" x14ac:dyDescent="0.45">
      <c r="W2558" s="320"/>
    </row>
    <row r="2559" spans="23:23" x14ac:dyDescent="0.45">
      <c r="W2559" s="320"/>
    </row>
    <row r="2560" spans="23:23" x14ac:dyDescent="0.45">
      <c r="W2560" s="320"/>
    </row>
    <row r="2561" spans="23:23" x14ac:dyDescent="0.45">
      <c r="W2561" s="320"/>
    </row>
    <row r="2562" spans="23:23" x14ac:dyDescent="0.45">
      <c r="W2562" s="320"/>
    </row>
    <row r="2563" spans="23:23" x14ac:dyDescent="0.45">
      <c r="W2563" s="320"/>
    </row>
    <row r="2564" spans="23:23" x14ac:dyDescent="0.45">
      <c r="W2564" s="320"/>
    </row>
    <row r="2565" spans="23:23" x14ac:dyDescent="0.45">
      <c r="W2565" s="320"/>
    </row>
    <row r="2566" spans="23:23" x14ac:dyDescent="0.45">
      <c r="W2566" s="320"/>
    </row>
    <row r="2567" spans="23:23" x14ac:dyDescent="0.45">
      <c r="W2567" s="320"/>
    </row>
    <row r="2568" spans="23:23" x14ac:dyDescent="0.45">
      <c r="W2568" s="320"/>
    </row>
    <row r="2569" spans="23:23" x14ac:dyDescent="0.45">
      <c r="W2569" s="320"/>
    </row>
    <row r="2570" spans="23:23" x14ac:dyDescent="0.45">
      <c r="W2570" s="320"/>
    </row>
    <row r="2571" spans="23:23" x14ac:dyDescent="0.45">
      <c r="W2571" s="320"/>
    </row>
    <row r="2572" spans="23:23" x14ac:dyDescent="0.45">
      <c r="W2572" s="320"/>
    </row>
    <row r="2573" spans="23:23" x14ac:dyDescent="0.45">
      <c r="W2573" s="320"/>
    </row>
    <row r="2574" spans="23:23" x14ac:dyDescent="0.45">
      <c r="W2574" s="320"/>
    </row>
    <row r="2575" spans="23:23" x14ac:dyDescent="0.45">
      <c r="W2575" s="320"/>
    </row>
    <row r="2576" spans="23:23" x14ac:dyDescent="0.45">
      <c r="W2576" s="320"/>
    </row>
    <row r="2577" spans="23:23" x14ac:dyDescent="0.45">
      <c r="W2577" s="320"/>
    </row>
    <row r="2578" spans="23:23" x14ac:dyDescent="0.45">
      <c r="W2578" s="320"/>
    </row>
    <row r="2579" spans="23:23" x14ac:dyDescent="0.45">
      <c r="W2579" s="320"/>
    </row>
    <row r="2580" spans="23:23" x14ac:dyDescent="0.45">
      <c r="W2580" s="320"/>
    </row>
    <row r="2581" spans="23:23" x14ac:dyDescent="0.45">
      <c r="W2581" s="320"/>
    </row>
    <row r="2582" spans="23:23" x14ac:dyDescent="0.45">
      <c r="W2582" s="320"/>
    </row>
    <row r="2583" spans="23:23" x14ac:dyDescent="0.45">
      <c r="W2583" s="320"/>
    </row>
    <row r="2584" spans="23:23" x14ac:dyDescent="0.45">
      <c r="W2584" s="320"/>
    </row>
    <row r="2585" spans="23:23" x14ac:dyDescent="0.45">
      <c r="W2585" s="320"/>
    </row>
    <row r="2586" spans="23:23" x14ac:dyDescent="0.45">
      <c r="W2586" s="320"/>
    </row>
    <row r="2587" spans="23:23" x14ac:dyDescent="0.45">
      <c r="W2587" s="320"/>
    </row>
    <row r="2588" spans="23:23" x14ac:dyDescent="0.45">
      <c r="W2588" s="320"/>
    </row>
    <row r="2589" spans="23:23" x14ac:dyDescent="0.45">
      <c r="W2589" s="320"/>
    </row>
    <row r="2590" spans="23:23" x14ac:dyDescent="0.45">
      <c r="W2590" s="320"/>
    </row>
    <row r="2591" spans="23:23" x14ac:dyDescent="0.45">
      <c r="W2591" s="320"/>
    </row>
    <row r="2592" spans="23:23" x14ac:dyDescent="0.45">
      <c r="W2592" s="320"/>
    </row>
    <row r="2593" spans="23:23" x14ac:dyDescent="0.45">
      <c r="W2593" s="320"/>
    </row>
    <row r="2594" spans="23:23" x14ac:dyDescent="0.45">
      <c r="W2594" s="320"/>
    </row>
    <row r="2595" spans="23:23" x14ac:dyDescent="0.45">
      <c r="W2595" s="320"/>
    </row>
    <row r="2596" spans="23:23" x14ac:dyDescent="0.45">
      <c r="W2596" s="320"/>
    </row>
    <row r="2597" spans="23:23" x14ac:dyDescent="0.45">
      <c r="W2597" s="320"/>
    </row>
    <row r="2598" spans="23:23" x14ac:dyDescent="0.45">
      <c r="W2598" s="320"/>
    </row>
    <row r="2599" spans="23:23" x14ac:dyDescent="0.45">
      <c r="W2599" s="320"/>
    </row>
    <row r="2600" spans="23:23" x14ac:dyDescent="0.45">
      <c r="W2600" s="320"/>
    </row>
    <row r="2601" spans="23:23" x14ac:dyDescent="0.45">
      <c r="W2601" s="320"/>
    </row>
    <row r="2602" spans="23:23" x14ac:dyDescent="0.45">
      <c r="W2602" s="320"/>
    </row>
    <row r="2603" spans="23:23" x14ac:dyDescent="0.45">
      <c r="W2603" s="320"/>
    </row>
    <row r="2604" spans="23:23" x14ac:dyDescent="0.45">
      <c r="W2604" s="320"/>
    </row>
    <row r="2605" spans="23:23" x14ac:dyDescent="0.45">
      <c r="W2605" s="320"/>
    </row>
    <row r="2606" spans="23:23" x14ac:dyDescent="0.45">
      <c r="W2606" s="320"/>
    </row>
    <row r="2607" spans="23:23" x14ac:dyDescent="0.45">
      <c r="W2607" s="320"/>
    </row>
    <row r="2608" spans="23:23" x14ac:dyDescent="0.45">
      <c r="W2608" s="320"/>
    </row>
    <row r="2609" spans="23:23" x14ac:dyDescent="0.45">
      <c r="W2609" s="320"/>
    </row>
    <row r="2610" spans="23:23" x14ac:dyDescent="0.45">
      <c r="W2610" s="320"/>
    </row>
    <row r="2611" spans="23:23" x14ac:dyDescent="0.45">
      <c r="W2611" s="320"/>
    </row>
    <row r="2612" spans="23:23" x14ac:dyDescent="0.45">
      <c r="W2612" s="320"/>
    </row>
    <row r="2613" spans="23:23" x14ac:dyDescent="0.45">
      <c r="W2613" s="320"/>
    </row>
    <row r="2614" spans="23:23" x14ac:dyDescent="0.45">
      <c r="W2614" s="320"/>
    </row>
    <row r="2615" spans="23:23" x14ac:dyDescent="0.45">
      <c r="W2615" s="320"/>
    </row>
    <row r="2616" spans="23:23" x14ac:dyDescent="0.45">
      <c r="W2616" s="320"/>
    </row>
    <row r="2617" spans="23:23" x14ac:dyDescent="0.45">
      <c r="W2617" s="320"/>
    </row>
    <row r="2618" spans="23:23" x14ac:dyDescent="0.45">
      <c r="W2618" s="320"/>
    </row>
    <row r="2619" spans="23:23" x14ac:dyDescent="0.45">
      <c r="W2619" s="320"/>
    </row>
    <row r="2620" spans="23:23" x14ac:dyDescent="0.45">
      <c r="W2620" s="320"/>
    </row>
    <row r="2621" spans="23:23" x14ac:dyDescent="0.45">
      <c r="W2621" s="320"/>
    </row>
    <row r="2622" spans="23:23" x14ac:dyDescent="0.45">
      <c r="W2622" s="320"/>
    </row>
    <row r="2623" spans="23:23" x14ac:dyDescent="0.45">
      <c r="W2623" s="320"/>
    </row>
    <row r="2624" spans="23:23" x14ac:dyDescent="0.45">
      <c r="W2624" s="320"/>
    </row>
    <row r="2625" spans="23:23" x14ac:dyDescent="0.45">
      <c r="W2625" s="320"/>
    </row>
    <row r="2626" spans="23:23" x14ac:dyDescent="0.45">
      <c r="W2626" s="320"/>
    </row>
    <row r="2627" spans="23:23" x14ac:dyDescent="0.45">
      <c r="W2627" s="320"/>
    </row>
    <row r="2628" spans="23:23" x14ac:dyDescent="0.45">
      <c r="W2628" s="320"/>
    </row>
    <row r="2629" spans="23:23" x14ac:dyDescent="0.45">
      <c r="W2629" s="320"/>
    </row>
    <row r="2630" spans="23:23" x14ac:dyDescent="0.45">
      <c r="W2630" s="320"/>
    </row>
    <row r="2631" spans="23:23" x14ac:dyDescent="0.45">
      <c r="W2631" s="320"/>
    </row>
    <row r="2632" spans="23:23" x14ac:dyDescent="0.45">
      <c r="W2632" s="320"/>
    </row>
    <row r="2633" spans="23:23" x14ac:dyDescent="0.45">
      <c r="W2633" s="320"/>
    </row>
    <row r="2634" spans="23:23" x14ac:dyDescent="0.45">
      <c r="W2634" s="320"/>
    </row>
    <row r="2635" spans="23:23" x14ac:dyDescent="0.45">
      <c r="W2635" s="320"/>
    </row>
    <row r="2636" spans="23:23" x14ac:dyDescent="0.45">
      <c r="W2636" s="320"/>
    </row>
    <row r="2637" spans="23:23" x14ac:dyDescent="0.45">
      <c r="W2637" s="320"/>
    </row>
    <row r="2638" spans="23:23" x14ac:dyDescent="0.45">
      <c r="W2638" s="320"/>
    </row>
    <row r="2639" spans="23:23" x14ac:dyDescent="0.45">
      <c r="W2639" s="320"/>
    </row>
    <row r="2640" spans="23:23" x14ac:dyDescent="0.45">
      <c r="W2640" s="320"/>
    </row>
    <row r="2641" spans="23:23" x14ac:dyDescent="0.45">
      <c r="W2641" s="320"/>
    </row>
    <row r="2642" spans="23:23" x14ac:dyDescent="0.45">
      <c r="W2642" s="320"/>
    </row>
    <row r="2643" spans="23:23" x14ac:dyDescent="0.45">
      <c r="W2643" s="320"/>
    </row>
    <row r="2644" spans="23:23" x14ac:dyDescent="0.45">
      <c r="W2644" s="320"/>
    </row>
    <row r="2645" spans="23:23" x14ac:dyDescent="0.45">
      <c r="W2645" s="320"/>
    </row>
    <row r="2646" spans="23:23" x14ac:dyDescent="0.45">
      <c r="W2646" s="320"/>
    </row>
    <row r="2647" spans="23:23" x14ac:dyDescent="0.45">
      <c r="W2647" s="320"/>
    </row>
    <row r="2648" spans="23:23" x14ac:dyDescent="0.45">
      <c r="W2648" s="320"/>
    </row>
    <row r="2649" spans="23:23" x14ac:dyDescent="0.45">
      <c r="W2649" s="320"/>
    </row>
    <row r="2650" spans="23:23" x14ac:dyDescent="0.45">
      <c r="W2650" s="320"/>
    </row>
    <row r="2651" spans="23:23" x14ac:dyDescent="0.45">
      <c r="W2651" s="320"/>
    </row>
    <row r="2652" spans="23:23" x14ac:dyDescent="0.45">
      <c r="W2652" s="320"/>
    </row>
    <row r="2653" spans="23:23" x14ac:dyDescent="0.45">
      <c r="W2653" s="320"/>
    </row>
    <row r="2654" spans="23:23" x14ac:dyDescent="0.45">
      <c r="W2654" s="320"/>
    </row>
    <row r="2655" spans="23:23" x14ac:dyDescent="0.45">
      <c r="W2655" s="320"/>
    </row>
    <row r="2656" spans="23:23" x14ac:dyDescent="0.45">
      <c r="W2656" s="320"/>
    </row>
    <row r="2657" spans="23:23" x14ac:dyDescent="0.45">
      <c r="W2657" s="320"/>
    </row>
    <row r="2658" spans="23:23" x14ac:dyDescent="0.45">
      <c r="W2658" s="320"/>
    </row>
    <row r="2659" spans="23:23" x14ac:dyDescent="0.45">
      <c r="W2659" s="320"/>
    </row>
    <row r="2660" spans="23:23" x14ac:dyDescent="0.45">
      <c r="W2660" s="320"/>
    </row>
    <row r="2661" spans="23:23" x14ac:dyDescent="0.45">
      <c r="W2661" s="320"/>
    </row>
    <row r="2662" spans="23:23" x14ac:dyDescent="0.45">
      <c r="W2662" s="320"/>
    </row>
    <row r="2663" spans="23:23" x14ac:dyDescent="0.45">
      <c r="W2663" s="320"/>
    </row>
    <row r="2664" spans="23:23" x14ac:dyDescent="0.45">
      <c r="W2664" s="320"/>
    </row>
    <row r="2665" spans="23:23" x14ac:dyDescent="0.45">
      <c r="W2665" s="320"/>
    </row>
    <row r="2666" spans="23:23" x14ac:dyDescent="0.45">
      <c r="W2666" s="320"/>
    </row>
    <row r="2667" spans="23:23" x14ac:dyDescent="0.45">
      <c r="W2667" s="320"/>
    </row>
    <row r="2668" spans="23:23" x14ac:dyDescent="0.45">
      <c r="W2668" s="320"/>
    </row>
    <row r="2669" spans="23:23" x14ac:dyDescent="0.45">
      <c r="W2669" s="320"/>
    </row>
    <row r="2670" spans="23:23" x14ac:dyDescent="0.45">
      <c r="W2670" s="320"/>
    </row>
    <row r="2671" spans="23:23" x14ac:dyDescent="0.45">
      <c r="W2671" s="320"/>
    </row>
    <row r="2672" spans="23:23" x14ac:dyDescent="0.45">
      <c r="W2672" s="320"/>
    </row>
    <row r="2673" spans="23:23" x14ac:dyDescent="0.45">
      <c r="W2673" s="320"/>
    </row>
    <row r="2674" spans="23:23" x14ac:dyDescent="0.45">
      <c r="W2674" s="320"/>
    </row>
    <row r="2675" spans="23:23" x14ac:dyDescent="0.45">
      <c r="W2675" s="320"/>
    </row>
    <row r="2676" spans="23:23" x14ac:dyDescent="0.45">
      <c r="W2676" s="320"/>
    </row>
    <row r="2677" spans="23:23" x14ac:dyDescent="0.45">
      <c r="W2677" s="320"/>
    </row>
    <row r="2678" spans="23:23" x14ac:dyDescent="0.45">
      <c r="W2678" s="320"/>
    </row>
    <row r="2679" spans="23:23" x14ac:dyDescent="0.45">
      <c r="W2679" s="320"/>
    </row>
    <row r="2680" spans="23:23" x14ac:dyDescent="0.45">
      <c r="W2680" s="320"/>
    </row>
    <row r="2681" spans="23:23" x14ac:dyDescent="0.45">
      <c r="W2681" s="320"/>
    </row>
    <row r="2682" spans="23:23" x14ac:dyDescent="0.45">
      <c r="W2682" s="320"/>
    </row>
    <row r="2683" spans="23:23" x14ac:dyDescent="0.45">
      <c r="W2683" s="320"/>
    </row>
    <row r="2684" spans="23:23" x14ac:dyDescent="0.45">
      <c r="W2684" s="320"/>
    </row>
    <row r="2685" spans="23:23" x14ac:dyDescent="0.45">
      <c r="W2685" s="320"/>
    </row>
    <row r="2686" spans="23:23" x14ac:dyDescent="0.45">
      <c r="W2686" s="320"/>
    </row>
    <row r="2687" spans="23:23" x14ac:dyDescent="0.45">
      <c r="W2687" s="320"/>
    </row>
    <row r="2688" spans="23:23" x14ac:dyDescent="0.45">
      <c r="W2688" s="320"/>
    </row>
    <row r="2689" spans="23:23" x14ac:dyDescent="0.45">
      <c r="W2689" s="320"/>
    </row>
    <row r="2690" spans="23:23" x14ac:dyDescent="0.45">
      <c r="W2690" s="320"/>
    </row>
    <row r="2691" spans="23:23" x14ac:dyDescent="0.45">
      <c r="W2691" s="320"/>
    </row>
    <row r="2692" spans="23:23" x14ac:dyDescent="0.45">
      <c r="W2692" s="320"/>
    </row>
    <row r="2693" spans="23:23" x14ac:dyDescent="0.45">
      <c r="W2693" s="320"/>
    </row>
    <row r="2694" spans="23:23" x14ac:dyDescent="0.45">
      <c r="W2694" s="320"/>
    </row>
    <row r="2695" spans="23:23" x14ac:dyDescent="0.45">
      <c r="W2695" s="320"/>
    </row>
    <row r="2696" spans="23:23" x14ac:dyDescent="0.45">
      <c r="W2696" s="320"/>
    </row>
    <row r="2697" spans="23:23" x14ac:dyDescent="0.45">
      <c r="W2697" s="320"/>
    </row>
    <row r="2698" spans="23:23" x14ac:dyDescent="0.45">
      <c r="W2698" s="320"/>
    </row>
    <row r="2699" spans="23:23" x14ac:dyDescent="0.45">
      <c r="W2699" s="320"/>
    </row>
    <row r="2700" spans="23:23" x14ac:dyDescent="0.45">
      <c r="W2700" s="320"/>
    </row>
    <row r="2701" spans="23:23" x14ac:dyDescent="0.45">
      <c r="W2701" s="320"/>
    </row>
    <row r="2702" spans="23:23" x14ac:dyDescent="0.45">
      <c r="W2702" s="320"/>
    </row>
    <row r="2703" spans="23:23" x14ac:dyDescent="0.45">
      <c r="W2703" s="320"/>
    </row>
    <row r="2704" spans="23:23" x14ac:dyDescent="0.45">
      <c r="W2704" s="320"/>
    </row>
    <row r="2705" spans="23:23" x14ac:dyDescent="0.45">
      <c r="W2705" s="320"/>
    </row>
    <row r="2706" spans="23:23" x14ac:dyDescent="0.45">
      <c r="W2706" s="320"/>
    </row>
    <row r="2707" spans="23:23" x14ac:dyDescent="0.45">
      <c r="W2707" s="320"/>
    </row>
    <row r="2708" spans="23:23" x14ac:dyDescent="0.45">
      <c r="W2708" s="320"/>
    </row>
    <row r="2709" spans="23:23" x14ac:dyDescent="0.45">
      <c r="W2709" s="320"/>
    </row>
    <row r="2710" spans="23:23" x14ac:dyDescent="0.45">
      <c r="W2710" s="320"/>
    </row>
    <row r="2711" spans="23:23" x14ac:dyDescent="0.45">
      <c r="W2711" s="320"/>
    </row>
    <row r="2712" spans="23:23" x14ac:dyDescent="0.45">
      <c r="W2712" s="320"/>
    </row>
    <row r="2713" spans="23:23" x14ac:dyDescent="0.45">
      <c r="W2713" s="320"/>
    </row>
    <row r="2714" spans="23:23" x14ac:dyDescent="0.45">
      <c r="W2714" s="320"/>
    </row>
    <row r="2715" spans="23:23" x14ac:dyDescent="0.45">
      <c r="W2715" s="320"/>
    </row>
    <row r="2716" spans="23:23" x14ac:dyDescent="0.45">
      <c r="W2716" s="320"/>
    </row>
    <row r="2717" spans="23:23" x14ac:dyDescent="0.45">
      <c r="W2717" s="320"/>
    </row>
    <row r="2718" spans="23:23" x14ac:dyDescent="0.45">
      <c r="W2718" s="320"/>
    </row>
    <row r="2719" spans="23:23" x14ac:dyDescent="0.45">
      <c r="W2719" s="320"/>
    </row>
    <row r="2720" spans="23:23" x14ac:dyDescent="0.45">
      <c r="W2720" s="320"/>
    </row>
    <row r="2721" spans="23:23" x14ac:dyDescent="0.45">
      <c r="W2721" s="320"/>
    </row>
    <row r="2722" spans="23:23" x14ac:dyDescent="0.45">
      <c r="W2722" s="320"/>
    </row>
    <row r="2723" spans="23:23" x14ac:dyDescent="0.45">
      <c r="W2723" s="320"/>
    </row>
    <row r="2724" spans="23:23" x14ac:dyDescent="0.45">
      <c r="W2724" s="320"/>
    </row>
    <row r="2725" spans="23:23" x14ac:dyDescent="0.45">
      <c r="W2725" s="320"/>
    </row>
    <row r="2726" spans="23:23" x14ac:dyDescent="0.45">
      <c r="W2726" s="320"/>
    </row>
    <row r="2727" spans="23:23" x14ac:dyDescent="0.45">
      <c r="W2727" s="320"/>
    </row>
    <row r="2728" spans="23:23" x14ac:dyDescent="0.45">
      <c r="W2728" s="320"/>
    </row>
    <row r="2729" spans="23:23" x14ac:dyDescent="0.45">
      <c r="W2729" s="320"/>
    </row>
    <row r="2730" spans="23:23" x14ac:dyDescent="0.45">
      <c r="W2730" s="320"/>
    </row>
    <row r="2731" spans="23:23" x14ac:dyDescent="0.45">
      <c r="W2731" s="320"/>
    </row>
    <row r="2732" spans="23:23" x14ac:dyDescent="0.45">
      <c r="W2732" s="320"/>
    </row>
    <row r="2733" spans="23:23" x14ac:dyDescent="0.45">
      <c r="W2733" s="320"/>
    </row>
    <row r="2734" spans="23:23" x14ac:dyDescent="0.45">
      <c r="W2734" s="320"/>
    </row>
    <row r="2735" spans="23:23" x14ac:dyDescent="0.45">
      <c r="W2735" s="320"/>
    </row>
    <row r="2736" spans="23:23" x14ac:dyDescent="0.45">
      <c r="W2736" s="320"/>
    </row>
    <row r="2737" spans="23:23" x14ac:dyDescent="0.45">
      <c r="W2737" s="320"/>
    </row>
    <row r="2738" spans="23:23" x14ac:dyDescent="0.45">
      <c r="W2738" s="320"/>
    </row>
    <row r="2739" spans="23:23" x14ac:dyDescent="0.45">
      <c r="W2739" s="320"/>
    </row>
    <row r="2740" spans="23:23" x14ac:dyDescent="0.45">
      <c r="W2740" s="320"/>
    </row>
    <row r="2741" spans="23:23" x14ac:dyDescent="0.45">
      <c r="W2741" s="320"/>
    </row>
    <row r="2742" spans="23:23" x14ac:dyDescent="0.45">
      <c r="W2742" s="320"/>
    </row>
    <row r="2743" spans="23:23" x14ac:dyDescent="0.45">
      <c r="W2743" s="320"/>
    </row>
    <row r="2744" spans="23:23" x14ac:dyDescent="0.45">
      <c r="W2744" s="320"/>
    </row>
    <row r="2745" spans="23:23" x14ac:dyDescent="0.45">
      <c r="W2745" s="320"/>
    </row>
    <row r="2746" spans="23:23" x14ac:dyDescent="0.45">
      <c r="W2746" s="320"/>
    </row>
    <row r="2747" spans="23:23" x14ac:dyDescent="0.45">
      <c r="W2747" s="320"/>
    </row>
    <row r="2748" spans="23:23" x14ac:dyDescent="0.45">
      <c r="W2748" s="320"/>
    </row>
    <row r="2749" spans="23:23" x14ac:dyDescent="0.45">
      <c r="W2749" s="320"/>
    </row>
    <row r="2750" spans="23:23" x14ac:dyDescent="0.45">
      <c r="W2750" s="320"/>
    </row>
    <row r="2751" spans="23:23" x14ac:dyDescent="0.45">
      <c r="W2751" s="320"/>
    </row>
    <row r="2752" spans="23:23" x14ac:dyDescent="0.45">
      <c r="W2752" s="320"/>
    </row>
    <row r="2753" spans="23:23" x14ac:dyDescent="0.45">
      <c r="W2753" s="320"/>
    </row>
    <row r="2754" spans="23:23" x14ac:dyDescent="0.45">
      <c r="W2754" s="320"/>
    </row>
    <row r="2755" spans="23:23" x14ac:dyDescent="0.45">
      <c r="W2755" s="320"/>
    </row>
    <row r="2756" spans="23:23" x14ac:dyDescent="0.45">
      <c r="W2756" s="320"/>
    </row>
    <row r="2757" spans="23:23" x14ac:dyDescent="0.45">
      <c r="W2757" s="320"/>
    </row>
    <row r="2758" spans="23:23" x14ac:dyDescent="0.45">
      <c r="W2758" s="320"/>
    </row>
    <row r="2759" spans="23:23" x14ac:dyDescent="0.45">
      <c r="W2759" s="320"/>
    </row>
    <row r="2760" spans="23:23" x14ac:dyDescent="0.45">
      <c r="W2760" s="320"/>
    </row>
    <row r="2761" spans="23:23" x14ac:dyDescent="0.45">
      <c r="W2761" s="320"/>
    </row>
    <row r="2762" spans="23:23" x14ac:dyDescent="0.45">
      <c r="W2762" s="320"/>
    </row>
    <row r="2763" spans="23:23" x14ac:dyDescent="0.45">
      <c r="W2763" s="320"/>
    </row>
    <row r="2764" spans="23:23" x14ac:dyDescent="0.45">
      <c r="W2764" s="320"/>
    </row>
    <row r="2765" spans="23:23" x14ac:dyDescent="0.45">
      <c r="W2765" s="320"/>
    </row>
    <row r="2766" spans="23:23" x14ac:dyDescent="0.45">
      <c r="W2766" s="320"/>
    </row>
    <row r="2767" spans="23:23" x14ac:dyDescent="0.45">
      <c r="W2767" s="320"/>
    </row>
    <row r="2768" spans="23:23" x14ac:dyDescent="0.45">
      <c r="W2768" s="320"/>
    </row>
    <row r="2769" spans="23:23" x14ac:dyDescent="0.45">
      <c r="W2769" s="320"/>
    </row>
    <row r="2770" spans="23:23" x14ac:dyDescent="0.45">
      <c r="W2770" s="320"/>
    </row>
    <row r="2771" spans="23:23" x14ac:dyDescent="0.45">
      <c r="W2771" s="320"/>
    </row>
    <row r="2772" spans="23:23" x14ac:dyDescent="0.45">
      <c r="W2772" s="320"/>
    </row>
    <row r="2773" spans="23:23" x14ac:dyDescent="0.45">
      <c r="W2773" s="320"/>
    </row>
    <row r="2774" spans="23:23" x14ac:dyDescent="0.45">
      <c r="W2774" s="320"/>
    </row>
    <row r="2775" spans="23:23" x14ac:dyDescent="0.45">
      <c r="W2775" s="320"/>
    </row>
    <row r="2776" spans="23:23" x14ac:dyDescent="0.45">
      <c r="W2776" s="320"/>
    </row>
    <row r="2777" spans="23:23" x14ac:dyDescent="0.45">
      <c r="W2777" s="320"/>
    </row>
    <row r="2778" spans="23:23" x14ac:dyDescent="0.45">
      <c r="W2778" s="320"/>
    </row>
    <row r="2779" spans="23:23" x14ac:dyDescent="0.45">
      <c r="W2779" s="320"/>
    </row>
    <row r="2780" spans="23:23" x14ac:dyDescent="0.45">
      <c r="W2780" s="320"/>
    </row>
    <row r="2781" spans="23:23" x14ac:dyDescent="0.45">
      <c r="W2781" s="320"/>
    </row>
    <row r="2782" spans="23:23" x14ac:dyDescent="0.45">
      <c r="W2782" s="320"/>
    </row>
    <row r="2783" spans="23:23" x14ac:dyDescent="0.45">
      <c r="W2783" s="320"/>
    </row>
    <row r="2784" spans="23:23" x14ac:dyDescent="0.45">
      <c r="W2784" s="320"/>
    </row>
    <row r="2785" spans="23:23" x14ac:dyDescent="0.45">
      <c r="W2785" s="320"/>
    </row>
    <row r="2786" spans="23:23" x14ac:dyDescent="0.45">
      <c r="W2786" s="320"/>
    </row>
    <row r="2787" spans="23:23" x14ac:dyDescent="0.45">
      <c r="W2787" s="320"/>
    </row>
    <row r="2788" spans="23:23" x14ac:dyDescent="0.45">
      <c r="W2788" s="320"/>
    </row>
    <row r="2789" spans="23:23" x14ac:dyDescent="0.45">
      <c r="W2789" s="320"/>
    </row>
    <row r="2790" spans="23:23" x14ac:dyDescent="0.45">
      <c r="W2790" s="320"/>
    </row>
    <row r="2791" spans="23:23" x14ac:dyDescent="0.45">
      <c r="W2791" s="320"/>
    </row>
    <row r="2792" spans="23:23" x14ac:dyDescent="0.45">
      <c r="W2792" s="320"/>
    </row>
    <row r="2793" spans="23:23" x14ac:dyDescent="0.45">
      <c r="W2793" s="320"/>
    </row>
    <row r="2794" spans="23:23" x14ac:dyDescent="0.45">
      <c r="W2794" s="320"/>
    </row>
    <row r="2795" spans="23:23" x14ac:dyDescent="0.45">
      <c r="W2795" s="320"/>
    </row>
    <row r="2796" spans="23:23" x14ac:dyDescent="0.45">
      <c r="W2796" s="320"/>
    </row>
    <row r="2797" spans="23:23" x14ac:dyDescent="0.45">
      <c r="W2797" s="320"/>
    </row>
    <row r="2798" spans="23:23" x14ac:dyDescent="0.45">
      <c r="W2798" s="320"/>
    </row>
    <row r="2799" spans="23:23" x14ac:dyDescent="0.45">
      <c r="W2799" s="320"/>
    </row>
    <row r="2800" spans="23:23" x14ac:dyDescent="0.45">
      <c r="W2800" s="320"/>
    </row>
    <row r="2801" spans="23:23" x14ac:dyDescent="0.45">
      <c r="W2801" s="320"/>
    </row>
    <row r="2802" spans="23:23" x14ac:dyDescent="0.45">
      <c r="W2802" s="320"/>
    </row>
    <row r="2803" spans="23:23" x14ac:dyDescent="0.45">
      <c r="W2803" s="320"/>
    </row>
    <row r="2804" spans="23:23" x14ac:dyDescent="0.45">
      <c r="W2804" s="320"/>
    </row>
    <row r="2805" spans="23:23" x14ac:dyDescent="0.45">
      <c r="W2805" s="320"/>
    </row>
    <row r="2806" spans="23:23" x14ac:dyDescent="0.45">
      <c r="W2806" s="320"/>
    </row>
    <row r="2807" spans="23:23" x14ac:dyDescent="0.45">
      <c r="W2807" s="320"/>
    </row>
    <row r="2808" spans="23:23" x14ac:dyDescent="0.45">
      <c r="W2808" s="320"/>
    </row>
    <row r="2809" spans="23:23" x14ac:dyDescent="0.45">
      <c r="W2809" s="320"/>
    </row>
    <row r="2810" spans="23:23" x14ac:dyDescent="0.45">
      <c r="W2810" s="320"/>
    </row>
    <row r="2811" spans="23:23" x14ac:dyDescent="0.45">
      <c r="W2811" s="320"/>
    </row>
    <row r="2812" spans="23:23" x14ac:dyDescent="0.45">
      <c r="W2812" s="320"/>
    </row>
    <row r="2813" spans="23:23" x14ac:dyDescent="0.45">
      <c r="W2813" s="320"/>
    </row>
    <row r="2814" spans="23:23" x14ac:dyDescent="0.45">
      <c r="W2814" s="320"/>
    </row>
    <row r="2815" spans="23:23" x14ac:dyDescent="0.45">
      <c r="W2815" s="320"/>
    </row>
    <row r="2816" spans="23:23" x14ac:dyDescent="0.45">
      <c r="W2816" s="320"/>
    </row>
    <row r="2817" spans="23:23" x14ac:dyDescent="0.45">
      <c r="W2817" s="320"/>
    </row>
    <row r="2818" spans="23:23" x14ac:dyDescent="0.45">
      <c r="W2818" s="320"/>
    </row>
    <row r="2819" spans="23:23" x14ac:dyDescent="0.45">
      <c r="W2819" s="320"/>
    </row>
    <row r="2820" spans="23:23" x14ac:dyDescent="0.45">
      <c r="W2820" s="320"/>
    </row>
    <row r="2821" spans="23:23" x14ac:dyDescent="0.45">
      <c r="W2821" s="320"/>
    </row>
    <row r="2822" spans="23:23" x14ac:dyDescent="0.45">
      <c r="W2822" s="320"/>
    </row>
    <row r="2823" spans="23:23" x14ac:dyDescent="0.45">
      <c r="W2823" s="320"/>
    </row>
    <row r="2824" spans="23:23" x14ac:dyDescent="0.45">
      <c r="W2824" s="320"/>
    </row>
    <row r="2825" spans="23:23" x14ac:dyDescent="0.45">
      <c r="W2825" s="320"/>
    </row>
    <row r="2826" spans="23:23" x14ac:dyDescent="0.45">
      <c r="W2826" s="320"/>
    </row>
    <row r="2827" spans="23:23" x14ac:dyDescent="0.45">
      <c r="W2827" s="320"/>
    </row>
    <row r="2828" spans="23:23" x14ac:dyDescent="0.45">
      <c r="W2828" s="320"/>
    </row>
    <row r="2829" spans="23:23" x14ac:dyDescent="0.45">
      <c r="W2829" s="320"/>
    </row>
    <row r="2830" spans="23:23" x14ac:dyDescent="0.45">
      <c r="W2830" s="320"/>
    </row>
    <row r="2831" spans="23:23" x14ac:dyDescent="0.45">
      <c r="W2831" s="320"/>
    </row>
    <row r="2832" spans="23:23" x14ac:dyDescent="0.45">
      <c r="W2832" s="320"/>
    </row>
    <row r="2833" spans="23:23" x14ac:dyDescent="0.45">
      <c r="W2833" s="320"/>
    </row>
    <row r="2834" spans="23:23" x14ac:dyDescent="0.45">
      <c r="W2834" s="320"/>
    </row>
    <row r="2835" spans="23:23" x14ac:dyDescent="0.45">
      <c r="W2835" s="320"/>
    </row>
    <row r="2836" spans="23:23" x14ac:dyDescent="0.45">
      <c r="W2836" s="320"/>
    </row>
    <row r="2837" spans="23:23" x14ac:dyDescent="0.45">
      <c r="W2837" s="320"/>
    </row>
    <row r="2838" spans="23:23" x14ac:dyDescent="0.45">
      <c r="W2838" s="320"/>
    </row>
    <row r="2839" spans="23:23" x14ac:dyDescent="0.45">
      <c r="W2839" s="320"/>
    </row>
    <row r="2840" spans="23:23" x14ac:dyDescent="0.45">
      <c r="W2840" s="320"/>
    </row>
    <row r="2841" spans="23:23" x14ac:dyDescent="0.45">
      <c r="W2841" s="320"/>
    </row>
    <row r="2842" spans="23:23" x14ac:dyDescent="0.45">
      <c r="W2842" s="320"/>
    </row>
    <row r="2843" spans="23:23" x14ac:dyDescent="0.45">
      <c r="W2843" s="320"/>
    </row>
    <row r="2844" spans="23:23" x14ac:dyDescent="0.45">
      <c r="W2844" s="320"/>
    </row>
    <row r="2845" spans="23:23" x14ac:dyDescent="0.45">
      <c r="W2845" s="320"/>
    </row>
    <row r="2846" spans="23:23" x14ac:dyDescent="0.45">
      <c r="W2846" s="320"/>
    </row>
    <row r="2847" spans="23:23" x14ac:dyDescent="0.45">
      <c r="W2847" s="320"/>
    </row>
    <row r="2848" spans="23:23" x14ac:dyDescent="0.45">
      <c r="W2848" s="320"/>
    </row>
    <row r="2849" spans="23:23" x14ac:dyDescent="0.45">
      <c r="W2849" s="320"/>
    </row>
    <row r="2850" spans="23:23" x14ac:dyDescent="0.45">
      <c r="W2850" s="320"/>
    </row>
    <row r="2851" spans="23:23" x14ac:dyDescent="0.45">
      <c r="W2851" s="320"/>
    </row>
    <row r="2852" spans="23:23" x14ac:dyDescent="0.45">
      <c r="W2852" s="320"/>
    </row>
    <row r="2853" spans="23:23" x14ac:dyDescent="0.45">
      <c r="W2853" s="320"/>
    </row>
    <row r="2854" spans="23:23" x14ac:dyDescent="0.45">
      <c r="W2854" s="320"/>
    </row>
    <row r="2855" spans="23:23" x14ac:dyDescent="0.45">
      <c r="W2855" s="320"/>
    </row>
    <row r="2856" spans="23:23" x14ac:dyDescent="0.45">
      <c r="W2856" s="320"/>
    </row>
    <row r="2857" spans="23:23" x14ac:dyDescent="0.45">
      <c r="W2857" s="320"/>
    </row>
    <row r="2858" spans="23:23" x14ac:dyDescent="0.45">
      <c r="W2858" s="320"/>
    </row>
    <row r="2859" spans="23:23" x14ac:dyDescent="0.45">
      <c r="W2859" s="320"/>
    </row>
    <row r="2860" spans="23:23" x14ac:dyDescent="0.45">
      <c r="W2860" s="320"/>
    </row>
    <row r="2861" spans="23:23" x14ac:dyDescent="0.45">
      <c r="W2861" s="320"/>
    </row>
    <row r="2862" spans="23:23" x14ac:dyDescent="0.45">
      <c r="W2862" s="320"/>
    </row>
    <row r="2863" spans="23:23" x14ac:dyDescent="0.45">
      <c r="W2863" s="320"/>
    </row>
    <row r="2864" spans="23:23" x14ac:dyDescent="0.45">
      <c r="W2864" s="320"/>
    </row>
    <row r="2865" spans="23:23" x14ac:dyDescent="0.45">
      <c r="W2865" s="320"/>
    </row>
    <row r="2866" spans="23:23" x14ac:dyDescent="0.45">
      <c r="W2866" s="320"/>
    </row>
    <row r="2867" spans="23:23" x14ac:dyDescent="0.45">
      <c r="W2867" s="320"/>
    </row>
    <row r="2868" spans="23:23" x14ac:dyDescent="0.45">
      <c r="W2868" s="320"/>
    </row>
    <row r="2869" spans="23:23" x14ac:dyDescent="0.45">
      <c r="W2869" s="320"/>
    </row>
    <row r="2870" spans="23:23" x14ac:dyDescent="0.45">
      <c r="W2870" s="320"/>
    </row>
    <row r="2871" spans="23:23" x14ac:dyDescent="0.45">
      <c r="W2871" s="320"/>
    </row>
    <row r="2872" spans="23:23" x14ac:dyDescent="0.45">
      <c r="W2872" s="320"/>
    </row>
    <row r="2873" spans="23:23" x14ac:dyDescent="0.45">
      <c r="W2873" s="320"/>
    </row>
    <row r="2874" spans="23:23" x14ac:dyDescent="0.45">
      <c r="W2874" s="320"/>
    </row>
    <row r="2875" spans="23:23" x14ac:dyDescent="0.45">
      <c r="W2875" s="320"/>
    </row>
    <row r="2876" spans="23:23" x14ac:dyDescent="0.45">
      <c r="W2876" s="320"/>
    </row>
    <row r="2877" spans="23:23" x14ac:dyDescent="0.45">
      <c r="W2877" s="320"/>
    </row>
    <row r="2878" spans="23:23" x14ac:dyDescent="0.45">
      <c r="W2878" s="320"/>
    </row>
    <row r="2879" spans="23:23" x14ac:dyDescent="0.45">
      <c r="W2879" s="320"/>
    </row>
    <row r="2880" spans="23:23" x14ac:dyDescent="0.45">
      <c r="W2880" s="320"/>
    </row>
    <row r="2881" spans="23:23" x14ac:dyDescent="0.45">
      <c r="W2881" s="320"/>
    </row>
    <row r="2882" spans="23:23" x14ac:dyDescent="0.45">
      <c r="W2882" s="320"/>
    </row>
    <row r="2883" spans="23:23" x14ac:dyDescent="0.45">
      <c r="W2883" s="320"/>
    </row>
    <row r="2884" spans="23:23" x14ac:dyDescent="0.45">
      <c r="W2884" s="320"/>
    </row>
    <row r="2885" spans="23:23" x14ac:dyDescent="0.45">
      <c r="W2885" s="320"/>
    </row>
    <row r="2886" spans="23:23" x14ac:dyDescent="0.45">
      <c r="W2886" s="320"/>
    </row>
    <row r="2887" spans="23:23" x14ac:dyDescent="0.45">
      <c r="W2887" s="320"/>
    </row>
    <row r="2888" spans="23:23" x14ac:dyDescent="0.45">
      <c r="W2888" s="320"/>
    </row>
    <row r="2889" spans="23:23" x14ac:dyDescent="0.45">
      <c r="W2889" s="320"/>
    </row>
    <row r="2890" spans="23:23" x14ac:dyDescent="0.45">
      <c r="W2890" s="320"/>
    </row>
    <row r="2891" spans="23:23" x14ac:dyDescent="0.45">
      <c r="W2891" s="320"/>
    </row>
    <row r="2892" spans="23:23" x14ac:dyDescent="0.45">
      <c r="W2892" s="320"/>
    </row>
    <row r="2893" spans="23:23" x14ac:dyDescent="0.45">
      <c r="W2893" s="320"/>
    </row>
    <row r="2894" spans="23:23" x14ac:dyDescent="0.45">
      <c r="W2894" s="320"/>
    </row>
    <row r="2895" spans="23:23" x14ac:dyDescent="0.45">
      <c r="W2895" s="320"/>
    </row>
    <row r="2896" spans="23:23" x14ac:dyDescent="0.45">
      <c r="W2896" s="320"/>
    </row>
    <row r="2897" spans="23:23" x14ac:dyDescent="0.45">
      <c r="W2897" s="320"/>
    </row>
    <row r="2898" spans="23:23" x14ac:dyDescent="0.45">
      <c r="W2898" s="320"/>
    </row>
    <row r="2899" spans="23:23" x14ac:dyDescent="0.45">
      <c r="W2899" s="320"/>
    </row>
    <row r="2900" spans="23:23" x14ac:dyDescent="0.45">
      <c r="W2900" s="320"/>
    </row>
    <row r="2901" spans="23:23" x14ac:dyDescent="0.45">
      <c r="W2901" s="320"/>
    </row>
    <row r="2902" spans="23:23" x14ac:dyDescent="0.45">
      <c r="W2902" s="320"/>
    </row>
    <row r="2903" spans="23:23" x14ac:dyDescent="0.45">
      <c r="W2903" s="320"/>
    </row>
    <row r="2904" spans="23:23" x14ac:dyDescent="0.45">
      <c r="W2904" s="320"/>
    </row>
    <row r="2905" spans="23:23" x14ac:dyDescent="0.45">
      <c r="W2905" s="320"/>
    </row>
    <row r="2906" spans="23:23" x14ac:dyDescent="0.45">
      <c r="W2906" s="320"/>
    </row>
    <row r="2907" spans="23:23" x14ac:dyDescent="0.45">
      <c r="W2907" s="320"/>
    </row>
    <row r="2908" spans="23:23" x14ac:dyDescent="0.45">
      <c r="W2908" s="320"/>
    </row>
    <row r="2909" spans="23:23" x14ac:dyDescent="0.45">
      <c r="W2909" s="320"/>
    </row>
    <row r="2910" spans="23:23" x14ac:dyDescent="0.45">
      <c r="W2910" s="320"/>
    </row>
    <row r="2911" spans="23:23" x14ac:dyDescent="0.45">
      <c r="W2911" s="320"/>
    </row>
    <row r="2912" spans="23:23" x14ac:dyDescent="0.45">
      <c r="W2912" s="320"/>
    </row>
    <row r="2913" spans="23:23" x14ac:dyDescent="0.45">
      <c r="W2913" s="320"/>
    </row>
    <row r="2914" spans="23:23" x14ac:dyDescent="0.45">
      <c r="W2914" s="320"/>
    </row>
    <row r="2915" spans="23:23" x14ac:dyDescent="0.45">
      <c r="W2915" s="320"/>
    </row>
    <row r="2916" spans="23:23" x14ac:dyDescent="0.45">
      <c r="W2916" s="320"/>
    </row>
    <row r="2917" spans="23:23" x14ac:dyDescent="0.45">
      <c r="W2917" s="320"/>
    </row>
    <row r="2918" spans="23:23" x14ac:dyDescent="0.45">
      <c r="W2918" s="320"/>
    </row>
    <row r="2919" spans="23:23" x14ac:dyDescent="0.45">
      <c r="W2919" s="320"/>
    </row>
    <row r="2920" spans="23:23" x14ac:dyDescent="0.45">
      <c r="W2920" s="320"/>
    </row>
    <row r="2921" spans="23:23" x14ac:dyDescent="0.45">
      <c r="W2921" s="320"/>
    </row>
    <row r="2922" spans="23:23" x14ac:dyDescent="0.45">
      <c r="W2922" s="320"/>
    </row>
    <row r="2923" spans="23:23" x14ac:dyDescent="0.45">
      <c r="W2923" s="320"/>
    </row>
    <row r="2924" spans="23:23" x14ac:dyDescent="0.45">
      <c r="W2924" s="320"/>
    </row>
    <row r="2925" spans="23:23" x14ac:dyDescent="0.45">
      <c r="W2925" s="320"/>
    </row>
    <row r="2926" spans="23:23" x14ac:dyDescent="0.45">
      <c r="W2926" s="320"/>
    </row>
    <row r="2927" spans="23:23" x14ac:dyDescent="0.45">
      <c r="W2927" s="320"/>
    </row>
    <row r="2928" spans="23:23" x14ac:dyDescent="0.45">
      <c r="W2928" s="320"/>
    </row>
    <row r="2929" spans="23:23" x14ac:dyDescent="0.45">
      <c r="W2929" s="320"/>
    </row>
    <row r="2930" spans="23:23" x14ac:dyDescent="0.45">
      <c r="W2930" s="320"/>
    </row>
    <row r="2931" spans="23:23" x14ac:dyDescent="0.45">
      <c r="W2931" s="320"/>
    </row>
    <row r="2932" spans="23:23" x14ac:dyDescent="0.45">
      <c r="W2932" s="320"/>
    </row>
    <row r="2933" spans="23:23" x14ac:dyDescent="0.45">
      <c r="W2933" s="320"/>
    </row>
    <row r="2934" spans="23:23" x14ac:dyDescent="0.45">
      <c r="W2934" s="320"/>
    </row>
    <row r="2935" spans="23:23" x14ac:dyDescent="0.45">
      <c r="W2935" s="320"/>
    </row>
    <row r="2936" spans="23:23" x14ac:dyDescent="0.45">
      <c r="W2936" s="320"/>
    </row>
    <row r="2937" spans="23:23" x14ac:dyDescent="0.45">
      <c r="W2937" s="320"/>
    </row>
    <row r="2938" spans="23:23" x14ac:dyDescent="0.45">
      <c r="W2938" s="320"/>
    </row>
    <row r="2939" spans="23:23" x14ac:dyDescent="0.45">
      <c r="W2939" s="320"/>
    </row>
    <row r="2940" spans="23:23" x14ac:dyDescent="0.45">
      <c r="W2940" s="320"/>
    </row>
    <row r="2941" spans="23:23" x14ac:dyDescent="0.45">
      <c r="W2941" s="320"/>
    </row>
    <row r="2942" spans="23:23" x14ac:dyDescent="0.45">
      <c r="W2942" s="320"/>
    </row>
    <row r="2943" spans="23:23" x14ac:dyDescent="0.45">
      <c r="W2943" s="320"/>
    </row>
    <row r="2944" spans="23:23" x14ac:dyDescent="0.45">
      <c r="W2944" s="320"/>
    </row>
    <row r="2945" spans="23:23" x14ac:dyDescent="0.45">
      <c r="W2945" s="320"/>
    </row>
    <row r="2946" spans="23:23" x14ac:dyDescent="0.45">
      <c r="W2946" s="320"/>
    </row>
    <row r="2947" spans="23:23" x14ac:dyDescent="0.45">
      <c r="W2947" s="320"/>
    </row>
    <row r="2948" spans="23:23" x14ac:dyDescent="0.45">
      <c r="W2948" s="320"/>
    </row>
    <row r="2949" spans="23:23" x14ac:dyDescent="0.45">
      <c r="W2949" s="320"/>
    </row>
    <row r="2950" spans="23:23" x14ac:dyDescent="0.45">
      <c r="W2950" s="320"/>
    </row>
    <row r="2951" spans="23:23" x14ac:dyDescent="0.45">
      <c r="W2951" s="320"/>
    </row>
    <row r="2952" spans="23:23" x14ac:dyDescent="0.45">
      <c r="W2952" s="320"/>
    </row>
    <row r="2953" spans="23:23" x14ac:dyDescent="0.45">
      <c r="W2953" s="320"/>
    </row>
    <row r="2954" spans="23:23" x14ac:dyDescent="0.45">
      <c r="W2954" s="320"/>
    </row>
    <row r="2955" spans="23:23" x14ac:dyDescent="0.45">
      <c r="W2955" s="320"/>
    </row>
    <row r="2956" spans="23:23" x14ac:dyDescent="0.45">
      <c r="W2956" s="320"/>
    </row>
    <row r="2957" spans="23:23" x14ac:dyDescent="0.45">
      <c r="W2957" s="320"/>
    </row>
    <row r="2958" spans="23:23" x14ac:dyDescent="0.45">
      <c r="W2958" s="320"/>
    </row>
    <row r="2959" spans="23:23" x14ac:dyDescent="0.45">
      <c r="W2959" s="320"/>
    </row>
    <row r="2960" spans="23:23" x14ac:dyDescent="0.45">
      <c r="W2960" s="320"/>
    </row>
    <row r="2961" spans="23:23" x14ac:dyDescent="0.45">
      <c r="W2961" s="320"/>
    </row>
    <row r="2962" spans="23:23" x14ac:dyDescent="0.45">
      <c r="W2962" s="320"/>
    </row>
    <row r="2963" spans="23:23" x14ac:dyDescent="0.45">
      <c r="W2963" s="320"/>
    </row>
    <row r="2964" spans="23:23" x14ac:dyDescent="0.45">
      <c r="W2964" s="320"/>
    </row>
    <row r="2965" spans="23:23" x14ac:dyDescent="0.45">
      <c r="W2965" s="320"/>
    </row>
    <row r="2966" spans="23:23" x14ac:dyDescent="0.45">
      <c r="W2966" s="320"/>
    </row>
    <row r="2967" spans="23:23" x14ac:dyDescent="0.45">
      <c r="W2967" s="320"/>
    </row>
    <row r="2968" spans="23:23" x14ac:dyDescent="0.45">
      <c r="W2968" s="320"/>
    </row>
    <row r="2969" spans="23:23" x14ac:dyDescent="0.45">
      <c r="W2969" s="320"/>
    </row>
    <row r="2970" spans="23:23" x14ac:dyDescent="0.45">
      <c r="W2970" s="320"/>
    </row>
    <row r="2971" spans="23:23" x14ac:dyDescent="0.45">
      <c r="W2971" s="320"/>
    </row>
    <row r="2972" spans="23:23" x14ac:dyDescent="0.45">
      <c r="W2972" s="320"/>
    </row>
    <row r="2973" spans="23:23" x14ac:dyDescent="0.45">
      <c r="W2973" s="320"/>
    </row>
    <row r="2974" spans="23:23" x14ac:dyDescent="0.45">
      <c r="W2974" s="320"/>
    </row>
    <row r="2975" spans="23:23" x14ac:dyDescent="0.45">
      <c r="W2975" s="320"/>
    </row>
    <row r="2976" spans="23:23" x14ac:dyDescent="0.45">
      <c r="W2976" s="320"/>
    </row>
    <row r="2977" spans="23:23" x14ac:dyDescent="0.45">
      <c r="W2977" s="320"/>
    </row>
    <row r="2978" spans="23:23" x14ac:dyDescent="0.45">
      <c r="W2978" s="320"/>
    </row>
    <row r="2979" spans="23:23" x14ac:dyDescent="0.45">
      <c r="W2979" s="320"/>
    </row>
    <row r="2980" spans="23:23" x14ac:dyDescent="0.45">
      <c r="W2980" s="320"/>
    </row>
    <row r="2981" spans="23:23" x14ac:dyDescent="0.45">
      <c r="W2981" s="320"/>
    </row>
    <row r="2982" spans="23:23" x14ac:dyDescent="0.45">
      <c r="W2982" s="320"/>
    </row>
    <row r="2983" spans="23:23" x14ac:dyDescent="0.45">
      <c r="W2983" s="320"/>
    </row>
    <row r="2984" spans="23:23" x14ac:dyDescent="0.45">
      <c r="W2984" s="320"/>
    </row>
    <row r="2985" spans="23:23" x14ac:dyDescent="0.45">
      <c r="W2985" s="320"/>
    </row>
    <row r="2986" spans="23:23" x14ac:dyDescent="0.45">
      <c r="W2986" s="320"/>
    </row>
    <row r="2987" spans="23:23" x14ac:dyDescent="0.45">
      <c r="W2987" s="320"/>
    </row>
    <row r="2988" spans="23:23" x14ac:dyDescent="0.45">
      <c r="W2988" s="320"/>
    </row>
    <row r="2989" spans="23:23" x14ac:dyDescent="0.45">
      <c r="W2989" s="320"/>
    </row>
    <row r="2990" spans="23:23" x14ac:dyDescent="0.45">
      <c r="W2990" s="320"/>
    </row>
    <row r="2991" spans="23:23" x14ac:dyDescent="0.45">
      <c r="W2991" s="320"/>
    </row>
    <row r="2992" spans="23:23" x14ac:dyDescent="0.45">
      <c r="W2992" s="320"/>
    </row>
    <row r="2993" spans="23:23" x14ac:dyDescent="0.45">
      <c r="W2993" s="320"/>
    </row>
    <row r="2994" spans="23:23" x14ac:dyDescent="0.45">
      <c r="W2994" s="320"/>
    </row>
    <row r="2995" spans="23:23" x14ac:dyDescent="0.45">
      <c r="W2995" s="320"/>
    </row>
    <row r="2996" spans="23:23" x14ac:dyDescent="0.45">
      <c r="W2996" s="320"/>
    </row>
    <row r="2997" spans="23:23" x14ac:dyDescent="0.45">
      <c r="W2997" s="320"/>
    </row>
    <row r="2998" spans="23:23" x14ac:dyDescent="0.45">
      <c r="W2998" s="320"/>
    </row>
    <row r="2999" spans="23:23" x14ac:dyDescent="0.45">
      <c r="W2999" s="320"/>
    </row>
    <row r="3000" spans="23:23" x14ac:dyDescent="0.45">
      <c r="W3000" s="320"/>
    </row>
    <row r="3001" spans="23:23" x14ac:dyDescent="0.45">
      <c r="W3001" s="320"/>
    </row>
    <row r="3002" spans="23:23" x14ac:dyDescent="0.45">
      <c r="W3002" s="320"/>
    </row>
    <row r="3003" spans="23:23" x14ac:dyDescent="0.45">
      <c r="W3003" s="320"/>
    </row>
    <row r="3004" spans="23:23" x14ac:dyDescent="0.45">
      <c r="W3004" s="320"/>
    </row>
    <row r="3005" spans="23:23" x14ac:dyDescent="0.45">
      <c r="W3005" s="320"/>
    </row>
    <row r="3006" spans="23:23" x14ac:dyDescent="0.45">
      <c r="W3006" s="320"/>
    </row>
    <row r="3007" spans="23:23" x14ac:dyDescent="0.45">
      <c r="W3007" s="320"/>
    </row>
    <row r="3008" spans="23:23" x14ac:dyDescent="0.45">
      <c r="W3008" s="320"/>
    </row>
    <row r="3009" spans="23:23" x14ac:dyDescent="0.45">
      <c r="W3009" s="320"/>
    </row>
    <row r="3010" spans="23:23" x14ac:dyDescent="0.45">
      <c r="W3010" s="320"/>
    </row>
    <row r="3011" spans="23:23" x14ac:dyDescent="0.45">
      <c r="W3011" s="320"/>
    </row>
    <row r="3012" spans="23:23" x14ac:dyDescent="0.45">
      <c r="W3012" s="320"/>
    </row>
    <row r="3013" spans="23:23" x14ac:dyDescent="0.45">
      <c r="W3013" s="320"/>
    </row>
    <row r="3014" spans="23:23" x14ac:dyDescent="0.45">
      <c r="W3014" s="320"/>
    </row>
    <row r="3015" spans="23:23" x14ac:dyDescent="0.45">
      <c r="W3015" s="320"/>
    </row>
    <row r="3016" spans="23:23" x14ac:dyDescent="0.45">
      <c r="W3016" s="320"/>
    </row>
    <row r="3017" spans="23:23" x14ac:dyDescent="0.45">
      <c r="W3017" s="320"/>
    </row>
    <row r="3018" spans="23:23" x14ac:dyDescent="0.45">
      <c r="W3018" s="320"/>
    </row>
    <row r="3019" spans="23:23" x14ac:dyDescent="0.45">
      <c r="W3019" s="320"/>
    </row>
    <row r="3020" spans="23:23" x14ac:dyDescent="0.45">
      <c r="W3020" s="320"/>
    </row>
    <row r="3021" spans="23:23" x14ac:dyDescent="0.45">
      <c r="W3021" s="320"/>
    </row>
    <row r="3022" spans="23:23" x14ac:dyDescent="0.45">
      <c r="W3022" s="320"/>
    </row>
    <row r="3023" spans="23:23" x14ac:dyDescent="0.45">
      <c r="W3023" s="320"/>
    </row>
    <row r="3024" spans="23:23" x14ac:dyDescent="0.45">
      <c r="W3024" s="320"/>
    </row>
    <row r="3025" spans="23:23" x14ac:dyDescent="0.45">
      <c r="W3025" s="320"/>
    </row>
    <row r="3026" spans="23:23" x14ac:dyDescent="0.45">
      <c r="W3026" s="320"/>
    </row>
    <row r="3027" spans="23:23" x14ac:dyDescent="0.45">
      <c r="W3027" s="320"/>
    </row>
    <row r="3028" spans="23:23" x14ac:dyDescent="0.45">
      <c r="W3028" s="320"/>
    </row>
    <row r="3029" spans="23:23" x14ac:dyDescent="0.45">
      <c r="W3029" s="320"/>
    </row>
    <row r="3030" spans="23:23" x14ac:dyDescent="0.45">
      <c r="W3030" s="320"/>
    </row>
    <row r="3031" spans="23:23" x14ac:dyDescent="0.45">
      <c r="W3031" s="320"/>
    </row>
    <row r="3032" spans="23:23" x14ac:dyDescent="0.45">
      <c r="W3032" s="320"/>
    </row>
    <row r="3033" spans="23:23" x14ac:dyDescent="0.45">
      <c r="W3033" s="320"/>
    </row>
    <row r="3034" spans="23:23" x14ac:dyDescent="0.45">
      <c r="W3034" s="320"/>
    </row>
    <row r="3035" spans="23:23" x14ac:dyDescent="0.45">
      <c r="W3035" s="320"/>
    </row>
    <row r="3036" spans="23:23" x14ac:dyDescent="0.45">
      <c r="W3036" s="320"/>
    </row>
    <row r="3037" spans="23:23" x14ac:dyDescent="0.45">
      <c r="W3037" s="320"/>
    </row>
    <row r="3038" spans="23:23" x14ac:dyDescent="0.45">
      <c r="W3038" s="320"/>
    </row>
    <row r="3039" spans="23:23" x14ac:dyDescent="0.45">
      <c r="W3039" s="320"/>
    </row>
    <row r="3040" spans="23:23" x14ac:dyDescent="0.45">
      <c r="W3040" s="320"/>
    </row>
    <row r="3041" spans="23:23" x14ac:dyDescent="0.45">
      <c r="W3041" s="320"/>
    </row>
    <row r="3042" spans="23:23" x14ac:dyDescent="0.45">
      <c r="W3042" s="320"/>
    </row>
    <row r="3043" spans="23:23" x14ac:dyDescent="0.45">
      <c r="W3043" s="320"/>
    </row>
    <row r="3044" spans="23:23" x14ac:dyDescent="0.45">
      <c r="W3044" s="320"/>
    </row>
    <row r="3045" spans="23:23" x14ac:dyDescent="0.45">
      <c r="W3045" s="320"/>
    </row>
    <row r="3046" spans="23:23" x14ac:dyDescent="0.45">
      <c r="W3046" s="320"/>
    </row>
    <row r="3047" spans="23:23" x14ac:dyDescent="0.45">
      <c r="W3047" s="320"/>
    </row>
    <row r="3048" spans="23:23" x14ac:dyDescent="0.45">
      <c r="W3048" s="320"/>
    </row>
    <row r="3049" spans="23:23" x14ac:dyDescent="0.45">
      <c r="W3049" s="320"/>
    </row>
    <row r="3050" spans="23:23" x14ac:dyDescent="0.45">
      <c r="W3050" s="320"/>
    </row>
    <row r="3051" spans="23:23" x14ac:dyDescent="0.45">
      <c r="W3051" s="320"/>
    </row>
    <row r="3052" spans="23:23" x14ac:dyDescent="0.45">
      <c r="W3052" s="320"/>
    </row>
    <row r="3053" spans="23:23" x14ac:dyDescent="0.45">
      <c r="W3053" s="320"/>
    </row>
    <row r="3054" spans="23:23" x14ac:dyDescent="0.45">
      <c r="W3054" s="320"/>
    </row>
    <row r="3055" spans="23:23" x14ac:dyDescent="0.45">
      <c r="W3055" s="320"/>
    </row>
    <row r="3056" spans="23:23" x14ac:dyDescent="0.45">
      <c r="W3056" s="320"/>
    </row>
    <row r="3057" spans="23:23" x14ac:dyDescent="0.45">
      <c r="W3057" s="320"/>
    </row>
    <row r="3058" spans="23:23" x14ac:dyDescent="0.45">
      <c r="W3058" s="320"/>
    </row>
    <row r="3059" spans="23:23" x14ac:dyDescent="0.45">
      <c r="W3059" s="320"/>
    </row>
    <row r="3060" spans="23:23" x14ac:dyDescent="0.45">
      <c r="W3060" s="320"/>
    </row>
    <row r="3061" spans="23:23" x14ac:dyDescent="0.45">
      <c r="W3061" s="320"/>
    </row>
    <row r="3062" spans="23:23" x14ac:dyDescent="0.45">
      <c r="W3062" s="320"/>
    </row>
    <row r="3063" spans="23:23" x14ac:dyDescent="0.45">
      <c r="W3063" s="320"/>
    </row>
    <row r="3064" spans="23:23" x14ac:dyDescent="0.45">
      <c r="W3064" s="320"/>
    </row>
    <row r="3065" spans="23:23" x14ac:dyDescent="0.45">
      <c r="W3065" s="320"/>
    </row>
    <row r="3066" spans="23:23" x14ac:dyDescent="0.45">
      <c r="W3066" s="320"/>
    </row>
    <row r="3067" spans="23:23" x14ac:dyDescent="0.45">
      <c r="W3067" s="320"/>
    </row>
    <row r="3068" spans="23:23" x14ac:dyDescent="0.45">
      <c r="W3068" s="320"/>
    </row>
    <row r="3069" spans="23:23" x14ac:dyDescent="0.45">
      <c r="W3069" s="320"/>
    </row>
    <row r="3070" spans="23:23" x14ac:dyDescent="0.45">
      <c r="W3070" s="320"/>
    </row>
    <row r="3071" spans="23:23" x14ac:dyDescent="0.45">
      <c r="W3071" s="320"/>
    </row>
    <row r="3072" spans="23:23" x14ac:dyDescent="0.45">
      <c r="W3072" s="320"/>
    </row>
    <row r="3073" spans="23:23" x14ac:dyDescent="0.45">
      <c r="W3073" s="320"/>
    </row>
    <row r="3074" spans="23:23" x14ac:dyDescent="0.45">
      <c r="W3074" s="320"/>
    </row>
    <row r="3075" spans="23:23" x14ac:dyDescent="0.45">
      <c r="W3075" s="320"/>
    </row>
    <row r="3076" spans="23:23" x14ac:dyDescent="0.45">
      <c r="W3076" s="320"/>
    </row>
    <row r="3077" spans="23:23" x14ac:dyDescent="0.45">
      <c r="W3077" s="320"/>
    </row>
    <row r="3078" spans="23:23" x14ac:dyDescent="0.45">
      <c r="W3078" s="320"/>
    </row>
    <row r="3079" spans="23:23" x14ac:dyDescent="0.45">
      <c r="W3079" s="320"/>
    </row>
    <row r="3080" spans="23:23" x14ac:dyDescent="0.45">
      <c r="W3080" s="320"/>
    </row>
    <row r="3081" spans="23:23" x14ac:dyDescent="0.45">
      <c r="W3081" s="320"/>
    </row>
    <row r="3082" spans="23:23" x14ac:dyDescent="0.45">
      <c r="W3082" s="320"/>
    </row>
    <row r="3083" spans="23:23" x14ac:dyDescent="0.45">
      <c r="W3083" s="320"/>
    </row>
    <row r="3084" spans="23:23" x14ac:dyDescent="0.45">
      <c r="W3084" s="320"/>
    </row>
    <row r="3085" spans="23:23" x14ac:dyDescent="0.45">
      <c r="W3085" s="320"/>
    </row>
    <row r="3086" spans="23:23" x14ac:dyDescent="0.45">
      <c r="W3086" s="320"/>
    </row>
    <row r="3087" spans="23:23" x14ac:dyDescent="0.45">
      <c r="W3087" s="320"/>
    </row>
    <row r="3088" spans="23:23" x14ac:dyDescent="0.45">
      <c r="W3088" s="320"/>
    </row>
    <row r="3089" spans="23:23" x14ac:dyDescent="0.45">
      <c r="W3089" s="320"/>
    </row>
    <row r="3090" spans="23:23" x14ac:dyDescent="0.45">
      <c r="W3090" s="320"/>
    </row>
    <row r="3091" spans="23:23" x14ac:dyDescent="0.45">
      <c r="W3091" s="320"/>
    </row>
    <row r="3092" spans="23:23" x14ac:dyDescent="0.45">
      <c r="W3092" s="320"/>
    </row>
    <row r="3093" spans="23:23" x14ac:dyDescent="0.45">
      <c r="W3093" s="320"/>
    </row>
    <row r="3094" spans="23:23" x14ac:dyDescent="0.45">
      <c r="W3094" s="320"/>
    </row>
    <row r="3095" spans="23:23" x14ac:dyDescent="0.45">
      <c r="W3095" s="320"/>
    </row>
    <row r="3096" spans="23:23" x14ac:dyDescent="0.45">
      <c r="W3096" s="320"/>
    </row>
    <row r="3097" spans="23:23" x14ac:dyDescent="0.45">
      <c r="W3097" s="320"/>
    </row>
    <row r="3098" spans="23:23" x14ac:dyDescent="0.45">
      <c r="W3098" s="320"/>
    </row>
    <row r="3099" spans="23:23" x14ac:dyDescent="0.45">
      <c r="W3099" s="320"/>
    </row>
    <row r="3100" spans="23:23" x14ac:dyDescent="0.45">
      <c r="W3100" s="320"/>
    </row>
    <row r="3101" spans="23:23" x14ac:dyDescent="0.45">
      <c r="W3101" s="320"/>
    </row>
    <row r="3102" spans="23:23" x14ac:dyDescent="0.45">
      <c r="W3102" s="320"/>
    </row>
    <row r="3103" spans="23:23" x14ac:dyDescent="0.45">
      <c r="W3103" s="320"/>
    </row>
    <row r="3104" spans="23:23" x14ac:dyDescent="0.45">
      <c r="W3104" s="320"/>
    </row>
    <row r="3105" spans="23:23" x14ac:dyDescent="0.45">
      <c r="W3105" s="320"/>
    </row>
    <row r="3106" spans="23:23" x14ac:dyDescent="0.45">
      <c r="W3106" s="320"/>
    </row>
    <row r="3107" spans="23:23" x14ac:dyDescent="0.45">
      <c r="W3107" s="320"/>
    </row>
    <row r="3108" spans="23:23" x14ac:dyDescent="0.45">
      <c r="W3108" s="320"/>
    </row>
    <row r="3109" spans="23:23" x14ac:dyDescent="0.45">
      <c r="W3109" s="320"/>
    </row>
    <row r="3110" spans="23:23" x14ac:dyDescent="0.45">
      <c r="W3110" s="320"/>
    </row>
    <row r="3111" spans="23:23" x14ac:dyDescent="0.45">
      <c r="W3111" s="320"/>
    </row>
    <row r="3112" spans="23:23" x14ac:dyDescent="0.45">
      <c r="W3112" s="320"/>
    </row>
    <row r="3113" spans="23:23" x14ac:dyDescent="0.45">
      <c r="W3113" s="320"/>
    </row>
    <row r="3114" spans="23:23" x14ac:dyDescent="0.45">
      <c r="W3114" s="320"/>
    </row>
    <row r="3115" spans="23:23" x14ac:dyDescent="0.45">
      <c r="W3115" s="320"/>
    </row>
    <row r="3116" spans="23:23" x14ac:dyDescent="0.45">
      <c r="W3116" s="320"/>
    </row>
    <row r="3117" spans="23:23" x14ac:dyDescent="0.45">
      <c r="W3117" s="320"/>
    </row>
    <row r="3118" spans="23:23" x14ac:dyDescent="0.45">
      <c r="W3118" s="320"/>
    </row>
    <row r="3119" spans="23:23" x14ac:dyDescent="0.45">
      <c r="W3119" s="320"/>
    </row>
    <row r="3120" spans="23:23" x14ac:dyDescent="0.45">
      <c r="W3120" s="320"/>
    </row>
    <row r="3121" spans="23:23" x14ac:dyDescent="0.45">
      <c r="W3121" s="320"/>
    </row>
    <row r="3122" spans="23:23" x14ac:dyDescent="0.45">
      <c r="W3122" s="320"/>
    </row>
    <row r="3123" spans="23:23" x14ac:dyDescent="0.45">
      <c r="W3123" s="320"/>
    </row>
    <row r="3124" spans="23:23" x14ac:dyDescent="0.45">
      <c r="W3124" s="320"/>
    </row>
    <row r="3125" spans="23:23" x14ac:dyDescent="0.45">
      <c r="W3125" s="320"/>
    </row>
    <row r="3126" spans="23:23" x14ac:dyDescent="0.45">
      <c r="W3126" s="320"/>
    </row>
    <row r="3127" spans="23:23" x14ac:dyDescent="0.45">
      <c r="W3127" s="320"/>
    </row>
    <row r="3128" spans="23:23" x14ac:dyDescent="0.45">
      <c r="W3128" s="320"/>
    </row>
    <row r="3129" spans="23:23" x14ac:dyDescent="0.45">
      <c r="W3129" s="320"/>
    </row>
    <row r="3130" spans="23:23" x14ac:dyDescent="0.45">
      <c r="W3130" s="320"/>
    </row>
    <row r="3131" spans="23:23" x14ac:dyDescent="0.45">
      <c r="W3131" s="320"/>
    </row>
    <row r="3132" spans="23:23" x14ac:dyDescent="0.45">
      <c r="W3132" s="320"/>
    </row>
    <row r="3133" spans="23:23" x14ac:dyDescent="0.45">
      <c r="W3133" s="320"/>
    </row>
    <row r="3134" spans="23:23" x14ac:dyDescent="0.45">
      <c r="W3134" s="320"/>
    </row>
    <row r="3135" spans="23:23" x14ac:dyDescent="0.45">
      <c r="W3135" s="320"/>
    </row>
    <row r="3136" spans="23:23" x14ac:dyDescent="0.45">
      <c r="W3136" s="320"/>
    </row>
    <row r="3137" spans="23:23" x14ac:dyDescent="0.45">
      <c r="W3137" s="320"/>
    </row>
    <row r="3138" spans="23:23" x14ac:dyDescent="0.45">
      <c r="W3138" s="320"/>
    </row>
    <row r="3139" spans="23:23" x14ac:dyDescent="0.45">
      <c r="W3139" s="320"/>
    </row>
    <row r="3140" spans="23:23" x14ac:dyDescent="0.45">
      <c r="W3140" s="320"/>
    </row>
    <row r="3141" spans="23:23" x14ac:dyDescent="0.45">
      <c r="W3141" s="320"/>
    </row>
    <row r="3142" spans="23:23" x14ac:dyDescent="0.45">
      <c r="W3142" s="320"/>
    </row>
    <row r="3143" spans="23:23" x14ac:dyDescent="0.45">
      <c r="W3143" s="320"/>
    </row>
    <row r="3144" spans="23:23" x14ac:dyDescent="0.45">
      <c r="W3144" s="320"/>
    </row>
    <row r="3145" spans="23:23" x14ac:dyDescent="0.45">
      <c r="W3145" s="320"/>
    </row>
    <row r="3146" spans="23:23" x14ac:dyDescent="0.45">
      <c r="W3146" s="320"/>
    </row>
    <row r="3147" spans="23:23" x14ac:dyDescent="0.45">
      <c r="W3147" s="320"/>
    </row>
    <row r="3148" spans="23:23" x14ac:dyDescent="0.45">
      <c r="W3148" s="320"/>
    </row>
    <row r="3149" spans="23:23" x14ac:dyDescent="0.45">
      <c r="W3149" s="320"/>
    </row>
    <row r="3150" spans="23:23" x14ac:dyDescent="0.45">
      <c r="W3150" s="320"/>
    </row>
    <row r="3151" spans="23:23" x14ac:dyDescent="0.45">
      <c r="W3151" s="320"/>
    </row>
    <row r="3152" spans="23:23" x14ac:dyDescent="0.45">
      <c r="W3152" s="320"/>
    </row>
    <row r="3153" spans="23:23" x14ac:dyDescent="0.45">
      <c r="W3153" s="320"/>
    </row>
    <row r="3154" spans="23:23" x14ac:dyDescent="0.45">
      <c r="W3154" s="320"/>
    </row>
    <row r="3155" spans="23:23" x14ac:dyDescent="0.45">
      <c r="W3155" s="320"/>
    </row>
    <row r="3156" spans="23:23" x14ac:dyDescent="0.45">
      <c r="W3156" s="320"/>
    </row>
    <row r="3157" spans="23:23" x14ac:dyDescent="0.45">
      <c r="W3157" s="320"/>
    </row>
    <row r="3158" spans="23:23" x14ac:dyDescent="0.45">
      <c r="W3158" s="320"/>
    </row>
    <row r="3159" spans="23:23" x14ac:dyDescent="0.45">
      <c r="W3159" s="320"/>
    </row>
    <row r="3160" spans="23:23" x14ac:dyDescent="0.45">
      <c r="W3160" s="320"/>
    </row>
    <row r="3161" spans="23:23" x14ac:dyDescent="0.45">
      <c r="W3161" s="320"/>
    </row>
    <row r="3162" spans="23:23" x14ac:dyDescent="0.45">
      <c r="W3162" s="320"/>
    </row>
    <row r="3163" spans="23:23" x14ac:dyDescent="0.45">
      <c r="W3163" s="320"/>
    </row>
    <row r="3164" spans="23:23" x14ac:dyDescent="0.45">
      <c r="W3164" s="320"/>
    </row>
    <row r="3165" spans="23:23" x14ac:dyDescent="0.45">
      <c r="W3165" s="320"/>
    </row>
    <row r="3166" spans="23:23" x14ac:dyDescent="0.45">
      <c r="W3166" s="320"/>
    </row>
    <row r="3167" spans="23:23" x14ac:dyDescent="0.45">
      <c r="W3167" s="320"/>
    </row>
    <row r="3168" spans="23:23" x14ac:dyDescent="0.45">
      <c r="W3168" s="320"/>
    </row>
    <row r="3169" spans="23:23" x14ac:dyDescent="0.45">
      <c r="W3169" s="320"/>
    </row>
    <row r="3170" spans="23:23" x14ac:dyDescent="0.45">
      <c r="W3170" s="320"/>
    </row>
    <row r="3171" spans="23:23" x14ac:dyDescent="0.45">
      <c r="W3171" s="320"/>
    </row>
    <row r="3172" spans="23:23" x14ac:dyDescent="0.45">
      <c r="W3172" s="320"/>
    </row>
    <row r="3173" spans="23:23" x14ac:dyDescent="0.45">
      <c r="W3173" s="320"/>
    </row>
    <row r="3174" spans="23:23" x14ac:dyDescent="0.45">
      <c r="W3174" s="320"/>
    </row>
    <row r="3175" spans="23:23" x14ac:dyDescent="0.45">
      <c r="W3175" s="320"/>
    </row>
    <row r="3176" spans="23:23" x14ac:dyDescent="0.45">
      <c r="W3176" s="320"/>
    </row>
    <row r="3177" spans="23:23" x14ac:dyDescent="0.45">
      <c r="W3177" s="320"/>
    </row>
    <row r="3178" spans="23:23" x14ac:dyDescent="0.45">
      <c r="W3178" s="320"/>
    </row>
    <row r="3179" spans="23:23" x14ac:dyDescent="0.45">
      <c r="W3179" s="320"/>
    </row>
    <row r="3180" spans="23:23" x14ac:dyDescent="0.45">
      <c r="W3180" s="320"/>
    </row>
    <row r="3181" spans="23:23" x14ac:dyDescent="0.45">
      <c r="W3181" s="320"/>
    </row>
    <row r="3182" spans="23:23" x14ac:dyDescent="0.45">
      <c r="W3182" s="320"/>
    </row>
    <row r="3183" spans="23:23" x14ac:dyDescent="0.45">
      <c r="W3183" s="320"/>
    </row>
    <row r="3184" spans="23:23" x14ac:dyDescent="0.45">
      <c r="W3184" s="320"/>
    </row>
    <row r="3185" spans="23:23" x14ac:dyDescent="0.45">
      <c r="W3185" s="320"/>
    </row>
    <row r="3186" spans="23:23" x14ac:dyDescent="0.45">
      <c r="W3186" s="320"/>
    </row>
    <row r="3187" spans="23:23" x14ac:dyDescent="0.45">
      <c r="W3187" s="320"/>
    </row>
    <row r="3188" spans="23:23" x14ac:dyDescent="0.45">
      <c r="W3188" s="320"/>
    </row>
    <row r="3189" spans="23:23" x14ac:dyDescent="0.45">
      <c r="W3189" s="320"/>
    </row>
    <row r="3190" spans="23:23" x14ac:dyDescent="0.45">
      <c r="W3190" s="320"/>
    </row>
    <row r="3191" spans="23:23" x14ac:dyDescent="0.45">
      <c r="W3191" s="320"/>
    </row>
    <row r="3192" spans="23:23" x14ac:dyDescent="0.45">
      <c r="W3192" s="320"/>
    </row>
    <row r="3193" spans="23:23" x14ac:dyDescent="0.45">
      <c r="W3193" s="320"/>
    </row>
    <row r="3194" spans="23:23" x14ac:dyDescent="0.45">
      <c r="W3194" s="320"/>
    </row>
    <row r="3195" spans="23:23" x14ac:dyDescent="0.45">
      <c r="W3195" s="320"/>
    </row>
    <row r="3196" spans="23:23" x14ac:dyDescent="0.45">
      <c r="W3196" s="320"/>
    </row>
    <row r="3197" spans="23:23" x14ac:dyDescent="0.45">
      <c r="W3197" s="320"/>
    </row>
    <row r="3198" spans="23:23" x14ac:dyDescent="0.45">
      <c r="W3198" s="320"/>
    </row>
    <row r="3199" spans="23:23" x14ac:dyDescent="0.45">
      <c r="W3199" s="320"/>
    </row>
    <row r="3200" spans="23:23" x14ac:dyDescent="0.45">
      <c r="W3200" s="320"/>
    </row>
    <row r="3201" spans="23:23" x14ac:dyDescent="0.45">
      <c r="W3201" s="320"/>
    </row>
    <row r="3202" spans="23:23" x14ac:dyDescent="0.45">
      <c r="W3202" s="320"/>
    </row>
    <row r="3203" spans="23:23" x14ac:dyDescent="0.45">
      <c r="W3203" s="320"/>
    </row>
    <row r="3204" spans="23:23" x14ac:dyDescent="0.45">
      <c r="W3204" s="320"/>
    </row>
    <row r="3205" spans="23:23" x14ac:dyDescent="0.45">
      <c r="W3205" s="320"/>
    </row>
    <row r="3206" spans="23:23" x14ac:dyDescent="0.45">
      <c r="W3206" s="320"/>
    </row>
    <row r="3207" spans="23:23" x14ac:dyDescent="0.45">
      <c r="W3207" s="320"/>
    </row>
    <row r="3208" spans="23:23" x14ac:dyDescent="0.45">
      <c r="W3208" s="320"/>
    </row>
    <row r="3209" spans="23:23" x14ac:dyDescent="0.45">
      <c r="W3209" s="320"/>
    </row>
    <row r="3210" spans="23:23" x14ac:dyDescent="0.45">
      <c r="W3210" s="320"/>
    </row>
    <row r="3211" spans="23:23" x14ac:dyDescent="0.45">
      <c r="W3211" s="320"/>
    </row>
    <row r="3212" spans="23:23" x14ac:dyDescent="0.45">
      <c r="W3212" s="320"/>
    </row>
    <row r="3213" spans="23:23" x14ac:dyDescent="0.45">
      <c r="W3213" s="320"/>
    </row>
    <row r="3214" spans="23:23" x14ac:dyDescent="0.45">
      <c r="W3214" s="320"/>
    </row>
    <row r="3215" spans="23:23" x14ac:dyDescent="0.45">
      <c r="W3215" s="320"/>
    </row>
    <row r="3216" spans="23:23" x14ac:dyDescent="0.45">
      <c r="W3216" s="320"/>
    </row>
    <row r="3217" spans="23:23" x14ac:dyDescent="0.45">
      <c r="W3217" s="320"/>
    </row>
    <row r="3218" spans="23:23" x14ac:dyDescent="0.45">
      <c r="W3218" s="320"/>
    </row>
    <row r="3219" spans="23:23" x14ac:dyDescent="0.45">
      <c r="W3219" s="320"/>
    </row>
    <row r="3220" spans="23:23" x14ac:dyDescent="0.45">
      <c r="W3220" s="320"/>
    </row>
    <row r="3221" spans="23:23" x14ac:dyDescent="0.45">
      <c r="W3221" s="320"/>
    </row>
    <row r="3222" spans="23:23" x14ac:dyDescent="0.45">
      <c r="W3222" s="320"/>
    </row>
    <row r="3223" spans="23:23" x14ac:dyDescent="0.45">
      <c r="W3223" s="320"/>
    </row>
    <row r="3224" spans="23:23" x14ac:dyDescent="0.45">
      <c r="W3224" s="320"/>
    </row>
    <row r="3225" spans="23:23" x14ac:dyDescent="0.45">
      <c r="W3225" s="320"/>
    </row>
    <row r="3226" spans="23:23" x14ac:dyDescent="0.45">
      <c r="W3226" s="320"/>
    </row>
    <row r="3227" spans="23:23" x14ac:dyDescent="0.45">
      <c r="W3227" s="320"/>
    </row>
    <row r="3228" spans="23:23" x14ac:dyDescent="0.45">
      <c r="W3228" s="320"/>
    </row>
    <row r="3229" spans="23:23" x14ac:dyDescent="0.45">
      <c r="W3229" s="320"/>
    </row>
    <row r="3230" spans="23:23" x14ac:dyDescent="0.45">
      <c r="W3230" s="320"/>
    </row>
    <row r="3231" spans="23:23" x14ac:dyDescent="0.45">
      <c r="W3231" s="320"/>
    </row>
    <row r="3232" spans="23:23" x14ac:dyDescent="0.45">
      <c r="W3232" s="320"/>
    </row>
    <row r="3233" spans="23:23" x14ac:dyDescent="0.45">
      <c r="W3233" s="320"/>
    </row>
    <row r="3234" spans="23:23" x14ac:dyDescent="0.45">
      <c r="W3234" s="320"/>
    </row>
    <row r="3235" spans="23:23" x14ac:dyDescent="0.45">
      <c r="W3235" s="320"/>
    </row>
    <row r="3236" spans="23:23" x14ac:dyDescent="0.45">
      <c r="W3236" s="320"/>
    </row>
    <row r="3237" spans="23:23" x14ac:dyDescent="0.45">
      <c r="W3237" s="320"/>
    </row>
    <row r="3238" spans="23:23" x14ac:dyDescent="0.45">
      <c r="W3238" s="320"/>
    </row>
    <row r="3239" spans="23:23" x14ac:dyDescent="0.45">
      <c r="W3239" s="320"/>
    </row>
    <row r="3240" spans="23:23" x14ac:dyDescent="0.45">
      <c r="W3240" s="320"/>
    </row>
    <row r="3241" spans="23:23" x14ac:dyDescent="0.45">
      <c r="W3241" s="320"/>
    </row>
    <row r="3242" spans="23:23" x14ac:dyDescent="0.45">
      <c r="W3242" s="320"/>
    </row>
    <row r="3243" spans="23:23" x14ac:dyDescent="0.45">
      <c r="W3243" s="320"/>
    </row>
    <row r="3244" spans="23:23" x14ac:dyDescent="0.45">
      <c r="W3244" s="320"/>
    </row>
    <row r="3245" spans="23:23" x14ac:dyDescent="0.45">
      <c r="W3245" s="320"/>
    </row>
    <row r="3246" spans="23:23" x14ac:dyDescent="0.45">
      <c r="W3246" s="320"/>
    </row>
    <row r="3247" spans="23:23" x14ac:dyDescent="0.45">
      <c r="W3247" s="320"/>
    </row>
    <row r="3248" spans="23:23" x14ac:dyDescent="0.45">
      <c r="W3248" s="320"/>
    </row>
    <row r="3249" spans="23:23" x14ac:dyDescent="0.45">
      <c r="W3249" s="320"/>
    </row>
    <row r="3250" spans="23:23" x14ac:dyDescent="0.45">
      <c r="W3250" s="320"/>
    </row>
    <row r="3251" spans="23:23" x14ac:dyDescent="0.45">
      <c r="W3251" s="320"/>
    </row>
    <row r="3252" spans="23:23" x14ac:dyDescent="0.45">
      <c r="W3252" s="320"/>
    </row>
    <row r="3253" spans="23:23" x14ac:dyDescent="0.45">
      <c r="W3253" s="320"/>
    </row>
    <row r="3254" spans="23:23" x14ac:dyDescent="0.45">
      <c r="W3254" s="320"/>
    </row>
    <row r="3255" spans="23:23" x14ac:dyDescent="0.45">
      <c r="W3255" s="320"/>
    </row>
    <row r="3256" spans="23:23" x14ac:dyDescent="0.45">
      <c r="W3256" s="320"/>
    </row>
    <row r="3257" spans="23:23" x14ac:dyDescent="0.45">
      <c r="W3257" s="320"/>
    </row>
    <row r="3258" spans="23:23" x14ac:dyDescent="0.45">
      <c r="W3258" s="320"/>
    </row>
    <row r="3259" spans="23:23" x14ac:dyDescent="0.45">
      <c r="W3259" s="320"/>
    </row>
    <row r="3260" spans="23:23" x14ac:dyDescent="0.45">
      <c r="W3260" s="320"/>
    </row>
    <row r="3261" spans="23:23" x14ac:dyDescent="0.45">
      <c r="W3261" s="320"/>
    </row>
    <row r="3262" spans="23:23" x14ac:dyDescent="0.45">
      <c r="W3262" s="320"/>
    </row>
    <row r="3263" spans="23:23" x14ac:dyDescent="0.45">
      <c r="W3263" s="320"/>
    </row>
    <row r="3264" spans="23:23" x14ac:dyDescent="0.45">
      <c r="W3264" s="320"/>
    </row>
    <row r="3265" spans="23:23" x14ac:dyDescent="0.45">
      <c r="W3265" s="320"/>
    </row>
    <row r="3266" spans="23:23" x14ac:dyDescent="0.45">
      <c r="W3266" s="320"/>
    </row>
    <row r="3267" spans="23:23" x14ac:dyDescent="0.45">
      <c r="W3267" s="320"/>
    </row>
    <row r="3268" spans="23:23" x14ac:dyDescent="0.45">
      <c r="W3268" s="320"/>
    </row>
    <row r="3269" spans="23:23" x14ac:dyDescent="0.45">
      <c r="W3269" s="320"/>
    </row>
    <row r="3270" spans="23:23" x14ac:dyDescent="0.45">
      <c r="W3270" s="320"/>
    </row>
    <row r="3271" spans="23:23" x14ac:dyDescent="0.45">
      <c r="W3271" s="320"/>
    </row>
    <row r="3272" spans="23:23" x14ac:dyDescent="0.45">
      <c r="W3272" s="320"/>
    </row>
    <row r="3273" spans="23:23" x14ac:dyDescent="0.45">
      <c r="W3273" s="320"/>
    </row>
    <row r="3274" spans="23:23" x14ac:dyDescent="0.45">
      <c r="W3274" s="320"/>
    </row>
    <row r="3275" spans="23:23" x14ac:dyDescent="0.45">
      <c r="W3275" s="320"/>
    </row>
    <row r="3276" spans="23:23" x14ac:dyDescent="0.45">
      <c r="W3276" s="320"/>
    </row>
    <row r="3277" spans="23:23" x14ac:dyDescent="0.45">
      <c r="W3277" s="320"/>
    </row>
    <row r="3278" spans="23:23" x14ac:dyDescent="0.45">
      <c r="W3278" s="320"/>
    </row>
    <row r="3279" spans="23:23" x14ac:dyDescent="0.45">
      <c r="W3279" s="320"/>
    </row>
    <row r="3280" spans="23:23" x14ac:dyDescent="0.45">
      <c r="W3280" s="320"/>
    </row>
    <row r="3281" spans="23:23" x14ac:dyDescent="0.45">
      <c r="W3281" s="320"/>
    </row>
    <row r="3282" spans="23:23" x14ac:dyDescent="0.45">
      <c r="W3282" s="320"/>
    </row>
    <row r="3283" spans="23:23" x14ac:dyDescent="0.45">
      <c r="W3283" s="320"/>
    </row>
    <row r="3284" spans="23:23" x14ac:dyDescent="0.45">
      <c r="W3284" s="320"/>
    </row>
    <row r="3285" spans="23:23" x14ac:dyDescent="0.45">
      <c r="W3285" s="320"/>
    </row>
    <row r="3286" spans="23:23" x14ac:dyDescent="0.45">
      <c r="W3286" s="320"/>
    </row>
    <row r="3287" spans="23:23" x14ac:dyDescent="0.45">
      <c r="W3287" s="320"/>
    </row>
    <row r="3288" spans="23:23" x14ac:dyDescent="0.45">
      <c r="W3288" s="320"/>
    </row>
    <row r="3289" spans="23:23" x14ac:dyDescent="0.45">
      <c r="W3289" s="320"/>
    </row>
    <row r="3290" spans="23:23" x14ac:dyDescent="0.45">
      <c r="W3290" s="320"/>
    </row>
    <row r="3291" spans="23:23" x14ac:dyDescent="0.45">
      <c r="W3291" s="320"/>
    </row>
    <row r="3292" spans="23:23" x14ac:dyDescent="0.45">
      <c r="W3292" s="320"/>
    </row>
    <row r="3293" spans="23:23" x14ac:dyDescent="0.45">
      <c r="W3293" s="320"/>
    </row>
    <row r="3294" spans="23:23" x14ac:dyDescent="0.45">
      <c r="W3294" s="320"/>
    </row>
    <row r="3295" spans="23:23" x14ac:dyDescent="0.45">
      <c r="W3295" s="320"/>
    </row>
    <row r="3296" spans="23:23" x14ac:dyDescent="0.45">
      <c r="W3296" s="320"/>
    </row>
    <row r="3297" spans="23:23" x14ac:dyDescent="0.45">
      <c r="W3297" s="320"/>
    </row>
    <row r="3298" spans="23:23" x14ac:dyDescent="0.45">
      <c r="W3298" s="320"/>
    </row>
    <row r="3299" spans="23:23" x14ac:dyDescent="0.45">
      <c r="W3299" s="320"/>
    </row>
    <row r="3300" spans="23:23" x14ac:dyDescent="0.45">
      <c r="W3300" s="320"/>
    </row>
    <row r="3301" spans="23:23" x14ac:dyDescent="0.45">
      <c r="W3301" s="320"/>
    </row>
    <row r="3302" spans="23:23" x14ac:dyDescent="0.45">
      <c r="W3302" s="320"/>
    </row>
    <row r="3303" spans="23:23" x14ac:dyDescent="0.45">
      <c r="W3303" s="320"/>
    </row>
    <row r="3304" spans="23:23" x14ac:dyDescent="0.45">
      <c r="W3304" s="320"/>
    </row>
    <row r="3305" spans="23:23" x14ac:dyDescent="0.45">
      <c r="W3305" s="320"/>
    </row>
    <row r="3306" spans="23:23" x14ac:dyDescent="0.45">
      <c r="W3306" s="320"/>
    </row>
    <row r="3307" spans="23:23" x14ac:dyDescent="0.45">
      <c r="W3307" s="320"/>
    </row>
    <row r="3308" spans="23:23" x14ac:dyDescent="0.45">
      <c r="W3308" s="320"/>
    </row>
    <row r="3309" spans="23:23" x14ac:dyDescent="0.45">
      <c r="W3309" s="320"/>
    </row>
    <row r="3310" spans="23:23" x14ac:dyDescent="0.45">
      <c r="W3310" s="320"/>
    </row>
    <row r="3311" spans="23:23" x14ac:dyDescent="0.45">
      <c r="W3311" s="320"/>
    </row>
    <row r="3312" spans="23:23" x14ac:dyDescent="0.45">
      <c r="W3312" s="320"/>
    </row>
    <row r="3313" spans="23:23" x14ac:dyDescent="0.45">
      <c r="W3313" s="320"/>
    </row>
    <row r="3314" spans="23:23" x14ac:dyDescent="0.45">
      <c r="W3314" s="320"/>
    </row>
    <row r="3315" spans="23:23" x14ac:dyDescent="0.45">
      <c r="W3315" s="320"/>
    </row>
    <row r="3316" spans="23:23" x14ac:dyDescent="0.45">
      <c r="W3316" s="320"/>
    </row>
    <row r="3317" spans="23:23" x14ac:dyDescent="0.45">
      <c r="W3317" s="320"/>
    </row>
    <row r="3318" spans="23:23" x14ac:dyDescent="0.45">
      <c r="W3318" s="320"/>
    </row>
    <row r="3319" spans="23:23" x14ac:dyDescent="0.45">
      <c r="W3319" s="320"/>
    </row>
    <row r="3320" spans="23:23" x14ac:dyDescent="0.45">
      <c r="W3320" s="320"/>
    </row>
    <row r="3321" spans="23:23" x14ac:dyDescent="0.45">
      <c r="W3321" s="320"/>
    </row>
    <row r="3322" spans="23:23" x14ac:dyDescent="0.45">
      <c r="W3322" s="320"/>
    </row>
    <row r="3323" spans="23:23" x14ac:dyDescent="0.45">
      <c r="W3323" s="320"/>
    </row>
    <row r="3324" spans="23:23" x14ac:dyDescent="0.45">
      <c r="W3324" s="320"/>
    </row>
    <row r="3325" spans="23:23" x14ac:dyDescent="0.45">
      <c r="W3325" s="320"/>
    </row>
    <row r="3326" spans="23:23" x14ac:dyDescent="0.45">
      <c r="W3326" s="320"/>
    </row>
    <row r="3327" spans="23:23" x14ac:dyDescent="0.45">
      <c r="W3327" s="320"/>
    </row>
    <row r="3328" spans="23:23" x14ac:dyDescent="0.45">
      <c r="W3328" s="320"/>
    </row>
    <row r="3329" spans="23:23" x14ac:dyDescent="0.45">
      <c r="W3329" s="320"/>
    </row>
    <row r="3330" spans="23:23" x14ac:dyDescent="0.45">
      <c r="W3330" s="320"/>
    </row>
    <row r="3331" spans="23:23" x14ac:dyDescent="0.45">
      <c r="W3331" s="320"/>
    </row>
    <row r="3332" spans="23:23" x14ac:dyDescent="0.45">
      <c r="W3332" s="320"/>
    </row>
    <row r="3333" spans="23:23" x14ac:dyDescent="0.45">
      <c r="W3333" s="320"/>
    </row>
    <row r="3334" spans="23:23" x14ac:dyDescent="0.45">
      <c r="W3334" s="320"/>
    </row>
    <row r="3335" spans="23:23" x14ac:dyDescent="0.45">
      <c r="W3335" s="320"/>
    </row>
    <row r="3336" spans="23:23" x14ac:dyDescent="0.45">
      <c r="W3336" s="320"/>
    </row>
    <row r="3337" spans="23:23" x14ac:dyDescent="0.45">
      <c r="W3337" s="320"/>
    </row>
    <row r="3338" spans="23:23" x14ac:dyDescent="0.45">
      <c r="W3338" s="320"/>
    </row>
    <row r="3339" spans="23:23" x14ac:dyDescent="0.45">
      <c r="W3339" s="320"/>
    </row>
    <row r="3340" spans="23:23" x14ac:dyDescent="0.45">
      <c r="W3340" s="320"/>
    </row>
    <row r="3341" spans="23:23" x14ac:dyDescent="0.45">
      <c r="W3341" s="320"/>
    </row>
    <row r="3342" spans="23:23" x14ac:dyDescent="0.45">
      <c r="W3342" s="320"/>
    </row>
    <row r="3343" spans="23:23" x14ac:dyDescent="0.45">
      <c r="W3343" s="320"/>
    </row>
    <row r="3344" spans="23:23" x14ac:dyDescent="0.45">
      <c r="W3344" s="320"/>
    </row>
    <row r="3345" spans="23:23" x14ac:dyDescent="0.45">
      <c r="W3345" s="320"/>
    </row>
    <row r="3346" spans="23:23" x14ac:dyDescent="0.45">
      <c r="W3346" s="320"/>
    </row>
    <row r="3347" spans="23:23" x14ac:dyDescent="0.45">
      <c r="W3347" s="320"/>
    </row>
    <row r="3348" spans="23:23" x14ac:dyDescent="0.45">
      <c r="W3348" s="320"/>
    </row>
    <row r="3349" spans="23:23" x14ac:dyDescent="0.45">
      <c r="W3349" s="320"/>
    </row>
    <row r="3350" spans="23:23" x14ac:dyDescent="0.45">
      <c r="W3350" s="320"/>
    </row>
    <row r="3351" spans="23:23" x14ac:dyDescent="0.45">
      <c r="W3351" s="320"/>
    </row>
    <row r="3352" spans="23:23" x14ac:dyDescent="0.45">
      <c r="W3352" s="320"/>
    </row>
    <row r="3353" spans="23:23" x14ac:dyDescent="0.45">
      <c r="W3353" s="320"/>
    </row>
    <row r="3354" spans="23:23" x14ac:dyDescent="0.45">
      <c r="W3354" s="320"/>
    </row>
    <row r="3355" spans="23:23" x14ac:dyDescent="0.45">
      <c r="W3355" s="320"/>
    </row>
    <row r="3356" spans="23:23" x14ac:dyDescent="0.45">
      <c r="W3356" s="320"/>
    </row>
    <row r="3357" spans="23:23" x14ac:dyDescent="0.45">
      <c r="W3357" s="320"/>
    </row>
    <row r="3358" spans="23:23" x14ac:dyDescent="0.45">
      <c r="W3358" s="320"/>
    </row>
    <row r="3359" spans="23:23" x14ac:dyDescent="0.45">
      <c r="W3359" s="320"/>
    </row>
    <row r="3360" spans="23:23" x14ac:dyDescent="0.45">
      <c r="W3360" s="320"/>
    </row>
    <row r="3361" spans="23:23" x14ac:dyDescent="0.45">
      <c r="W3361" s="320"/>
    </row>
    <row r="3362" spans="23:23" x14ac:dyDescent="0.45">
      <c r="W3362" s="320"/>
    </row>
    <row r="3363" spans="23:23" x14ac:dyDescent="0.45">
      <c r="W3363" s="320"/>
    </row>
    <row r="3364" spans="23:23" x14ac:dyDescent="0.45">
      <c r="W3364" s="320"/>
    </row>
    <row r="3365" spans="23:23" x14ac:dyDescent="0.45">
      <c r="W3365" s="320"/>
    </row>
    <row r="3366" spans="23:23" x14ac:dyDescent="0.45">
      <c r="W3366" s="320"/>
    </row>
    <row r="3367" spans="23:23" x14ac:dyDescent="0.45">
      <c r="W3367" s="320"/>
    </row>
    <row r="3368" spans="23:23" x14ac:dyDescent="0.45">
      <c r="W3368" s="320"/>
    </row>
    <row r="3369" spans="23:23" x14ac:dyDescent="0.45">
      <c r="W3369" s="320"/>
    </row>
    <row r="3370" spans="23:23" x14ac:dyDescent="0.45">
      <c r="W3370" s="320"/>
    </row>
    <row r="3371" spans="23:23" x14ac:dyDescent="0.45">
      <c r="W3371" s="320"/>
    </row>
    <row r="3372" spans="23:23" x14ac:dyDescent="0.45">
      <c r="W3372" s="320"/>
    </row>
    <row r="3373" spans="23:23" x14ac:dyDescent="0.45">
      <c r="W3373" s="320"/>
    </row>
    <row r="3374" spans="23:23" x14ac:dyDescent="0.45">
      <c r="W3374" s="320"/>
    </row>
    <row r="3375" spans="23:23" x14ac:dyDescent="0.45">
      <c r="W3375" s="320"/>
    </row>
    <row r="3376" spans="23:23" x14ac:dyDescent="0.45">
      <c r="W3376" s="320"/>
    </row>
    <row r="3377" spans="23:23" x14ac:dyDescent="0.45">
      <c r="W3377" s="320"/>
    </row>
    <row r="3378" spans="23:23" x14ac:dyDescent="0.45">
      <c r="W3378" s="320"/>
    </row>
    <row r="3379" spans="23:23" x14ac:dyDescent="0.45">
      <c r="W3379" s="320"/>
    </row>
    <row r="3380" spans="23:23" x14ac:dyDescent="0.45">
      <c r="W3380" s="320"/>
    </row>
    <row r="3381" spans="23:23" x14ac:dyDescent="0.45">
      <c r="W3381" s="320"/>
    </row>
    <row r="3382" spans="23:23" x14ac:dyDescent="0.45">
      <c r="W3382" s="320"/>
    </row>
    <row r="3383" spans="23:23" x14ac:dyDescent="0.45">
      <c r="W3383" s="320"/>
    </row>
    <row r="3384" spans="23:23" x14ac:dyDescent="0.45">
      <c r="W3384" s="320"/>
    </row>
    <row r="3385" spans="23:23" x14ac:dyDescent="0.45">
      <c r="W3385" s="320"/>
    </row>
    <row r="3386" spans="23:23" x14ac:dyDescent="0.45">
      <c r="W3386" s="320"/>
    </row>
    <row r="3387" spans="23:23" x14ac:dyDescent="0.45">
      <c r="W3387" s="320"/>
    </row>
    <row r="3388" spans="23:23" x14ac:dyDescent="0.45">
      <c r="W3388" s="320"/>
    </row>
    <row r="3389" spans="23:23" x14ac:dyDescent="0.45">
      <c r="W3389" s="320"/>
    </row>
    <row r="3390" spans="23:23" x14ac:dyDescent="0.45">
      <c r="W3390" s="320"/>
    </row>
    <row r="3391" spans="23:23" x14ac:dyDescent="0.45">
      <c r="W3391" s="320"/>
    </row>
    <row r="3392" spans="23:23" x14ac:dyDescent="0.45">
      <c r="W3392" s="320"/>
    </row>
    <row r="3393" spans="23:23" x14ac:dyDescent="0.45">
      <c r="W3393" s="320"/>
    </row>
    <row r="3394" spans="23:23" x14ac:dyDescent="0.45">
      <c r="W3394" s="320"/>
    </row>
    <row r="3395" spans="23:23" x14ac:dyDescent="0.45">
      <c r="W3395" s="320"/>
    </row>
    <row r="3396" spans="23:23" x14ac:dyDescent="0.45">
      <c r="W3396" s="320"/>
    </row>
    <row r="3397" spans="23:23" x14ac:dyDescent="0.45">
      <c r="W3397" s="320"/>
    </row>
    <row r="3398" spans="23:23" x14ac:dyDescent="0.45">
      <c r="W3398" s="320"/>
    </row>
    <row r="3399" spans="23:23" x14ac:dyDescent="0.45">
      <c r="W3399" s="320"/>
    </row>
    <row r="3400" spans="23:23" x14ac:dyDescent="0.45">
      <c r="W3400" s="320"/>
    </row>
    <row r="3401" spans="23:23" x14ac:dyDescent="0.45">
      <c r="W3401" s="320"/>
    </row>
    <row r="3402" spans="23:23" x14ac:dyDescent="0.45">
      <c r="W3402" s="320"/>
    </row>
    <row r="3403" spans="23:23" x14ac:dyDescent="0.45">
      <c r="W3403" s="320"/>
    </row>
    <row r="3404" spans="23:23" x14ac:dyDescent="0.45">
      <c r="W3404" s="320"/>
    </row>
    <row r="3405" spans="23:23" x14ac:dyDescent="0.45">
      <c r="W3405" s="320"/>
    </row>
    <row r="3406" spans="23:23" x14ac:dyDescent="0.45">
      <c r="W3406" s="320"/>
    </row>
    <row r="3407" spans="23:23" x14ac:dyDescent="0.45">
      <c r="W3407" s="320"/>
    </row>
    <row r="3408" spans="23:23" x14ac:dyDescent="0.45">
      <c r="W3408" s="320"/>
    </row>
    <row r="3409" spans="23:23" x14ac:dyDescent="0.45">
      <c r="W3409" s="320"/>
    </row>
    <row r="3410" spans="23:23" x14ac:dyDescent="0.45">
      <c r="W3410" s="320"/>
    </row>
    <row r="3411" spans="23:23" x14ac:dyDescent="0.45">
      <c r="W3411" s="320"/>
    </row>
    <row r="3412" spans="23:23" x14ac:dyDescent="0.45">
      <c r="W3412" s="320"/>
    </row>
    <row r="3413" spans="23:23" x14ac:dyDescent="0.45">
      <c r="W3413" s="320"/>
    </row>
    <row r="3414" spans="23:23" x14ac:dyDescent="0.45">
      <c r="W3414" s="320"/>
    </row>
    <row r="3415" spans="23:23" x14ac:dyDescent="0.45">
      <c r="W3415" s="320"/>
    </row>
    <row r="3416" spans="23:23" x14ac:dyDescent="0.45">
      <c r="W3416" s="320"/>
    </row>
    <row r="3417" spans="23:23" x14ac:dyDescent="0.45">
      <c r="W3417" s="320"/>
    </row>
    <row r="3418" spans="23:23" x14ac:dyDescent="0.45">
      <c r="W3418" s="320"/>
    </row>
    <row r="3419" spans="23:23" x14ac:dyDescent="0.45">
      <c r="W3419" s="320"/>
    </row>
    <row r="3420" spans="23:23" x14ac:dyDescent="0.45">
      <c r="W3420" s="320"/>
    </row>
    <row r="3421" spans="23:23" x14ac:dyDescent="0.45">
      <c r="W3421" s="320"/>
    </row>
    <row r="3422" spans="23:23" x14ac:dyDescent="0.45">
      <c r="W3422" s="320"/>
    </row>
    <row r="3423" spans="23:23" x14ac:dyDescent="0.45">
      <c r="W3423" s="320"/>
    </row>
    <row r="3424" spans="23:23" x14ac:dyDescent="0.45">
      <c r="W3424" s="320"/>
    </row>
    <row r="3425" spans="23:23" x14ac:dyDescent="0.45">
      <c r="W3425" s="320"/>
    </row>
    <row r="3426" spans="23:23" x14ac:dyDescent="0.45">
      <c r="W3426" s="320"/>
    </row>
    <row r="3427" spans="23:23" x14ac:dyDescent="0.45">
      <c r="W3427" s="320"/>
    </row>
    <row r="3428" spans="23:23" x14ac:dyDescent="0.45">
      <c r="W3428" s="320"/>
    </row>
    <row r="3429" spans="23:23" x14ac:dyDescent="0.45">
      <c r="W3429" s="320"/>
    </row>
    <row r="3430" spans="23:23" x14ac:dyDescent="0.45">
      <c r="W3430" s="320"/>
    </row>
    <row r="3431" spans="23:23" x14ac:dyDescent="0.45">
      <c r="W3431" s="320"/>
    </row>
    <row r="3432" spans="23:23" x14ac:dyDescent="0.45">
      <c r="W3432" s="320"/>
    </row>
    <row r="3433" spans="23:23" x14ac:dyDescent="0.45">
      <c r="W3433" s="320"/>
    </row>
    <row r="3434" spans="23:23" x14ac:dyDescent="0.45">
      <c r="W3434" s="320"/>
    </row>
    <row r="3435" spans="23:23" x14ac:dyDescent="0.45">
      <c r="W3435" s="320"/>
    </row>
    <row r="3436" spans="23:23" x14ac:dyDescent="0.45">
      <c r="W3436" s="320"/>
    </row>
    <row r="3437" spans="23:23" x14ac:dyDescent="0.45">
      <c r="W3437" s="320"/>
    </row>
    <row r="3438" spans="23:23" x14ac:dyDescent="0.45">
      <c r="W3438" s="320"/>
    </row>
    <row r="3439" spans="23:23" x14ac:dyDescent="0.45">
      <c r="W3439" s="320"/>
    </row>
    <row r="3440" spans="23:23" x14ac:dyDescent="0.45">
      <c r="W3440" s="320"/>
    </row>
    <row r="3441" spans="23:23" x14ac:dyDescent="0.45">
      <c r="W3441" s="320"/>
    </row>
    <row r="3442" spans="23:23" x14ac:dyDescent="0.45">
      <c r="W3442" s="320"/>
    </row>
    <row r="3443" spans="23:23" x14ac:dyDescent="0.45">
      <c r="W3443" s="320"/>
    </row>
    <row r="3444" spans="23:23" x14ac:dyDescent="0.45">
      <c r="W3444" s="320"/>
    </row>
    <row r="3445" spans="23:23" x14ac:dyDescent="0.45">
      <c r="W3445" s="320"/>
    </row>
    <row r="3446" spans="23:23" x14ac:dyDescent="0.45">
      <c r="W3446" s="320"/>
    </row>
    <row r="3447" spans="23:23" x14ac:dyDescent="0.45">
      <c r="W3447" s="320"/>
    </row>
    <row r="3448" spans="23:23" x14ac:dyDescent="0.45">
      <c r="W3448" s="320"/>
    </row>
    <row r="3449" spans="23:23" x14ac:dyDescent="0.45">
      <c r="W3449" s="320"/>
    </row>
    <row r="3450" spans="23:23" x14ac:dyDescent="0.45">
      <c r="W3450" s="320"/>
    </row>
    <row r="3451" spans="23:23" x14ac:dyDescent="0.45">
      <c r="W3451" s="320"/>
    </row>
    <row r="3452" spans="23:23" x14ac:dyDescent="0.45">
      <c r="W3452" s="320"/>
    </row>
    <row r="3453" spans="23:23" x14ac:dyDescent="0.45">
      <c r="W3453" s="320"/>
    </row>
    <row r="3454" spans="23:23" x14ac:dyDescent="0.45">
      <c r="W3454" s="320"/>
    </row>
    <row r="3455" spans="23:23" x14ac:dyDescent="0.45">
      <c r="W3455" s="320"/>
    </row>
    <row r="3456" spans="23:23" x14ac:dyDescent="0.45">
      <c r="W3456" s="320"/>
    </row>
    <row r="3457" spans="23:23" x14ac:dyDescent="0.45">
      <c r="W3457" s="320"/>
    </row>
    <row r="3458" spans="23:23" x14ac:dyDescent="0.45">
      <c r="W3458" s="320"/>
    </row>
    <row r="3459" spans="23:23" x14ac:dyDescent="0.45">
      <c r="W3459" s="320"/>
    </row>
    <row r="3460" spans="23:23" x14ac:dyDescent="0.45">
      <c r="W3460" s="320"/>
    </row>
    <row r="3461" spans="23:23" x14ac:dyDescent="0.45">
      <c r="W3461" s="320"/>
    </row>
    <row r="3462" spans="23:23" x14ac:dyDescent="0.45">
      <c r="W3462" s="320"/>
    </row>
    <row r="3463" spans="23:23" x14ac:dyDescent="0.45">
      <c r="W3463" s="320"/>
    </row>
    <row r="3464" spans="23:23" x14ac:dyDescent="0.45">
      <c r="W3464" s="320"/>
    </row>
    <row r="3465" spans="23:23" x14ac:dyDescent="0.45">
      <c r="W3465" s="320"/>
    </row>
    <row r="3466" spans="23:23" x14ac:dyDescent="0.45">
      <c r="W3466" s="320"/>
    </row>
    <row r="3467" spans="23:23" x14ac:dyDescent="0.45">
      <c r="W3467" s="320"/>
    </row>
    <row r="3468" spans="23:23" x14ac:dyDescent="0.45">
      <c r="W3468" s="320"/>
    </row>
    <row r="3469" spans="23:23" x14ac:dyDescent="0.45">
      <c r="W3469" s="320"/>
    </row>
    <row r="3470" spans="23:23" x14ac:dyDescent="0.45">
      <c r="W3470" s="320"/>
    </row>
    <row r="3471" spans="23:23" x14ac:dyDescent="0.45">
      <c r="W3471" s="320"/>
    </row>
    <row r="3472" spans="23:23" x14ac:dyDescent="0.45">
      <c r="W3472" s="320"/>
    </row>
    <row r="3473" spans="23:23" x14ac:dyDescent="0.45">
      <c r="W3473" s="320"/>
    </row>
    <row r="3474" spans="23:23" x14ac:dyDescent="0.45">
      <c r="W3474" s="320"/>
    </row>
    <row r="3475" spans="23:23" x14ac:dyDescent="0.45">
      <c r="W3475" s="320"/>
    </row>
    <row r="3476" spans="23:23" x14ac:dyDescent="0.45">
      <c r="W3476" s="320"/>
    </row>
    <row r="3477" spans="23:23" x14ac:dyDescent="0.45">
      <c r="W3477" s="320"/>
    </row>
    <row r="3478" spans="23:23" x14ac:dyDescent="0.45">
      <c r="W3478" s="320"/>
    </row>
    <row r="3479" spans="23:23" x14ac:dyDescent="0.45">
      <c r="W3479" s="320"/>
    </row>
    <row r="3480" spans="23:23" x14ac:dyDescent="0.45">
      <c r="W3480" s="320"/>
    </row>
    <row r="3481" spans="23:23" x14ac:dyDescent="0.45">
      <c r="W3481" s="320"/>
    </row>
    <row r="3482" spans="23:23" x14ac:dyDescent="0.45">
      <c r="W3482" s="320"/>
    </row>
    <row r="3483" spans="23:23" x14ac:dyDescent="0.45">
      <c r="W3483" s="320"/>
    </row>
    <row r="3484" spans="23:23" x14ac:dyDescent="0.45">
      <c r="W3484" s="320"/>
    </row>
    <row r="3485" spans="23:23" x14ac:dyDescent="0.45">
      <c r="W3485" s="320"/>
    </row>
    <row r="3486" spans="23:23" x14ac:dyDescent="0.45">
      <c r="W3486" s="320"/>
    </row>
    <row r="3487" spans="23:23" x14ac:dyDescent="0.45">
      <c r="W3487" s="320"/>
    </row>
    <row r="3488" spans="23:23" x14ac:dyDescent="0.45">
      <c r="W3488" s="320"/>
    </row>
    <row r="3489" spans="23:23" x14ac:dyDescent="0.45">
      <c r="W3489" s="320"/>
    </row>
    <row r="3490" spans="23:23" x14ac:dyDescent="0.45">
      <c r="W3490" s="320"/>
    </row>
    <row r="3491" spans="23:23" x14ac:dyDescent="0.45">
      <c r="W3491" s="320"/>
    </row>
    <row r="3492" spans="23:23" x14ac:dyDescent="0.45">
      <c r="W3492" s="320"/>
    </row>
    <row r="3493" spans="23:23" x14ac:dyDescent="0.45">
      <c r="W3493" s="320"/>
    </row>
    <row r="3494" spans="23:23" x14ac:dyDescent="0.45">
      <c r="W3494" s="320"/>
    </row>
    <row r="3495" spans="23:23" x14ac:dyDescent="0.45">
      <c r="W3495" s="320"/>
    </row>
    <row r="3496" spans="23:23" x14ac:dyDescent="0.45">
      <c r="W3496" s="320"/>
    </row>
    <row r="3497" spans="23:23" x14ac:dyDescent="0.45">
      <c r="W3497" s="320"/>
    </row>
    <row r="3498" spans="23:23" x14ac:dyDescent="0.45">
      <c r="W3498" s="320"/>
    </row>
    <row r="3499" spans="23:23" x14ac:dyDescent="0.45">
      <c r="W3499" s="320"/>
    </row>
    <row r="3500" spans="23:23" x14ac:dyDescent="0.45">
      <c r="W3500" s="320"/>
    </row>
    <row r="3501" spans="23:23" x14ac:dyDescent="0.45">
      <c r="W3501" s="320"/>
    </row>
    <row r="3502" spans="23:23" x14ac:dyDescent="0.45">
      <c r="W3502" s="320"/>
    </row>
    <row r="3503" spans="23:23" x14ac:dyDescent="0.45">
      <c r="W3503" s="320"/>
    </row>
    <row r="3504" spans="23:23" x14ac:dyDescent="0.45">
      <c r="W3504" s="320"/>
    </row>
    <row r="3505" spans="23:23" x14ac:dyDescent="0.45">
      <c r="W3505" s="320"/>
    </row>
    <row r="3506" spans="23:23" x14ac:dyDescent="0.45">
      <c r="W3506" s="320"/>
    </row>
    <row r="3507" spans="23:23" x14ac:dyDescent="0.45">
      <c r="W3507" s="320"/>
    </row>
    <row r="3508" spans="23:23" x14ac:dyDescent="0.45">
      <c r="W3508" s="320"/>
    </row>
    <row r="3509" spans="23:23" x14ac:dyDescent="0.45">
      <c r="W3509" s="320"/>
    </row>
    <row r="3510" spans="23:23" x14ac:dyDescent="0.45">
      <c r="W3510" s="320"/>
    </row>
    <row r="3511" spans="23:23" x14ac:dyDescent="0.45">
      <c r="W3511" s="320"/>
    </row>
    <row r="3512" spans="23:23" x14ac:dyDescent="0.45">
      <c r="W3512" s="320"/>
    </row>
    <row r="3513" spans="23:23" x14ac:dyDescent="0.45">
      <c r="W3513" s="320"/>
    </row>
    <row r="3514" spans="23:23" x14ac:dyDescent="0.45">
      <c r="W3514" s="320"/>
    </row>
    <row r="3515" spans="23:23" x14ac:dyDescent="0.45">
      <c r="W3515" s="320"/>
    </row>
    <row r="3516" spans="23:23" x14ac:dyDescent="0.45">
      <c r="W3516" s="320"/>
    </row>
    <row r="3517" spans="23:23" x14ac:dyDescent="0.45">
      <c r="W3517" s="320"/>
    </row>
    <row r="3518" spans="23:23" x14ac:dyDescent="0.45">
      <c r="W3518" s="320"/>
    </row>
    <row r="3519" spans="23:23" x14ac:dyDescent="0.45">
      <c r="W3519" s="320"/>
    </row>
    <row r="3520" spans="23:23" x14ac:dyDescent="0.45">
      <c r="W3520" s="320"/>
    </row>
    <row r="3521" spans="23:23" x14ac:dyDescent="0.45">
      <c r="W3521" s="320"/>
    </row>
    <row r="3522" spans="23:23" x14ac:dyDescent="0.45">
      <c r="W3522" s="320"/>
    </row>
    <row r="3523" spans="23:23" x14ac:dyDescent="0.45">
      <c r="W3523" s="320"/>
    </row>
    <row r="3524" spans="23:23" x14ac:dyDescent="0.45">
      <c r="W3524" s="320"/>
    </row>
    <row r="3525" spans="23:23" x14ac:dyDescent="0.45">
      <c r="W3525" s="320"/>
    </row>
    <row r="3526" spans="23:23" x14ac:dyDescent="0.45">
      <c r="W3526" s="320"/>
    </row>
    <row r="3527" spans="23:23" x14ac:dyDescent="0.45">
      <c r="W3527" s="320"/>
    </row>
    <row r="3528" spans="23:23" x14ac:dyDescent="0.45">
      <c r="W3528" s="320"/>
    </row>
    <row r="3529" spans="23:23" x14ac:dyDescent="0.45">
      <c r="W3529" s="320"/>
    </row>
    <row r="3530" spans="23:23" x14ac:dyDescent="0.45">
      <c r="W3530" s="320"/>
    </row>
    <row r="3531" spans="23:23" x14ac:dyDescent="0.45">
      <c r="W3531" s="320"/>
    </row>
    <row r="3532" spans="23:23" x14ac:dyDescent="0.45">
      <c r="W3532" s="320"/>
    </row>
    <row r="3533" spans="23:23" x14ac:dyDescent="0.45">
      <c r="W3533" s="320"/>
    </row>
    <row r="3534" spans="23:23" x14ac:dyDescent="0.45">
      <c r="W3534" s="320"/>
    </row>
    <row r="3535" spans="23:23" x14ac:dyDescent="0.45">
      <c r="W3535" s="320"/>
    </row>
    <row r="3536" spans="23:23" x14ac:dyDescent="0.45">
      <c r="W3536" s="320"/>
    </row>
    <row r="3537" spans="23:23" x14ac:dyDescent="0.45">
      <c r="W3537" s="320"/>
    </row>
    <row r="3538" spans="23:23" x14ac:dyDescent="0.45">
      <c r="W3538" s="320"/>
    </row>
    <row r="3539" spans="23:23" x14ac:dyDescent="0.45">
      <c r="W3539" s="320"/>
    </row>
    <row r="3540" spans="23:23" x14ac:dyDescent="0.45">
      <c r="W3540" s="320"/>
    </row>
    <row r="3541" spans="23:23" x14ac:dyDescent="0.45">
      <c r="W3541" s="320"/>
    </row>
    <row r="3542" spans="23:23" x14ac:dyDescent="0.45">
      <c r="W3542" s="320"/>
    </row>
    <row r="3543" spans="23:23" x14ac:dyDescent="0.45">
      <c r="W3543" s="320"/>
    </row>
    <row r="3544" spans="23:23" x14ac:dyDescent="0.45">
      <c r="W3544" s="320"/>
    </row>
    <row r="3545" spans="23:23" x14ac:dyDescent="0.45">
      <c r="W3545" s="320"/>
    </row>
    <row r="3546" spans="23:23" x14ac:dyDescent="0.45">
      <c r="W3546" s="320"/>
    </row>
    <row r="3547" spans="23:23" x14ac:dyDescent="0.45">
      <c r="W3547" s="320"/>
    </row>
    <row r="3548" spans="23:23" x14ac:dyDescent="0.45">
      <c r="W3548" s="320"/>
    </row>
    <row r="3549" spans="23:23" x14ac:dyDescent="0.45">
      <c r="W3549" s="320"/>
    </row>
    <row r="3550" spans="23:23" x14ac:dyDescent="0.45">
      <c r="W3550" s="320"/>
    </row>
    <row r="3551" spans="23:23" x14ac:dyDescent="0.45">
      <c r="W3551" s="320"/>
    </row>
    <row r="3552" spans="23:23" x14ac:dyDescent="0.45">
      <c r="W3552" s="320"/>
    </row>
    <row r="3553" spans="23:23" x14ac:dyDescent="0.45">
      <c r="W3553" s="320"/>
    </row>
    <row r="3554" spans="23:23" x14ac:dyDescent="0.45">
      <c r="W3554" s="320"/>
    </row>
    <row r="3555" spans="23:23" x14ac:dyDescent="0.45">
      <c r="W3555" s="320"/>
    </row>
    <row r="3556" spans="23:23" x14ac:dyDescent="0.45">
      <c r="W3556" s="320"/>
    </row>
    <row r="3557" spans="23:23" x14ac:dyDescent="0.45">
      <c r="W3557" s="320"/>
    </row>
    <row r="3558" spans="23:23" x14ac:dyDescent="0.45">
      <c r="W3558" s="320"/>
    </row>
    <row r="3559" spans="23:23" x14ac:dyDescent="0.45">
      <c r="W3559" s="320"/>
    </row>
    <row r="3560" spans="23:23" x14ac:dyDescent="0.45">
      <c r="W3560" s="320"/>
    </row>
    <row r="3561" spans="23:23" x14ac:dyDescent="0.45">
      <c r="W3561" s="320"/>
    </row>
    <row r="3562" spans="23:23" x14ac:dyDescent="0.45">
      <c r="W3562" s="320"/>
    </row>
    <row r="3563" spans="23:23" x14ac:dyDescent="0.45">
      <c r="W3563" s="320"/>
    </row>
    <row r="3564" spans="23:23" x14ac:dyDescent="0.45">
      <c r="W3564" s="320"/>
    </row>
    <row r="3565" spans="23:23" x14ac:dyDescent="0.45">
      <c r="W3565" s="320"/>
    </row>
    <row r="3566" spans="23:23" x14ac:dyDescent="0.45">
      <c r="W3566" s="320"/>
    </row>
    <row r="3567" spans="23:23" x14ac:dyDescent="0.45">
      <c r="W3567" s="320"/>
    </row>
    <row r="3568" spans="23:23" x14ac:dyDescent="0.45">
      <c r="W3568" s="320"/>
    </row>
    <row r="3569" spans="23:23" x14ac:dyDescent="0.45">
      <c r="W3569" s="320"/>
    </row>
    <row r="3570" spans="23:23" x14ac:dyDescent="0.45">
      <c r="W3570" s="320"/>
    </row>
    <row r="3571" spans="23:23" x14ac:dyDescent="0.45">
      <c r="W3571" s="320"/>
    </row>
    <row r="3572" spans="23:23" x14ac:dyDescent="0.45">
      <c r="W3572" s="320"/>
    </row>
    <row r="3573" spans="23:23" x14ac:dyDescent="0.45">
      <c r="W3573" s="320"/>
    </row>
    <row r="3574" spans="23:23" x14ac:dyDescent="0.45">
      <c r="W3574" s="320"/>
    </row>
    <row r="3575" spans="23:23" x14ac:dyDescent="0.45">
      <c r="W3575" s="320"/>
    </row>
    <row r="3576" spans="23:23" x14ac:dyDescent="0.45">
      <c r="W3576" s="320"/>
    </row>
    <row r="3577" spans="23:23" x14ac:dyDescent="0.45">
      <c r="W3577" s="320"/>
    </row>
    <row r="3578" spans="23:23" x14ac:dyDescent="0.45">
      <c r="W3578" s="320"/>
    </row>
    <row r="3579" spans="23:23" x14ac:dyDescent="0.45">
      <c r="W3579" s="320"/>
    </row>
    <row r="3580" spans="23:23" x14ac:dyDescent="0.45">
      <c r="W3580" s="320"/>
    </row>
    <row r="3581" spans="23:23" x14ac:dyDescent="0.45">
      <c r="W3581" s="320"/>
    </row>
    <row r="3582" spans="23:23" x14ac:dyDescent="0.45">
      <c r="W3582" s="320"/>
    </row>
    <row r="3583" spans="23:23" x14ac:dyDescent="0.45">
      <c r="W3583" s="320"/>
    </row>
    <row r="3584" spans="23:23" x14ac:dyDescent="0.45">
      <c r="W3584" s="320"/>
    </row>
    <row r="3585" spans="23:23" x14ac:dyDescent="0.45">
      <c r="W3585" s="320"/>
    </row>
    <row r="3586" spans="23:23" x14ac:dyDescent="0.45">
      <c r="W3586" s="320"/>
    </row>
    <row r="3587" spans="23:23" x14ac:dyDescent="0.45">
      <c r="W3587" s="320"/>
    </row>
    <row r="3588" spans="23:23" x14ac:dyDescent="0.45">
      <c r="W3588" s="320"/>
    </row>
    <row r="3589" spans="23:23" x14ac:dyDescent="0.45">
      <c r="W3589" s="320"/>
    </row>
    <row r="3590" spans="23:23" x14ac:dyDescent="0.45">
      <c r="W3590" s="320"/>
    </row>
    <row r="3591" spans="23:23" x14ac:dyDescent="0.45">
      <c r="W3591" s="320"/>
    </row>
    <row r="3592" spans="23:23" x14ac:dyDescent="0.45">
      <c r="W3592" s="320"/>
    </row>
    <row r="3593" spans="23:23" x14ac:dyDescent="0.45">
      <c r="W3593" s="320"/>
    </row>
    <row r="3594" spans="23:23" x14ac:dyDescent="0.45">
      <c r="W3594" s="320"/>
    </row>
    <row r="3595" spans="23:23" x14ac:dyDescent="0.45">
      <c r="W3595" s="320"/>
    </row>
    <row r="3596" spans="23:23" x14ac:dyDescent="0.45">
      <c r="W3596" s="320"/>
    </row>
    <row r="3597" spans="23:23" x14ac:dyDescent="0.45">
      <c r="W3597" s="320"/>
    </row>
    <row r="3598" spans="23:23" x14ac:dyDescent="0.45">
      <c r="W3598" s="320"/>
    </row>
    <row r="3599" spans="23:23" x14ac:dyDescent="0.45">
      <c r="W3599" s="320"/>
    </row>
    <row r="3600" spans="23:23" x14ac:dyDescent="0.45">
      <c r="W3600" s="320"/>
    </row>
    <row r="3601" spans="23:23" x14ac:dyDescent="0.45">
      <c r="W3601" s="320"/>
    </row>
    <row r="3602" spans="23:23" x14ac:dyDescent="0.45">
      <c r="W3602" s="320"/>
    </row>
    <row r="3603" spans="23:23" x14ac:dyDescent="0.45">
      <c r="W3603" s="320"/>
    </row>
    <row r="3604" spans="23:23" x14ac:dyDescent="0.45">
      <c r="W3604" s="320"/>
    </row>
    <row r="3605" spans="23:23" x14ac:dyDescent="0.45">
      <c r="W3605" s="320"/>
    </row>
    <row r="3606" spans="23:23" x14ac:dyDescent="0.45">
      <c r="W3606" s="320"/>
    </row>
    <row r="3607" spans="23:23" x14ac:dyDescent="0.45">
      <c r="W3607" s="320"/>
    </row>
    <row r="3608" spans="23:23" x14ac:dyDescent="0.45">
      <c r="W3608" s="320"/>
    </row>
    <row r="3609" spans="23:23" x14ac:dyDescent="0.45">
      <c r="W3609" s="320"/>
    </row>
    <row r="3610" spans="23:23" x14ac:dyDescent="0.45">
      <c r="W3610" s="320"/>
    </row>
    <row r="3611" spans="23:23" x14ac:dyDescent="0.45">
      <c r="W3611" s="320"/>
    </row>
    <row r="3612" spans="23:23" x14ac:dyDescent="0.45">
      <c r="W3612" s="320"/>
    </row>
    <row r="3613" spans="23:23" x14ac:dyDescent="0.45">
      <c r="W3613" s="320"/>
    </row>
    <row r="3614" spans="23:23" x14ac:dyDescent="0.45">
      <c r="W3614" s="320"/>
    </row>
    <row r="3615" spans="23:23" x14ac:dyDescent="0.45">
      <c r="W3615" s="320"/>
    </row>
    <row r="3616" spans="23:23" x14ac:dyDescent="0.45">
      <c r="W3616" s="320"/>
    </row>
    <row r="3617" spans="23:23" x14ac:dyDescent="0.45">
      <c r="W3617" s="320"/>
    </row>
    <row r="3618" spans="23:23" x14ac:dyDescent="0.45">
      <c r="W3618" s="320"/>
    </row>
    <row r="3619" spans="23:23" x14ac:dyDescent="0.45">
      <c r="W3619" s="320"/>
    </row>
    <row r="3620" spans="23:23" x14ac:dyDescent="0.45">
      <c r="W3620" s="320"/>
    </row>
    <row r="3621" spans="23:23" x14ac:dyDescent="0.45">
      <c r="W3621" s="320"/>
    </row>
    <row r="3622" spans="23:23" x14ac:dyDescent="0.45">
      <c r="W3622" s="320"/>
    </row>
    <row r="3623" spans="23:23" x14ac:dyDescent="0.45">
      <c r="W3623" s="320"/>
    </row>
    <row r="3624" spans="23:23" x14ac:dyDescent="0.45">
      <c r="W3624" s="320"/>
    </row>
    <row r="3625" spans="23:23" x14ac:dyDescent="0.45">
      <c r="W3625" s="320"/>
    </row>
    <row r="3626" spans="23:23" x14ac:dyDescent="0.45">
      <c r="W3626" s="320"/>
    </row>
    <row r="3627" spans="23:23" x14ac:dyDescent="0.45">
      <c r="W3627" s="320"/>
    </row>
    <row r="3628" spans="23:23" x14ac:dyDescent="0.45">
      <c r="W3628" s="320"/>
    </row>
    <row r="3629" spans="23:23" x14ac:dyDescent="0.45">
      <c r="W3629" s="320"/>
    </row>
    <row r="3630" spans="23:23" x14ac:dyDescent="0.45">
      <c r="W3630" s="320"/>
    </row>
    <row r="3631" spans="23:23" x14ac:dyDescent="0.45">
      <c r="W3631" s="320"/>
    </row>
    <row r="3632" spans="23:23" x14ac:dyDescent="0.45">
      <c r="W3632" s="320"/>
    </row>
    <row r="3633" spans="23:23" x14ac:dyDescent="0.45">
      <c r="W3633" s="320"/>
    </row>
    <row r="3634" spans="23:23" x14ac:dyDescent="0.45">
      <c r="W3634" s="320"/>
    </row>
    <row r="3635" spans="23:23" x14ac:dyDescent="0.45">
      <c r="W3635" s="320"/>
    </row>
    <row r="3636" spans="23:23" x14ac:dyDescent="0.45">
      <c r="W3636" s="320"/>
    </row>
    <row r="3637" spans="23:23" x14ac:dyDescent="0.45">
      <c r="W3637" s="320"/>
    </row>
    <row r="3638" spans="23:23" x14ac:dyDescent="0.45">
      <c r="W3638" s="320"/>
    </row>
    <row r="3639" spans="23:23" x14ac:dyDescent="0.45">
      <c r="W3639" s="320"/>
    </row>
    <row r="3640" spans="23:23" x14ac:dyDescent="0.45">
      <c r="W3640" s="320"/>
    </row>
    <row r="3641" spans="23:23" x14ac:dyDescent="0.45">
      <c r="W3641" s="320"/>
    </row>
    <row r="3642" spans="23:23" x14ac:dyDescent="0.45">
      <c r="W3642" s="320"/>
    </row>
    <row r="3643" spans="23:23" x14ac:dyDescent="0.45">
      <c r="W3643" s="320"/>
    </row>
    <row r="3644" spans="23:23" x14ac:dyDescent="0.45">
      <c r="W3644" s="320"/>
    </row>
    <row r="3645" spans="23:23" x14ac:dyDescent="0.45">
      <c r="W3645" s="320"/>
    </row>
    <row r="3646" spans="23:23" x14ac:dyDescent="0.45">
      <c r="W3646" s="320"/>
    </row>
    <row r="3647" spans="23:23" x14ac:dyDescent="0.45">
      <c r="W3647" s="320"/>
    </row>
    <row r="3648" spans="23:23" x14ac:dyDescent="0.45">
      <c r="W3648" s="320"/>
    </row>
    <row r="3649" spans="23:23" x14ac:dyDescent="0.45">
      <c r="W3649" s="320"/>
    </row>
    <row r="3650" spans="23:23" x14ac:dyDescent="0.45">
      <c r="W3650" s="320"/>
    </row>
    <row r="3651" spans="23:23" x14ac:dyDescent="0.45">
      <c r="W3651" s="320"/>
    </row>
    <row r="3652" spans="23:23" x14ac:dyDescent="0.45">
      <c r="W3652" s="320"/>
    </row>
    <row r="3653" spans="23:23" x14ac:dyDescent="0.45">
      <c r="W3653" s="320"/>
    </row>
    <row r="3654" spans="23:23" x14ac:dyDescent="0.45">
      <c r="W3654" s="320"/>
    </row>
    <row r="3655" spans="23:23" x14ac:dyDescent="0.45">
      <c r="W3655" s="320"/>
    </row>
    <row r="3656" spans="23:23" x14ac:dyDescent="0.45">
      <c r="W3656" s="320"/>
    </row>
    <row r="3657" spans="23:23" x14ac:dyDescent="0.45">
      <c r="W3657" s="320"/>
    </row>
    <row r="3658" spans="23:23" x14ac:dyDescent="0.45">
      <c r="W3658" s="320"/>
    </row>
    <row r="3659" spans="23:23" x14ac:dyDescent="0.45">
      <c r="W3659" s="320"/>
    </row>
    <row r="3660" spans="23:23" x14ac:dyDescent="0.45">
      <c r="W3660" s="320"/>
    </row>
    <row r="3661" spans="23:23" x14ac:dyDescent="0.45">
      <c r="W3661" s="320"/>
    </row>
    <row r="3662" spans="23:23" x14ac:dyDescent="0.45">
      <c r="W3662" s="320"/>
    </row>
    <row r="3663" spans="23:23" x14ac:dyDescent="0.45">
      <c r="W3663" s="320"/>
    </row>
    <row r="3664" spans="23:23" x14ac:dyDescent="0.45">
      <c r="W3664" s="320"/>
    </row>
    <row r="3665" spans="23:23" x14ac:dyDescent="0.45">
      <c r="W3665" s="320"/>
    </row>
    <row r="3666" spans="23:23" x14ac:dyDescent="0.45">
      <c r="W3666" s="320"/>
    </row>
    <row r="3667" spans="23:23" x14ac:dyDescent="0.45">
      <c r="W3667" s="320"/>
    </row>
    <row r="3668" spans="23:23" x14ac:dyDescent="0.45">
      <c r="W3668" s="320"/>
    </row>
    <row r="3669" spans="23:23" x14ac:dyDescent="0.45">
      <c r="W3669" s="320"/>
    </row>
    <row r="3670" spans="23:23" x14ac:dyDescent="0.45">
      <c r="W3670" s="320"/>
    </row>
    <row r="3671" spans="23:23" x14ac:dyDescent="0.45">
      <c r="W3671" s="320"/>
    </row>
    <row r="3672" spans="23:23" x14ac:dyDescent="0.45">
      <c r="W3672" s="320"/>
    </row>
    <row r="3673" spans="23:23" x14ac:dyDescent="0.45">
      <c r="W3673" s="320"/>
    </row>
    <row r="3674" spans="23:23" x14ac:dyDescent="0.45">
      <c r="W3674" s="320"/>
    </row>
    <row r="3675" spans="23:23" x14ac:dyDescent="0.45">
      <c r="W3675" s="320"/>
    </row>
    <row r="3676" spans="23:23" x14ac:dyDescent="0.45">
      <c r="W3676" s="320"/>
    </row>
    <row r="3677" spans="23:23" x14ac:dyDescent="0.45">
      <c r="W3677" s="320"/>
    </row>
    <row r="3678" spans="23:23" x14ac:dyDescent="0.45">
      <c r="W3678" s="320"/>
    </row>
    <row r="3679" spans="23:23" x14ac:dyDescent="0.45">
      <c r="W3679" s="320"/>
    </row>
    <row r="3680" spans="23:23" x14ac:dyDescent="0.45">
      <c r="W3680" s="320"/>
    </row>
    <row r="3681" spans="23:23" x14ac:dyDescent="0.45">
      <c r="W3681" s="320"/>
    </row>
    <row r="3682" spans="23:23" x14ac:dyDescent="0.45">
      <c r="W3682" s="320"/>
    </row>
    <row r="3683" spans="23:23" x14ac:dyDescent="0.45">
      <c r="W3683" s="320"/>
    </row>
    <row r="3684" spans="23:23" x14ac:dyDescent="0.45">
      <c r="W3684" s="320"/>
    </row>
    <row r="3685" spans="23:23" x14ac:dyDescent="0.45">
      <c r="W3685" s="320"/>
    </row>
    <row r="3686" spans="23:23" x14ac:dyDescent="0.45">
      <c r="W3686" s="320"/>
    </row>
    <row r="3687" spans="23:23" x14ac:dyDescent="0.45">
      <c r="W3687" s="320"/>
    </row>
    <row r="3688" spans="23:23" x14ac:dyDescent="0.45">
      <c r="W3688" s="320"/>
    </row>
    <row r="3689" spans="23:23" x14ac:dyDescent="0.45">
      <c r="W3689" s="320"/>
    </row>
    <row r="3690" spans="23:23" x14ac:dyDescent="0.45">
      <c r="W3690" s="320"/>
    </row>
    <row r="3691" spans="23:23" x14ac:dyDescent="0.45">
      <c r="W3691" s="320"/>
    </row>
    <row r="3692" spans="23:23" x14ac:dyDescent="0.45">
      <c r="W3692" s="320"/>
    </row>
    <row r="3693" spans="23:23" x14ac:dyDescent="0.45">
      <c r="W3693" s="320"/>
    </row>
    <row r="3694" spans="23:23" x14ac:dyDescent="0.45">
      <c r="W3694" s="320"/>
    </row>
    <row r="3695" spans="23:23" x14ac:dyDescent="0.45">
      <c r="W3695" s="320"/>
    </row>
    <row r="3696" spans="23:23" x14ac:dyDescent="0.45">
      <c r="W3696" s="320"/>
    </row>
    <row r="3697" spans="23:23" x14ac:dyDescent="0.45">
      <c r="W3697" s="320"/>
    </row>
    <row r="3698" spans="23:23" x14ac:dyDescent="0.45">
      <c r="W3698" s="320"/>
    </row>
    <row r="3699" spans="23:23" x14ac:dyDescent="0.45">
      <c r="W3699" s="320"/>
    </row>
    <row r="3700" spans="23:23" x14ac:dyDescent="0.45">
      <c r="W3700" s="320"/>
    </row>
    <row r="3701" spans="23:23" x14ac:dyDescent="0.45">
      <c r="W3701" s="320"/>
    </row>
    <row r="3702" spans="23:23" x14ac:dyDescent="0.45">
      <c r="W3702" s="320"/>
    </row>
    <row r="3703" spans="23:23" x14ac:dyDescent="0.45">
      <c r="W3703" s="320"/>
    </row>
    <row r="3704" spans="23:23" x14ac:dyDescent="0.45">
      <c r="W3704" s="320"/>
    </row>
    <row r="3705" spans="23:23" x14ac:dyDescent="0.45">
      <c r="W3705" s="320"/>
    </row>
    <row r="3706" spans="23:23" x14ac:dyDescent="0.45">
      <c r="W3706" s="320"/>
    </row>
    <row r="3707" spans="23:23" x14ac:dyDescent="0.45">
      <c r="W3707" s="320"/>
    </row>
    <row r="3708" spans="23:23" x14ac:dyDescent="0.45">
      <c r="W3708" s="320"/>
    </row>
    <row r="3709" spans="23:23" x14ac:dyDescent="0.45">
      <c r="W3709" s="320"/>
    </row>
    <row r="3710" spans="23:23" x14ac:dyDescent="0.45">
      <c r="W3710" s="320"/>
    </row>
    <row r="3711" spans="23:23" x14ac:dyDescent="0.45">
      <c r="W3711" s="320"/>
    </row>
    <row r="3712" spans="23:23" x14ac:dyDescent="0.45">
      <c r="W3712" s="320"/>
    </row>
    <row r="3713" spans="23:23" x14ac:dyDescent="0.45">
      <c r="W3713" s="320"/>
    </row>
    <row r="3714" spans="23:23" x14ac:dyDescent="0.45">
      <c r="W3714" s="320"/>
    </row>
    <row r="3715" spans="23:23" x14ac:dyDescent="0.45">
      <c r="W3715" s="320"/>
    </row>
    <row r="3716" spans="23:23" x14ac:dyDescent="0.45">
      <c r="W3716" s="320"/>
    </row>
    <row r="3717" spans="23:23" x14ac:dyDescent="0.45">
      <c r="W3717" s="320"/>
    </row>
    <row r="3718" spans="23:23" x14ac:dyDescent="0.45">
      <c r="W3718" s="320"/>
    </row>
    <row r="3719" spans="23:23" x14ac:dyDescent="0.45">
      <c r="W3719" s="320"/>
    </row>
    <row r="3720" spans="23:23" x14ac:dyDescent="0.45">
      <c r="W3720" s="320"/>
    </row>
    <row r="3721" spans="23:23" x14ac:dyDescent="0.45">
      <c r="W3721" s="320"/>
    </row>
    <row r="3722" spans="23:23" x14ac:dyDescent="0.45">
      <c r="W3722" s="320"/>
    </row>
    <row r="3723" spans="23:23" x14ac:dyDescent="0.45">
      <c r="W3723" s="320"/>
    </row>
    <row r="3724" spans="23:23" x14ac:dyDescent="0.45">
      <c r="W3724" s="320"/>
    </row>
    <row r="3725" spans="23:23" x14ac:dyDescent="0.45">
      <c r="W3725" s="320"/>
    </row>
    <row r="3726" spans="23:23" x14ac:dyDescent="0.45">
      <c r="W3726" s="320"/>
    </row>
    <row r="3727" spans="23:23" x14ac:dyDescent="0.45">
      <c r="W3727" s="320"/>
    </row>
    <row r="3728" spans="23:23" x14ac:dyDescent="0.45">
      <c r="W3728" s="320"/>
    </row>
    <row r="3729" spans="23:23" x14ac:dyDescent="0.45">
      <c r="W3729" s="320"/>
    </row>
    <row r="3730" spans="23:23" x14ac:dyDescent="0.45">
      <c r="W3730" s="320"/>
    </row>
    <row r="3731" spans="23:23" x14ac:dyDescent="0.45">
      <c r="W3731" s="320"/>
    </row>
    <row r="3732" spans="23:23" x14ac:dyDescent="0.45">
      <c r="W3732" s="320"/>
    </row>
    <row r="3733" spans="23:23" x14ac:dyDescent="0.45">
      <c r="W3733" s="320"/>
    </row>
    <row r="3734" spans="23:23" x14ac:dyDescent="0.45">
      <c r="W3734" s="320"/>
    </row>
    <row r="3735" spans="23:23" x14ac:dyDescent="0.45">
      <c r="W3735" s="320"/>
    </row>
    <row r="3736" spans="23:23" x14ac:dyDescent="0.45">
      <c r="W3736" s="320"/>
    </row>
    <row r="3737" spans="23:23" x14ac:dyDescent="0.45">
      <c r="W3737" s="320"/>
    </row>
    <row r="3738" spans="23:23" x14ac:dyDescent="0.45">
      <c r="W3738" s="320"/>
    </row>
    <row r="3739" spans="23:23" x14ac:dyDescent="0.45">
      <c r="W3739" s="320"/>
    </row>
    <row r="3740" spans="23:23" x14ac:dyDescent="0.45">
      <c r="W3740" s="320"/>
    </row>
    <row r="3741" spans="23:23" x14ac:dyDescent="0.45">
      <c r="W3741" s="320"/>
    </row>
    <row r="3742" spans="23:23" x14ac:dyDescent="0.45">
      <c r="W3742" s="320"/>
    </row>
    <row r="3743" spans="23:23" x14ac:dyDescent="0.45">
      <c r="W3743" s="320"/>
    </row>
    <row r="3744" spans="23:23" x14ac:dyDescent="0.45">
      <c r="W3744" s="320"/>
    </row>
    <row r="3745" spans="23:23" x14ac:dyDescent="0.45">
      <c r="W3745" s="320"/>
    </row>
    <row r="3746" spans="23:23" x14ac:dyDescent="0.45">
      <c r="W3746" s="320"/>
    </row>
    <row r="3747" spans="23:23" x14ac:dyDescent="0.45">
      <c r="W3747" s="320"/>
    </row>
    <row r="3748" spans="23:23" x14ac:dyDescent="0.45">
      <c r="W3748" s="320"/>
    </row>
    <row r="3749" spans="23:23" x14ac:dyDescent="0.45">
      <c r="W3749" s="320"/>
    </row>
    <row r="3750" spans="23:23" x14ac:dyDescent="0.45">
      <c r="W3750" s="320"/>
    </row>
    <row r="3751" spans="23:23" x14ac:dyDescent="0.45">
      <c r="W3751" s="320"/>
    </row>
    <row r="3752" spans="23:23" x14ac:dyDescent="0.45">
      <c r="W3752" s="320"/>
    </row>
    <row r="3753" spans="23:23" x14ac:dyDescent="0.45">
      <c r="W3753" s="320"/>
    </row>
    <row r="3754" spans="23:23" x14ac:dyDescent="0.45">
      <c r="W3754" s="320"/>
    </row>
    <row r="3755" spans="23:23" x14ac:dyDescent="0.45">
      <c r="W3755" s="320"/>
    </row>
    <row r="3756" spans="23:23" x14ac:dyDescent="0.45">
      <c r="W3756" s="320"/>
    </row>
    <row r="3757" spans="23:23" x14ac:dyDescent="0.45">
      <c r="W3757" s="320"/>
    </row>
    <row r="3758" spans="23:23" x14ac:dyDescent="0.45">
      <c r="W3758" s="320"/>
    </row>
    <row r="3759" spans="23:23" x14ac:dyDescent="0.45">
      <c r="W3759" s="320"/>
    </row>
    <row r="3760" spans="23:23" x14ac:dyDescent="0.45">
      <c r="W3760" s="320"/>
    </row>
    <row r="3761" spans="23:23" x14ac:dyDescent="0.45">
      <c r="W3761" s="320"/>
    </row>
    <row r="3762" spans="23:23" x14ac:dyDescent="0.45">
      <c r="W3762" s="320"/>
    </row>
    <row r="3763" spans="23:23" x14ac:dyDescent="0.45">
      <c r="W3763" s="320"/>
    </row>
    <row r="3764" spans="23:23" x14ac:dyDescent="0.45">
      <c r="W3764" s="320"/>
    </row>
    <row r="3765" spans="23:23" x14ac:dyDescent="0.45">
      <c r="W3765" s="320"/>
    </row>
    <row r="3766" spans="23:23" x14ac:dyDescent="0.45">
      <c r="W3766" s="320"/>
    </row>
    <row r="3767" spans="23:23" x14ac:dyDescent="0.45">
      <c r="W3767" s="320"/>
    </row>
    <row r="3768" spans="23:23" x14ac:dyDescent="0.45">
      <c r="W3768" s="320"/>
    </row>
    <row r="3769" spans="23:23" x14ac:dyDescent="0.45">
      <c r="W3769" s="320"/>
    </row>
    <row r="3770" spans="23:23" x14ac:dyDescent="0.45">
      <c r="W3770" s="320"/>
    </row>
    <row r="3771" spans="23:23" x14ac:dyDescent="0.45">
      <c r="W3771" s="320"/>
    </row>
    <row r="3772" spans="23:23" x14ac:dyDescent="0.45">
      <c r="W3772" s="320"/>
    </row>
    <row r="3773" spans="23:23" x14ac:dyDescent="0.45">
      <c r="W3773" s="320"/>
    </row>
    <row r="3774" spans="23:23" x14ac:dyDescent="0.45">
      <c r="W3774" s="320"/>
    </row>
    <row r="3775" spans="23:23" x14ac:dyDescent="0.45">
      <c r="W3775" s="320"/>
    </row>
    <row r="3776" spans="23:23" x14ac:dyDescent="0.45">
      <c r="W3776" s="320"/>
    </row>
    <row r="3777" spans="23:23" x14ac:dyDescent="0.45">
      <c r="W3777" s="320"/>
    </row>
    <row r="3778" spans="23:23" x14ac:dyDescent="0.45">
      <c r="W3778" s="320"/>
    </row>
    <row r="3779" spans="23:23" x14ac:dyDescent="0.45">
      <c r="W3779" s="320"/>
    </row>
    <row r="3780" spans="23:23" x14ac:dyDescent="0.45">
      <c r="W3780" s="320"/>
    </row>
    <row r="3781" spans="23:23" x14ac:dyDescent="0.45">
      <c r="W3781" s="320"/>
    </row>
    <row r="3782" spans="23:23" x14ac:dyDescent="0.45">
      <c r="W3782" s="320"/>
    </row>
    <row r="3783" spans="23:23" x14ac:dyDescent="0.45">
      <c r="W3783" s="320"/>
    </row>
    <row r="3784" spans="23:23" x14ac:dyDescent="0.45">
      <c r="W3784" s="320"/>
    </row>
    <row r="3785" spans="23:23" x14ac:dyDescent="0.45">
      <c r="W3785" s="320"/>
    </row>
    <row r="3786" spans="23:23" x14ac:dyDescent="0.45">
      <c r="W3786" s="320"/>
    </row>
    <row r="3787" spans="23:23" x14ac:dyDescent="0.45">
      <c r="W3787" s="320"/>
    </row>
    <row r="3788" spans="23:23" x14ac:dyDescent="0.45">
      <c r="W3788" s="320"/>
    </row>
    <row r="3789" spans="23:23" x14ac:dyDescent="0.45">
      <c r="W3789" s="320"/>
    </row>
    <row r="3790" spans="23:23" x14ac:dyDescent="0.45">
      <c r="W3790" s="320"/>
    </row>
    <row r="3791" spans="23:23" x14ac:dyDescent="0.45">
      <c r="W3791" s="320"/>
    </row>
    <row r="3792" spans="23:23" x14ac:dyDescent="0.45">
      <c r="W3792" s="320"/>
    </row>
    <row r="3793" spans="23:23" x14ac:dyDescent="0.45">
      <c r="W3793" s="320"/>
    </row>
    <row r="3794" spans="23:23" x14ac:dyDescent="0.45">
      <c r="W3794" s="320"/>
    </row>
    <row r="3795" spans="23:23" x14ac:dyDescent="0.45">
      <c r="W3795" s="320"/>
    </row>
    <row r="3796" spans="23:23" x14ac:dyDescent="0.45">
      <c r="W3796" s="320"/>
    </row>
    <row r="3797" spans="23:23" x14ac:dyDescent="0.45">
      <c r="W3797" s="320"/>
    </row>
    <row r="3798" spans="23:23" x14ac:dyDescent="0.45">
      <c r="W3798" s="320"/>
    </row>
    <row r="3799" spans="23:23" x14ac:dyDescent="0.45">
      <c r="W3799" s="320"/>
    </row>
    <row r="3800" spans="23:23" x14ac:dyDescent="0.45">
      <c r="W3800" s="320"/>
    </row>
    <row r="3801" spans="23:23" x14ac:dyDescent="0.45">
      <c r="W3801" s="320"/>
    </row>
    <row r="3802" spans="23:23" x14ac:dyDescent="0.45">
      <c r="W3802" s="320"/>
    </row>
    <row r="3803" spans="23:23" x14ac:dyDescent="0.45">
      <c r="W3803" s="320"/>
    </row>
    <row r="3804" spans="23:23" x14ac:dyDescent="0.45">
      <c r="W3804" s="320"/>
    </row>
    <row r="3805" spans="23:23" x14ac:dyDescent="0.45">
      <c r="W3805" s="320"/>
    </row>
    <row r="3806" spans="23:23" x14ac:dyDescent="0.45">
      <c r="W3806" s="320"/>
    </row>
    <row r="3807" spans="23:23" x14ac:dyDescent="0.45">
      <c r="W3807" s="320"/>
    </row>
    <row r="3808" spans="23:23" x14ac:dyDescent="0.45">
      <c r="W3808" s="320"/>
    </row>
    <row r="3809" spans="23:23" x14ac:dyDescent="0.45">
      <c r="W3809" s="320"/>
    </row>
    <row r="3810" spans="23:23" x14ac:dyDescent="0.45">
      <c r="W3810" s="320"/>
    </row>
    <row r="3811" spans="23:23" x14ac:dyDescent="0.45">
      <c r="W3811" s="320"/>
    </row>
    <row r="3812" spans="23:23" x14ac:dyDescent="0.45">
      <c r="W3812" s="320"/>
    </row>
    <row r="3813" spans="23:23" x14ac:dyDescent="0.45">
      <c r="W3813" s="320"/>
    </row>
    <row r="3814" spans="23:23" x14ac:dyDescent="0.45">
      <c r="W3814" s="320"/>
    </row>
    <row r="3815" spans="23:23" x14ac:dyDescent="0.45">
      <c r="W3815" s="320"/>
    </row>
    <row r="3816" spans="23:23" x14ac:dyDescent="0.45">
      <c r="W3816" s="320"/>
    </row>
    <row r="3817" spans="23:23" x14ac:dyDescent="0.45">
      <c r="W3817" s="320"/>
    </row>
    <row r="3818" spans="23:23" x14ac:dyDescent="0.45">
      <c r="W3818" s="320"/>
    </row>
    <row r="3819" spans="23:23" x14ac:dyDescent="0.45">
      <c r="W3819" s="320"/>
    </row>
    <row r="3820" spans="23:23" x14ac:dyDescent="0.45">
      <c r="W3820" s="320"/>
    </row>
    <row r="3821" spans="23:23" x14ac:dyDescent="0.45">
      <c r="W3821" s="320"/>
    </row>
    <row r="3822" spans="23:23" x14ac:dyDescent="0.45">
      <c r="W3822" s="320"/>
    </row>
    <row r="3823" spans="23:23" x14ac:dyDescent="0.45">
      <c r="W3823" s="320"/>
    </row>
    <row r="3824" spans="23:23" x14ac:dyDescent="0.45">
      <c r="W3824" s="320"/>
    </row>
    <row r="3825" spans="23:23" x14ac:dyDescent="0.45">
      <c r="W3825" s="320"/>
    </row>
    <row r="3826" spans="23:23" x14ac:dyDescent="0.45">
      <c r="W3826" s="320"/>
    </row>
    <row r="3827" spans="23:23" x14ac:dyDescent="0.45">
      <c r="W3827" s="320"/>
    </row>
    <row r="3828" spans="23:23" x14ac:dyDescent="0.45">
      <c r="W3828" s="320"/>
    </row>
    <row r="3829" spans="23:23" x14ac:dyDescent="0.45">
      <c r="W3829" s="320"/>
    </row>
    <row r="3830" spans="23:23" x14ac:dyDescent="0.45">
      <c r="W3830" s="320"/>
    </row>
    <row r="3831" spans="23:23" x14ac:dyDescent="0.45">
      <c r="W3831" s="320"/>
    </row>
    <row r="3832" spans="23:23" x14ac:dyDescent="0.45">
      <c r="W3832" s="320"/>
    </row>
    <row r="3833" spans="23:23" x14ac:dyDescent="0.45">
      <c r="W3833" s="320"/>
    </row>
    <row r="3834" spans="23:23" x14ac:dyDescent="0.45">
      <c r="W3834" s="320"/>
    </row>
    <row r="3835" spans="23:23" x14ac:dyDescent="0.45">
      <c r="W3835" s="320"/>
    </row>
    <row r="3836" spans="23:23" x14ac:dyDescent="0.45">
      <c r="W3836" s="320"/>
    </row>
    <row r="3837" spans="23:23" x14ac:dyDescent="0.45">
      <c r="W3837" s="320"/>
    </row>
    <row r="3838" spans="23:23" x14ac:dyDescent="0.45">
      <c r="W3838" s="320"/>
    </row>
    <row r="3839" spans="23:23" x14ac:dyDescent="0.45">
      <c r="W3839" s="320"/>
    </row>
    <row r="3840" spans="23:23" x14ac:dyDescent="0.45">
      <c r="W3840" s="320"/>
    </row>
    <row r="3841" spans="23:23" x14ac:dyDescent="0.45">
      <c r="W3841" s="320"/>
    </row>
    <row r="3842" spans="23:23" x14ac:dyDescent="0.45">
      <c r="W3842" s="320"/>
    </row>
    <row r="3843" spans="23:23" x14ac:dyDescent="0.45">
      <c r="W3843" s="320"/>
    </row>
    <row r="3844" spans="23:23" x14ac:dyDescent="0.45">
      <c r="W3844" s="320"/>
    </row>
    <row r="3845" spans="23:23" x14ac:dyDescent="0.45">
      <c r="W3845" s="320"/>
    </row>
    <row r="3846" spans="23:23" x14ac:dyDescent="0.45">
      <c r="W3846" s="320"/>
    </row>
    <row r="3847" spans="23:23" x14ac:dyDescent="0.45">
      <c r="W3847" s="320"/>
    </row>
    <row r="3848" spans="23:23" x14ac:dyDescent="0.45">
      <c r="W3848" s="320"/>
    </row>
    <row r="3849" spans="23:23" x14ac:dyDescent="0.45">
      <c r="W3849" s="320"/>
    </row>
    <row r="3850" spans="23:23" x14ac:dyDescent="0.45">
      <c r="W3850" s="320"/>
    </row>
    <row r="3851" spans="23:23" x14ac:dyDescent="0.45">
      <c r="W3851" s="320"/>
    </row>
    <row r="3852" spans="23:23" x14ac:dyDescent="0.45">
      <c r="W3852" s="320"/>
    </row>
    <row r="3853" spans="23:23" x14ac:dyDescent="0.45">
      <c r="W3853" s="320"/>
    </row>
    <row r="3854" spans="23:23" x14ac:dyDescent="0.45">
      <c r="W3854" s="320"/>
    </row>
    <row r="3855" spans="23:23" x14ac:dyDescent="0.45">
      <c r="W3855" s="320"/>
    </row>
    <row r="3856" spans="23:23" x14ac:dyDescent="0.45">
      <c r="W3856" s="320"/>
    </row>
    <row r="3857" spans="23:23" x14ac:dyDescent="0.45">
      <c r="W3857" s="320"/>
    </row>
    <row r="3858" spans="23:23" x14ac:dyDescent="0.45">
      <c r="W3858" s="320"/>
    </row>
    <row r="3859" spans="23:23" x14ac:dyDescent="0.45">
      <c r="W3859" s="320"/>
    </row>
    <row r="3860" spans="23:23" x14ac:dyDescent="0.45">
      <c r="W3860" s="320"/>
    </row>
    <row r="3861" spans="23:23" x14ac:dyDescent="0.45">
      <c r="W3861" s="320"/>
    </row>
    <row r="3862" spans="23:23" x14ac:dyDescent="0.45">
      <c r="W3862" s="320"/>
    </row>
    <row r="3863" spans="23:23" x14ac:dyDescent="0.45">
      <c r="W3863" s="320"/>
    </row>
    <row r="3864" spans="23:23" x14ac:dyDescent="0.45">
      <c r="W3864" s="320"/>
    </row>
    <row r="3865" spans="23:23" x14ac:dyDescent="0.45">
      <c r="W3865" s="320"/>
    </row>
    <row r="3866" spans="23:23" x14ac:dyDescent="0.45">
      <c r="W3866" s="320"/>
    </row>
    <row r="3867" spans="23:23" x14ac:dyDescent="0.45">
      <c r="W3867" s="320"/>
    </row>
    <row r="3868" spans="23:23" x14ac:dyDescent="0.45">
      <c r="W3868" s="320"/>
    </row>
    <row r="3869" spans="23:23" x14ac:dyDescent="0.45">
      <c r="W3869" s="320"/>
    </row>
    <row r="3870" spans="23:23" x14ac:dyDescent="0.45">
      <c r="W3870" s="320"/>
    </row>
    <row r="3871" spans="23:23" x14ac:dyDescent="0.45">
      <c r="W3871" s="320"/>
    </row>
    <row r="3872" spans="23:23" x14ac:dyDescent="0.45">
      <c r="W3872" s="320"/>
    </row>
    <row r="3873" spans="23:23" x14ac:dyDescent="0.45">
      <c r="W3873" s="320"/>
    </row>
    <row r="3874" spans="23:23" x14ac:dyDescent="0.45">
      <c r="W3874" s="320"/>
    </row>
    <row r="3875" spans="23:23" x14ac:dyDescent="0.45">
      <c r="W3875" s="320"/>
    </row>
    <row r="3876" spans="23:23" x14ac:dyDescent="0.45">
      <c r="W3876" s="320"/>
    </row>
    <row r="3877" spans="23:23" x14ac:dyDescent="0.45">
      <c r="W3877" s="320"/>
    </row>
    <row r="3878" spans="23:23" x14ac:dyDescent="0.45">
      <c r="W3878" s="320"/>
    </row>
    <row r="3879" spans="23:23" x14ac:dyDescent="0.45">
      <c r="W3879" s="320"/>
    </row>
    <row r="3880" spans="23:23" x14ac:dyDescent="0.45">
      <c r="W3880" s="320"/>
    </row>
    <row r="3881" spans="23:23" x14ac:dyDescent="0.45">
      <c r="W3881" s="320"/>
    </row>
    <row r="3882" spans="23:23" x14ac:dyDescent="0.45">
      <c r="W3882" s="320"/>
    </row>
    <row r="3883" spans="23:23" x14ac:dyDescent="0.45">
      <c r="W3883" s="320"/>
    </row>
    <row r="3884" spans="23:23" x14ac:dyDescent="0.45">
      <c r="W3884" s="320"/>
    </row>
    <row r="3885" spans="23:23" x14ac:dyDescent="0.45">
      <c r="W3885" s="320"/>
    </row>
    <row r="3886" spans="23:23" x14ac:dyDescent="0.45">
      <c r="W3886" s="320"/>
    </row>
    <row r="3887" spans="23:23" x14ac:dyDescent="0.45">
      <c r="W3887" s="320"/>
    </row>
    <row r="3888" spans="23:23" x14ac:dyDescent="0.45">
      <c r="W3888" s="320"/>
    </row>
    <row r="3889" spans="23:23" x14ac:dyDescent="0.45">
      <c r="W3889" s="320"/>
    </row>
    <row r="3890" spans="23:23" x14ac:dyDescent="0.45">
      <c r="W3890" s="320"/>
    </row>
    <row r="3891" spans="23:23" x14ac:dyDescent="0.45">
      <c r="W3891" s="320"/>
    </row>
    <row r="3892" spans="23:23" x14ac:dyDescent="0.45">
      <c r="W3892" s="320"/>
    </row>
    <row r="3893" spans="23:23" x14ac:dyDescent="0.45">
      <c r="W3893" s="320"/>
    </row>
    <row r="3894" spans="23:23" x14ac:dyDescent="0.45">
      <c r="W3894" s="320"/>
    </row>
    <row r="3895" spans="23:23" x14ac:dyDescent="0.45">
      <c r="W3895" s="320"/>
    </row>
    <row r="3896" spans="23:23" x14ac:dyDescent="0.45">
      <c r="W3896" s="320"/>
    </row>
    <row r="3897" spans="23:23" x14ac:dyDescent="0.45">
      <c r="W3897" s="320"/>
    </row>
    <row r="3898" spans="23:23" x14ac:dyDescent="0.45">
      <c r="W3898" s="320"/>
    </row>
    <row r="3899" spans="23:23" x14ac:dyDescent="0.45">
      <c r="W3899" s="320"/>
    </row>
    <row r="3900" spans="23:23" x14ac:dyDescent="0.45">
      <c r="W3900" s="320"/>
    </row>
    <row r="3901" spans="23:23" x14ac:dyDescent="0.45">
      <c r="W3901" s="320"/>
    </row>
    <row r="3902" spans="23:23" x14ac:dyDescent="0.45">
      <c r="W3902" s="320"/>
    </row>
    <row r="3903" spans="23:23" x14ac:dyDescent="0.45">
      <c r="W3903" s="320"/>
    </row>
    <row r="3904" spans="23:23" x14ac:dyDescent="0.45">
      <c r="W3904" s="320"/>
    </row>
    <row r="3905" spans="23:23" x14ac:dyDescent="0.45">
      <c r="W3905" s="320"/>
    </row>
    <row r="3906" spans="23:23" x14ac:dyDescent="0.45">
      <c r="W3906" s="320"/>
    </row>
    <row r="3907" spans="23:23" x14ac:dyDescent="0.45">
      <c r="W3907" s="320"/>
    </row>
    <row r="3908" spans="23:23" x14ac:dyDescent="0.45">
      <c r="W3908" s="320"/>
    </row>
    <row r="3909" spans="23:23" x14ac:dyDescent="0.45">
      <c r="W3909" s="320"/>
    </row>
    <row r="3910" spans="23:23" x14ac:dyDescent="0.45">
      <c r="W3910" s="320"/>
    </row>
    <row r="3911" spans="23:23" x14ac:dyDescent="0.45">
      <c r="W3911" s="320"/>
    </row>
    <row r="3912" spans="23:23" x14ac:dyDescent="0.45">
      <c r="W3912" s="320"/>
    </row>
    <row r="3913" spans="23:23" x14ac:dyDescent="0.45">
      <c r="W3913" s="320"/>
    </row>
    <row r="3914" spans="23:23" x14ac:dyDescent="0.45">
      <c r="W3914" s="320"/>
    </row>
    <row r="3915" spans="23:23" x14ac:dyDescent="0.45">
      <c r="W3915" s="320"/>
    </row>
    <row r="3916" spans="23:23" x14ac:dyDescent="0.45">
      <c r="W3916" s="320"/>
    </row>
    <row r="3917" spans="23:23" x14ac:dyDescent="0.45">
      <c r="W3917" s="320"/>
    </row>
    <row r="3918" spans="23:23" x14ac:dyDescent="0.45">
      <c r="W3918" s="320"/>
    </row>
    <row r="3919" spans="23:23" x14ac:dyDescent="0.45">
      <c r="W3919" s="320"/>
    </row>
    <row r="3920" spans="23:23" x14ac:dyDescent="0.45">
      <c r="W3920" s="320"/>
    </row>
    <row r="3921" spans="23:23" x14ac:dyDescent="0.45">
      <c r="W3921" s="320"/>
    </row>
    <row r="3922" spans="23:23" x14ac:dyDescent="0.45">
      <c r="W3922" s="320"/>
    </row>
    <row r="3923" spans="23:23" x14ac:dyDescent="0.45">
      <c r="W3923" s="320"/>
    </row>
    <row r="3924" spans="23:23" x14ac:dyDescent="0.45">
      <c r="W3924" s="320"/>
    </row>
    <row r="3925" spans="23:23" x14ac:dyDescent="0.45">
      <c r="W3925" s="320"/>
    </row>
    <row r="3926" spans="23:23" x14ac:dyDescent="0.45">
      <c r="W3926" s="320"/>
    </row>
    <row r="3927" spans="23:23" x14ac:dyDescent="0.45">
      <c r="W3927" s="320"/>
    </row>
    <row r="3928" spans="23:23" x14ac:dyDescent="0.45">
      <c r="W3928" s="320"/>
    </row>
    <row r="3929" spans="23:23" x14ac:dyDescent="0.45">
      <c r="W3929" s="320"/>
    </row>
    <row r="3930" spans="23:23" x14ac:dyDescent="0.45">
      <c r="W3930" s="320"/>
    </row>
    <row r="3931" spans="23:23" x14ac:dyDescent="0.45">
      <c r="W3931" s="320"/>
    </row>
    <row r="3932" spans="23:23" x14ac:dyDescent="0.45">
      <c r="W3932" s="320"/>
    </row>
    <row r="3933" spans="23:23" x14ac:dyDescent="0.45">
      <c r="W3933" s="320"/>
    </row>
    <row r="3934" spans="23:23" x14ac:dyDescent="0.45">
      <c r="W3934" s="320"/>
    </row>
    <row r="3935" spans="23:23" x14ac:dyDescent="0.45">
      <c r="W3935" s="320"/>
    </row>
    <row r="3936" spans="23:23" x14ac:dyDescent="0.45">
      <c r="W3936" s="320"/>
    </row>
    <row r="3937" spans="23:23" x14ac:dyDescent="0.45">
      <c r="W3937" s="320"/>
    </row>
    <row r="3938" spans="23:23" x14ac:dyDescent="0.45">
      <c r="W3938" s="320"/>
    </row>
    <row r="3939" spans="23:23" x14ac:dyDescent="0.45">
      <c r="W3939" s="320"/>
    </row>
    <row r="3940" spans="23:23" x14ac:dyDescent="0.45">
      <c r="W3940" s="320"/>
    </row>
    <row r="3941" spans="23:23" x14ac:dyDescent="0.45">
      <c r="W3941" s="320"/>
    </row>
    <row r="3942" spans="23:23" x14ac:dyDescent="0.45">
      <c r="W3942" s="320"/>
    </row>
    <row r="3943" spans="23:23" x14ac:dyDescent="0.45">
      <c r="W3943" s="320"/>
    </row>
    <row r="3944" spans="23:23" x14ac:dyDescent="0.45">
      <c r="W3944" s="320"/>
    </row>
    <row r="3945" spans="23:23" x14ac:dyDescent="0.45">
      <c r="W3945" s="320"/>
    </row>
    <row r="3946" spans="23:23" x14ac:dyDescent="0.45">
      <c r="W3946" s="320"/>
    </row>
    <row r="3947" spans="23:23" x14ac:dyDescent="0.45">
      <c r="W3947" s="320"/>
    </row>
    <row r="3948" spans="23:23" x14ac:dyDescent="0.45">
      <c r="W3948" s="320"/>
    </row>
    <row r="3949" spans="23:23" x14ac:dyDescent="0.45">
      <c r="W3949" s="320"/>
    </row>
    <row r="3950" spans="23:23" x14ac:dyDescent="0.45">
      <c r="W3950" s="320"/>
    </row>
    <row r="3951" spans="23:23" x14ac:dyDescent="0.45">
      <c r="W3951" s="320"/>
    </row>
    <row r="3952" spans="23:23" x14ac:dyDescent="0.45">
      <c r="W3952" s="320"/>
    </row>
    <row r="3953" spans="23:23" x14ac:dyDescent="0.45">
      <c r="W3953" s="320"/>
    </row>
    <row r="3954" spans="23:23" x14ac:dyDescent="0.45">
      <c r="W3954" s="320"/>
    </row>
    <row r="3955" spans="23:23" x14ac:dyDescent="0.45">
      <c r="W3955" s="320"/>
    </row>
    <row r="3956" spans="23:23" x14ac:dyDescent="0.45">
      <c r="W3956" s="320"/>
    </row>
    <row r="3957" spans="23:23" x14ac:dyDescent="0.45">
      <c r="W3957" s="320"/>
    </row>
    <row r="3958" spans="23:23" x14ac:dyDescent="0.45">
      <c r="W3958" s="320"/>
    </row>
    <row r="3959" spans="23:23" x14ac:dyDescent="0.45">
      <c r="W3959" s="320"/>
    </row>
    <row r="3960" spans="23:23" x14ac:dyDescent="0.45">
      <c r="W3960" s="320"/>
    </row>
    <row r="3961" spans="23:23" x14ac:dyDescent="0.45">
      <c r="W3961" s="320"/>
    </row>
    <row r="3962" spans="23:23" x14ac:dyDescent="0.45">
      <c r="W3962" s="320"/>
    </row>
    <row r="3963" spans="23:23" x14ac:dyDescent="0.45">
      <c r="W3963" s="320"/>
    </row>
    <row r="3964" spans="23:23" x14ac:dyDescent="0.45">
      <c r="W3964" s="320"/>
    </row>
    <row r="3965" spans="23:23" x14ac:dyDescent="0.45">
      <c r="W3965" s="320"/>
    </row>
    <row r="3966" spans="23:23" x14ac:dyDescent="0.45">
      <c r="W3966" s="320"/>
    </row>
    <row r="3967" spans="23:23" x14ac:dyDescent="0.45">
      <c r="W3967" s="320"/>
    </row>
    <row r="3968" spans="23:23" x14ac:dyDescent="0.45">
      <c r="W3968" s="320"/>
    </row>
    <row r="3969" spans="23:23" x14ac:dyDescent="0.45">
      <c r="W3969" s="320"/>
    </row>
    <row r="3970" spans="23:23" x14ac:dyDescent="0.45">
      <c r="W3970" s="320"/>
    </row>
    <row r="3971" spans="23:23" x14ac:dyDescent="0.45">
      <c r="W3971" s="320"/>
    </row>
    <row r="3972" spans="23:23" x14ac:dyDescent="0.45">
      <c r="W3972" s="320"/>
    </row>
    <row r="3973" spans="23:23" x14ac:dyDescent="0.45">
      <c r="W3973" s="320"/>
    </row>
    <row r="3974" spans="23:23" x14ac:dyDescent="0.45">
      <c r="W3974" s="320"/>
    </row>
    <row r="3975" spans="23:23" x14ac:dyDescent="0.45">
      <c r="W3975" s="320"/>
    </row>
    <row r="3976" spans="23:23" x14ac:dyDescent="0.45">
      <c r="W3976" s="320"/>
    </row>
    <row r="3977" spans="23:23" x14ac:dyDescent="0.45">
      <c r="W3977" s="320"/>
    </row>
    <row r="3978" spans="23:23" x14ac:dyDescent="0.45">
      <c r="W3978" s="320"/>
    </row>
    <row r="3979" spans="23:23" x14ac:dyDescent="0.45">
      <c r="W3979" s="320"/>
    </row>
    <row r="3980" spans="23:23" x14ac:dyDescent="0.45">
      <c r="W3980" s="320"/>
    </row>
    <row r="3981" spans="23:23" x14ac:dyDescent="0.45">
      <c r="W3981" s="320"/>
    </row>
    <row r="3982" spans="23:23" x14ac:dyDescent="0.45">
      <c r="W3982" s="320"/>
    </row>
    <row r="3983" spans="23:23" x14ac:dyDescent="0.45">
      <c r="W3983" s="320"/>
    </row>
    <row r="3984" spans="23:23" x14ac:dyDescent="0.45">
      <c r="W3984" s="320"/>
    </row>
    <row r="3985" spans="23:23" x14ac:dyDescent="0.45">
      <c r="W3985" s="320"/>
    </row>
    <row r="3986" spans="23:23" x14ac:dyDescent="0.45">
      <c r="W3986" s="320"/>
    </row>
    <row r="3987" spans="23:23" x14ac:dyDescent="0.45">
      <c r="W3987" s="320"/>
    </row>
    <row r="3988" spans="23:23" x14ac:dyDescent="0.45">
      <c r="W3988" s="320"/>
    </row>
    <row r="3989" spans="23:23" x14ac:dyDescent="0.45">
      <c r="W3989" s="320"/>
    </row>
    <row r="3990" spans="23:23" x14ac:dyDescent="0.45">
      <c r="W3990" s="320"/>
    </row>
    <row r="3991" spans="23:23" x14ac:dyDescent="0.45">
      <c r="W3991" s="320"/>
    </row>
    <row r="3992" spans="23:23" x14ac:dyDescent="0.45">
      <c r="W3992" s="320"/>
    </row>
    <row r="3993" spans="23:23" x14ac:dyDescent="0.45">
      <c r="W3993" s="320"/>
    </row>
    <row r="3994" spans="23:23" x14ac:dyDescent="0.45">
      <c r="W3994" s="320"/>
    </row>
    <row r="3995" spans="23:23" x14ac:dyDescent="0.45">
      <c r="W3995" s="320"/>
    </row>
    <row r="3996" spans="23:23" x14ac:dyDescent="0.45">
      <c r="W3996" s="320"/>
    </row>
    <row r="3997" spans="23:23" x14ac:dyDescent="0.45">
      <c r="W3997" s="320"/>
    </row>
    <row r="3998" spans="23:23" x14ac:dyDescent="0.45">
      <c r="W3998" s="320"/>
    </row>
    <row r="3999" spans="23:23" x14ac:dyDescent="0.45">
      <c r="W3999" s="320"/>
    </row>
    <row r="4000" spans="23:23" x14ac:dyDescent="0.45">
      <c r="W4000" s="320"/>
    </row>
    <row r="4001" spans="23:23" x14ac:dyDescent="0.45">
      <c r="W4001" s="320"/>
    </row>
    <row r="4002" spans="23:23" x14ac:dyDescent="0.45">
      <c r="W4002" s="320"/>
    </row>
    <row r="4003" spans="23:23" x14ac:dyDescent="0.45">
      <c r="W4003" s="320"/>
    </row>
    <row r="4004" spans="23:23" x14ac:dyDescent="0.45">
      <c r="W4004" s="320"/>
    </row>
    <row r="4005" spans="23:23" x14ac:dyDescent="0.45">
      <c r="W4005" s="320"/>
    </row>
    <row r="4006" spans="23:23" x14ac:dyDescent="0.45">
      <c r="W4006" s="320"/>
    </row>
    <row r="4007" spans="23:23" x14ac:dyDescent="0.45">
      <c r="W4007" s="320"/>
    </row>
    <row r="4008" spans="23:23" x14ac:dyDescent="0.45">
      <c r="W4008" s="320"/>
    </row>
    <row r="4009" spans="23:23" x14ac:dyDescent="0.45">
      <c r="W4009" s="320"/>
    </row>
    <row r="4010" spans="23:23" x14ac:dyDescent="0.45">
      <c r="W4010" s="320"/>
    </row>
    <row r="4011" spans="23:23" x14ac:dyDescent="0.45">
      <c r="W4011" s="320"/>
    </row>
    <row r="4012" spans="23:23" x14ac:dyDescent="0.45">
      <c r="W4012" s="320"/>
    </row>
    <row r="4013" spans="23:23" x14ac:dyDescent="0.45">
      <c r="W4013" s="320"/>
    </row>
    <row r="4014" spans="23:23" x14ac:dyDescent="0.45">
      <c r="W4014" s="320"/>
    </row>
    <row r="4015" spans="23:23" x14ac:dyDescent="0.45">
      <c r="W4015" s="320"/>
    </row>
    <row r="4016" spans="23:23" x14ac:dyDescent="0.45">
      <c r="W4016" s="320"/>
    </row>
    <row r="4017" spans="23:23" x14ac:dyDescent="0.45">
      <c r="W4017" s="320"/>
    </row>
    <row r="4018" spans="23:23" x14ac:dyDescent="0.45">
      <c r="W4018" s="320"/>
    </row>
    <row r="4019" spans="23:23" x14ac:dyDescent="0.45">
      <c r="W4019" s="320"/>
    </row>
    <row r="4020" spans="23:23" x14ac:dyDescent="0.45">
      <c r="W4020" s="320"/>
    </row>
    <row r="4021" spans="23:23" x14ac:dyDescent="0.45">
      <c r="W4021" s="320"/>
    </row>
    <row r="4022" spans="23:23" x14ac:dyDescent="0.45">
      <c r="W4022" s="320"/>
    </row>
    <row r="4023" spans="23:23" x14ac:dyDescent="0.45">
      <c r="W4023" s="320"/>
    </row>
    <row r="4024" spans="23:23" x14ac:dyDescent="0.45">
      <c r="W4024" s="320"/>
    </row>
    <row r="4025" spans="23:23" x14ac:dyDescent="0.45">
      <c r="W4025" s="320"/>
    </row>
    <row r="4026" spans="23:23" x14ac:dyDescent="0.45">
      <c r="W4026" s="320"/>
    </row>
    <row r="4027" spans="23:23" x14ac:dyDescent="0.45">
      <c r="W4027" s="320"/>
    </row>
    <row r="4028" spans="23:23" x14ac:dyDescent="0.45">
      <c r="W4028" s="320"/>
    </row>
    <row r="4029" spans="23:23" x14ac:dyDescent="0.45">
      <c r="W4029" s="320"/>
    </row>
    <row r="4030" spans="23:23" x14ac:dyDescent="0.45">
      <c r="W4030" s="320"/>
    </row>
    <row r="4031" spans="23:23" x14ac:dyDescent="0.45">
      <c r="W4031" s="320"/>
    </row>
    <row r="4032" spans="23:23" x14ac:dyDescent="0.45">
      <c r="W4032" s="320"/>
    </row>
    <row r="4033" spans="23:23" x14ac:dyDescent="0.45">
      <c r="W4033" s="320"/>
    </row>
    <row r="4034" spans="23:23" x14ac:dyDescent="0.45">
      <c r="W4034" s="320"/>
    </row>
    <row r="4035" spans="23:23" x14ac:dyDescent="0.45">
      <c r="W4035" s="320"/>
    </row>
    <row r="4036" spans="23:23" x14ac:dyDescent="0.45">
      <c r="W4036" s="320"/>
    </row>
    <row r="4037" spans="23:23" x14ac:dyDescent="0.45">
      <c r="W4037" s="320"/>
    </row>
    <row r="4038" spans="23:23" x14ac:dyDescent="0.45">
      <c r="W4038" s="320"/>
    </row>
    <row r="4039" spans="23:23" x14ac:dyDescent="0.45">
      <c r="W4039" s="320"/>
    </row>
    <row r="4040" spans="23:23" x14ac:dyDescent="0.45">
      <c r="W4040" s="320"/>
    </row>
    <row r="4041" spans="23:23" x14ac:dyDescent="0.45">
      <c r="W4041" s="320"/>
    </row>
    <row r="4042" spans="23:23" x14ac:dyDescent="0.45">
      <c r="W4042" s="320"/>
    </row>
    <row r="4043" spans="23:23" x14ac:dyDescent="0.45">
      <c r="W4043" s="320"/>
    </row>
    <row r="4044" spans="23:23" x14ac:dyDescent="0.45">
      <c r="W4044" s="320"/>
    </row>
    <row r="4045" spans="23:23" x14ac:dyDescent="0.45">
      <c r="W4045" s="320"/>
    </row>
    <row r="4046" spans="23:23" x14ac:dyDescent="0.45">
      <c r="W4046" s="320"/>
    </row>
    <row r="4047" spans="23:23" x14ac:dyDescent="0.45">
      <c r="W4047" s="320"/>
    </row>
    <row r="4048" spans="23:23" x14ac:dyDescent="0.45">
      <c r="W4048" s="320"/>
    </row>
    <row r="4049" spans="23:23" x14ac:dyDescent="0.45">
      <c r="W4049" s="320"/>
    </row>
    <row r="4050" spans="23:23" x14ac:dyDescent="0.45">
      <c r="W4050" s="320"/>
    </row>
    <row r="4051" spans="23:23" x14ac:dyDescent="0.45">
      <c r="W4051" s="320"/>
    </row>
    <row r="4052" spans="23:23" x14ac:dyDescent="0.45">
      <c r="W4052" s="320"/>
    </row>
    <row r="4053" spans="23:23" x14ac:dyDescent="0.45">
      <c r="W4053" s="320"/>
    </row>
    <row r="4054" spans="23:23" x14ac:dyDescent="0.45">
      <c r="W4054" s="320"/>
    </row>
    <row r="4055" spans="23:23" x14ac:dyDescent="0.45">
      <c r="W4055" s="320"/>
    </row>
    <row r="4056" spans="23:23" x14ac:dyDescent="0.45">
      <c r="W4056" s="320"/>
    </row>
    <row r="4057" spans="23:23" x14ac:dyDescent="0.45">
      <c r="W4057" s="320"/>
    </row>
    <row r="4058" spans="23:23" x14ac:dyDescent="0.45">
      <c r="W4058" s="320"/>
    </row>
    <row r="4059" spans="23:23" x14ac:dyDescent="0.45">
      <c r="W4059" s="320"/>
    </row>
    <row r="4060" spans="23:23" x14ac:dyDescent="0.45">
      <c r="W4060" s="320"/>
    </row>
    <row r="4061" spans="23:23" x14ac:dyDescent="0.45">
      <c r="W4061" s="320"/>
    </row>
    <row r="4062" spans="23:23" x14ac:dyDescent="0.45">
      <c r="W4062" s="320"/>
    </row>
    <row r="4063" spans="23:23" x14ac:dyDescent="0.45">
      <c r="W4063" s="320"/>
    </row>
    <row r="4064" spans="23:23" x14ac:dyDescent="0.45">
      <c r="W4064" s="320"/>
    </row>
    <row r="4065" spans="23:23" x14ac:dyDescent="0.45">
      <c r="W4065" s="320"/>
    </row>
    <row r="4066" spans="23:23" x14ac:dyDescent="0.45">
      <c r="W4066" s="320"/>
    </row>
    <row r="4067" spans="23:23" x14ac:dyDescent="0.45">
      <c r="W4067" s="320"/>
    </row>
    <row r="4068" spans="23:23" x14ac:dyDescent="0.45">
      <c r="W4068" s="320"/>
    </row>
    <row r="4069" spans="23:23" x14ac:dyDescent="0.45">
      <c r="W4069" s="320"/>
    </row>
    <row r="4070" spans="23:23" x14ac:dyDescent="0.45">
      <c r="W4070" s="320"/>
    </row>
    <row r="4071" spans="23:23" x14ac:dyDescent="0.45">
      <c r="W4071" s="320"/>
    </row>
    <row r="4072" spans="23:23" x14ac:dyDescent="0.45">
      <c r="W4072" s="320"/>
    </row>
    <row r="4073" spans="23:23" x14ac:dyDescent="0.45">
      <c r="W4073" s="320"/>
    </row>
    <row r="4074" spans="23:23" x14ac:dyDescent="0.45">
      <c r="W4074" s="320"/>
    </row>
    <row r="4075" spans="23:23" x14ac:dyDescent="0.45">
      <c r="W4075" s="320"/>
    </row>
    <row r="4076" spans="23:23" x14ac:dyDescent="0.45">
      <c r="W4076" s="320"/>
    </row>
    <row r="4077" spans="23:23" x14ac:dyDescent="0.45">
      <c r="W4077" s="320"/>
    </row>
    <row r="4078" spans="23:23" x14ac:dyDescent="0.45">
      <c r="W4078" s="320"/>
    </row>
    <row r="4079" spans="23:23" x14ac:dyDescent="0.45">
      <c r="W4079" s="320"/>
    </row>
    <row r="4080" spans="23:23" x14ac:dyDescent="0.45">
      <c r="W4080" s="320"/>
    </row>
    <row r="4081" spans="23:23" x14ac:dyDescent="0.45">
      <c r="W4081" s="320"/>
    </row>
    <row r="4082" spans="23:23" x14ac:dyDescent="0.45">
      <c r="W4082" s="320"/>
    </row>
    <row r="4083" spans="23:23" x14ac:dyDescent="0.45">
      <c r="W4083" s="320"/>
    </row>
    <row r="4084" spans="23:23" x14ac:dyDescent="0.45">
      <c r="W4084" s="320"/>
    </row>
    <row r="4085" spans="23:23" x14ac:dyDescent="0.45">
      <c r="W4085" s="320"/>
    </row>
    <row r="4086" spans="23:23" x14ac:dyDescent="0.45">
      <c r="W4086" s="320"/>
    </row>
    <row r="4087" spans="23:23" x14ac:dyDescent="0.45">
      <c r="W4087" s="320"/>
    </row>
    <row r="4088" spans="23:23" x14ac:dyDescent="0.45">
      <c r="W4088" s="320"/>
    </row>
    <row r="4089" spans="23:23" x14ac:dyDescent="0.45">
      <c r="W4089" s="320"/>
    </row>
    <row r="4090" spans="23:23" x14ac:dyDescent="0.45">
      <c r="W4090" s="320"/>
    </row>
    <row r="4091" spans="23:23" x14ac:dyDescent="0.45">
      <c r="W4091" s="320"/>
    </row>
    <row r="4092" spans="23:23" x14ac:dyDescent="0.45">
      <c r="W4092" s="320"/>
    </row>
    <row r="4093" spans="23:23" x14ac:dyDescent="0.45">
      <c r="W4093" s="320"/>
    </row>
    <row r="4094" spans="23:23" x14ac:dyDescent="0.45">
      <c r="W4094" s="320"/>
    </row>
    <row r="4095" spans="23:23" x14ac:dyDescent="0.45">
      <c r="W4095" s="320"/>
    </row>
    <row r="4096" spans="23:23" x14ac:dyDescent="0.45">
      <c r="W4096" s="320"/>
    </row>
    <row r="4097" spans="23:23" x14ac:dyDescent="0.45">
      <c r="W4097" s="320"/>
    </row>
    <row r="4098" spans="23:23" x14ac:dyDescent="0.45">
      <c r="W4098" s="320"/>
    </row>
    <row r="4099" spans="23:23" x14ac:dyDescent="0.45">
      <c r="W4099" s="320"/>
    </row>
    <row r="4100" spans="23:23" x14ac:dyDescent="0.45">
      <c r="W4100" s="320"/>
    </row>
    <row r="4101" spans="23:23" x14ac:dyDescent="0.45">
      <c r="W4101" s="320"/>
    </row>
    <row r="4102" spans="23:23" x14ac:dyDescent="0.45">
      <c r="W4102" s="320"/>
    </row>
    <row r="4103" spans="23:23" x14ac:dyDescent="0.45">
      <c r="W4103" s="320"/>
    </row>
    <row r="4104" spans="23:23" x14ac:dyDescent="0.45">
      <c r="W4104" s="320"/>
    </row>
    <row r="4105" spans="23:23" x14ac:dyDescent="0.45">
      <c r="W4105" s="320"/>
    </row>
    <row r="4106" spans="23:23" x14ac:dyDescent="0.45">
      <c r="W4106" s="320"/>
    </row>
    <row r="4107" spans="23:23" x14ac:dyDescent="0.45">
      <c r="W4107" s="320"/>
    </row>
    <row r="4108" spans="23:23" x14ac:dyDescent="0.45">
      <c r="W4108" s="320"/>
    </row>
    <row r="4109" spans="23:23" x14ac:dyDescent="0.45">
      <c r="W4109" s="320"/>
    </row>
    <row r="4110" spans="23:23" x14ac:dyDescent="0.45">
      <c r="W4110" s="320"/>
    </row>
    <row r="4111" spans="23:23" x14ac:dyDescent="0.45">
      <c r="W4111" s="320"/>
    </row>
    <row r="4112" spans="23:23" x14ac:dyDescent="0.45">
      <c r="W4112" s="320"/>
    </row>
    <row r="4113" spans="23:23" x14ac:dyDescent="0.45">
      <c r="W4113" s="320"/>
    </row>
    <row r="4114" spans="23:23" x14ac:dyDescent="0.45">
      <c r="W4114" s="320"/>
    </row>
    <row r="4115" spans="23:23" x14ac:dyDescent="0.45">
      <c r="W4115" s="320"/>
    </row>
    <row r="4116" spans="23:23" x14ac:dyDescent="0.45">
      <c r="W4116" s="320"/>
    </row>
    <row r="4117" spans="23:23" x14ac:dyDescent="0.45">
      <c r="W4117" s="320"/>
    </row>
    <row r="4118" spans="23:23" x14ac:dyDescent="0.45">
      <c r="W4118" s="320"/>
    </row>
    <row r="4119" spans="23:23" x14ac:dyDescent="0.45">
      <c r="W4119" s="320"/>
    </row>
    <row r="4120" spans="23:23" x14ac:dyDescent="0.45">
      <c r="W4120" s="320"/>
    </row>
    <row r="4121" spans="23:23" x14ac:dyDescent="0.45">
      <c r="W4121" s="320"/>
    </row>
    <row r="4122" spans="23:23" x14ac:dyDescent="0.45">
      <c r="W4122" s="320"/>
    </row>
    <row r="4123" spans="23:23" x14ac:dyDescent="0.45">
      <c r="W4123" s="320"/>
    </row>
    <row r="4124" spans="23:23" x14ac:dyDescent="0.45">
      <c r="W4124" s="320"/>
    </row>
    <row r="4125" spans="23:23" x14ac:dyDescent="0.45">
      <c r="W4125" s="320"/>
    </row>
    <row r="4126" spans="23:23" x14ac:dyDescent="0.45">
      <c r="W4126" s="320"/>
    </row>
    <row r="4127" spans="23:23" x14ac:dyDescent="0.45">
      <c r="W4127" s="320"/>
    </row>
    <row r="4128" spans="23:23" x14ac:dyDescent="0.45">
      <c r="W4128" s="320"/>
    </row>
    <row r="4129" spans="23:23" x14ac:dyDescent="0.45">
      <c r="W4129" s="320"/>
    </row>
    <row r="4130" spans="23:23" x14ac:dyDescent="0.45">
      <c r="W4130" s="320"/>
    </row>
    <row r="4131" spans="23:23" x14ac:dyDescent="0.45">
      <c r="W4131" s="320"/>
    </row>
    <row r="4132" spans="23:23" x14ac:dyDescent="0.45">
      <c r="W4132" s="320"/>
    </row>
    <row r="4133" spans="23:23" x14ac:dyDescent="0.45">
      <c r="W4133" s="320"/>
    </row>
    <row r="4134" spans="23:23" x14ac:dyDescent="0.45">
      <c r="W4134" s="320"/>
    </row>
    <row r="4135" spans="23:23" x14ac:dyDescent="0.45">
      <c r="W4135" s="320"/>
    </row>
    <row r="4136" spans="23:23" x14ac:dyDescent="0.45">
      <c r="W4136" s="320"/>
    </row>
    <row r="4137" spans="23:23" x14ac:dyDescent="0.45">
      <c r="W4137" s="320"/>
    </row>
    <row r="4138" spans="23:23" x14ac:dyDescent="0.45">
      <c r="W4138" s="320"/>
    </row>
    <row r="4139" spans="23:23" x14ac:dyDescent="0.45">
      <c r="W4139" s="320"/>
    </row>
    <row r="4140" spans="23:23" x14ac:dyDescent="0.45">
      <c r="W4140" s="320"/>
    </row>
    <row r="4141" spans="23:23" x14ac:dyDescent="0.45">
      <c r="W4141" s="320"/>
    </row>
    <row r="4142" spans="23:23" x14ac:dyDescent="0.45">
      <c r="W4142" s="320"/>
    </row>
    <row r="4143" spans="23:23" x14ac:dyDescent="0.45">
      <c r="W4143" s="320"/>
    </row>
    <row r="4144" spans="23:23" x14ac:dyDescent="0.45">
      <c r="W4144" s="320"/>
    </row>
    <row r="4145" spans="23:23" x14ac:dyDescent="0.45">
      <c r="W4145" s="320"/>
    </row>
    <row r="4146" spans="23:23" x14ac:dyDescent="0.45">
      <c r="W4146" s="320"/>
    </row>
    <row r="4147" spans="23:23" x14ac:dyDescent="0.45">
      <c r="W4147" s="320"/>
    </row>
    <row r="4148" spans="23:23" x14ac:dyDescent="0.45">
      <c r="W4148" s="320"/>
    </row>
    <row r="4149" spans="23:23" x14ac:dyDescent="0.45">
      <c r="W4149" s="320"/>
    </row>
    <row r="4150" spans="23:23" x14ac:dyDescent="0.45">
      <c r="W4150" s="320"/>
    </row>
    <row r="4151" spans="23:23" x14ac:dyDescent="0.45">
      <c r="W4151" s="320"/>
    </row>
    <row r="4152" spans="23:23" x14ac:dyDescent="0.45">
      <c r="W4152" s="320"/>
    </row>
    <row r="4153" spans="23:23" x14ac:dyDescent="0.45">
      <c r="W4153" s="320"/>
    </row>
    <row r="4154" spans="23:23" x14ac:dyDescent="0.45">
      <c r="W4154" s="320"/>
    </row>
    <row r="4155" spans="23:23" x14ac:dyDescent="0.45">
      <c r="W4155" s="320"/>
    </row>
    <row r="4156" spans="23:23" x14ac:dyDescent="0.45">
      <c r="W4156" s="320"/>
    </row>
    <row r="4157" spans="23:23" x14ac:dyDescent="0.45">
      <c r="W4157" s="320"/>
    </row>
    <row r="4158" spans="23:23" x14ac:dyDescent="0.45">
      <c r="W4158" s="320"/>
    </row>
    <row r="4159" spans="23:23" x14ac:dyDescent="0.45">
      <c r="W4159" s="320"/>
    </row>
    <row r="4160" spans="23:23" x14ac:dyDescent="0.45">
      <c r="W4160" s="320"/>
    </row>
    <row r="4161" spans="23:23" x14ac:dyDescent="0.45">
      <c r="W4161" s="320"/>
    </row>
    <row r="4162" spans="23:23" x14ac:dyDescent="0.45">
      <c r="W4162" s="320"/>
    </row>
    <row r="4163" spans="23:23" x14ac:dyDescent="0.45">
      <c r="W4163" s="320"/>
    </row>
    <row r="4164" spans="23:23" x14ac:dyDescent="0.45">
      <c r="W4164" s="320"/>
    </row>
    <row r="4165" spans="23:23" x14ac:dyDescent="0.45">
      <c r="W4165" s="320"/>
    </row>
    <row r="4166" spans="23:23" x14ac:dyDescent="0.45">
      <c r="W4166" s="320"/>
    </row>
    <row r="4167" spans="23:23" x14ac:dyDescent="0.45">
      <c r="W4167" s="320"/>
    </row>
    <row r="4168" spans="23:23" x14ac:dyDescent="0.45">
      <c r="W4168" s="320"/>
    </row>
    <row r="4169" spans="23:23" x14ac:dyDescent="0.45">
      <c r="W4169" s="320"/>
    </row>
    <row r="4170" spans="23:23" x14ac:dyDescent="0.45">
      <c r="W4170" s="320"/>
    </row>
    <row r="4171" spans="23:23" x14ac:dyDescent="0.45">
      <c r="W4171" s="320"/>
    </row>
    <row r="4172" spans="23:23" x14ac:dyDescent="0.45">
      <c r="W4172" s="320"/>
    </row>
    <row r="4173" spans="23:23" x14ac:dyDescent="0.45">
      <c r="W4173" s="320"/>
    </row>
    <row r="4174" spans="23:23" x14ac:dyDescent="0.45">
      <c r="W4174" s="320"/>
    </row>
    <row r="4175" spans="23:23" x14ac:dyDescent="0.45">
      <c r="W4175" s="320"/>
    </row>
    <row r="4176" spans="23:23" x14ac:dyDescent="0.45">
      <c r="W4176" s="320"/>
    </row>
    <row r="4177" spans="23:23" x14ac:dyDescent="0.45">
      <c r="W4177" s="320"/>
    </row>
    <row r="4178" spans="23:23" x14ac:dyDescent="0.45">
      <c r="W4178" s="320"/>
    </row>
    <row r="4179" spans="23:23" x14ac:dyDescent="0.45">
      <c r="W4179" s="320"/>
    </row>
    <row r="4180" spans="23:23" x14ac:dyDescent="0.45">
      <c r="W4180" s="320"/>
    </row>
    <row r="4181" spans="23:23" x14ac:dyDescent="0.45">
      <c r="W4181" s="320"/>
    </row>
    <row r="4182" spans="23:23" x14ac:dyDescent="0.45">
      <c r="W4182" s="320"/>
    </row>
    <row r="4183" spans="23:23" x14ac:dyDescent="0.45">
      <c r="W4183" s="320"/>
    </row>
    <row r="4184" spans="23:23" x14ac:dyDescent="0.45">
      <c r="W4184" s="320"/>
    </row>
    <row r="4185" spans="23:23" x14ac:dyDescent="0.45">
      <c r="W4185" s="320"/>
    </row>
    <row r="4186" spans="23:23" x14ac:dyDescent="0.45">
      <c r="W4186" s="320"/>
    </row>
    <row r="4187" spans="23:23" x14ac:dyDescent="0.45">
      <c r="W4187" s="320"/>
    </row>
    <row r="4188" spans="23:23" x14ac:dyDescent="0.45">
      <c r="W4188" s="320"/>
    </row>
    <row r="4189" spans="23:23" x14ac:dyDescent="0.45">
      <c r="W4189" s="320"/>
    </row>
    <row r="4190" spans="23:23" x14ac:dyDescent="0.45">
      <c r="W4190" s="320"/>
    </row>
    <row r="4191" spans="23:23" x14ac:dyDescent="0.45">
      <c r="W4191" s="320"/>
    </row>
    <row r="4192" spans="23:23" x14ac:dyDescent="0.45">
      <c r="W4192" s="320"/>
    </row>
    <row r="4193" spans="23:23" x14ac:dyDescent="0.45">
      <c r="W4193" s="320"/>
    </row>
    <row r="4194" spans="23:23" x14ac:dyDescent="0.45">
      <c r="W4194" s="320"/>
    </row>
    <row r="4195" spans="23:23" x14ac:dyDescent="0.45">
      <c r="W4195" s="320"/>
    </row>
    <row r="4196" spans="23:23" x14ac:dyDescent="0.45">
      <c r="W4196" s="320"/>
    </row>
    <row r="4197" spans="23:23" x14ac:dyDescent="0.45">
      <c r="W4197" s="320"/>
    </row>
    <row r="4198" spans="23:23" x14ac:dyDescent="0.45">
      <c r="W4198" s="320"/>
    </row>
    <row r="4199" spans="23:23" x14ac:dyDescent="0.45">
      <c r="W4199" s="320"/>
    </row>
    <row r="4200" spans="23:23" x14ac:dyDescent="0.45">
      <c r="W4200" s="320"/>
    </row>
    <row r="4201" spans="23:23" x14ac:dyDescent="0.45">
      <c r="W4201" s="320"/>
    </row>
    <row r="4202" spans="23:23" x14ac:dyDescent="0.45">
      <c r="W4202" s="320"/>
    </row>
    <row r="4203" spans="23:23" x14ac:dyDescent="0.45">
      <c r="W4203" s="320"/>
    </row>
    <row r="4204" spans="23:23" x14ac:dyDescent="0.45">
      <c r="W4204" s="320"/>
    </row>
    <row r="4205" spans="23:23" x14ac:dyDescent="0.45">
      <c r="W4205" s="320"/>
    </row>
    <row r="4206" spans="23:23" x14ac:dyDescent="0.45">
      <c r="W4206" s="320"/>
    </row>
    <row r="4207" spans="23:23" x14ac:dyDescent="0.45">
      <c r="W4207" s="320"/>
    </row>
    <row r="4208" spans="23:23" x14ac:dyDescent="0.45">
      <c r="W4208" s="320"/>
    </row>
    <row r="4209" spans="23:23" x14ac:dyDescent="0.45">
      <c r="W4209" s="320"/>
    </row>
    <row r="4210" spans="23:23" x14ac:dyDescent="0.45">
      <c r="W4210" s="320"/>
    </row>
    <row r="4211" spans="23:23" x14ac:dyDescent="0.45">
      <c r="W4211" s="320"/>
    </row>
    <row r="4212" spans="23:23" x14ac:dyDescent="0.45">
      <c r="W4212" s="320"/>
    </row>
    <row r="4213" spans="23:23" x14ac:dyDescent="0.45">
      <c r="W4213" s="320"/>
    </row>
    <row r="4214" spans="23:23" x14ac:dyDescent="0.45">
      <c r="W4214" s="320"/>
    </row>
    <row r="4215" spans="23:23" x14ac:dyDescent="0.45">
      <c r="W4215" s="320"/>
    </row>
    <row r="4216" spans="23:23" x14ac:dyDescent="0.45">
      <c r="W4216" s="320"/>
    </row>
    <row r="4217" spans="23:23" x14ac:dyDescent="0.45">
      <c r="W4217" s="320"/>
    </row>
    <row r="4218" spans="23:23" x14ac:dyDescent="0.45">
      <c r="W4218" s="320"/>
    </row>
    <row r="4219" spans="23:23" x14ac:dyDescent="0.45">
      <c r="W4219" s="320"/>
    </row>
    <row r="4220" spans="23:23" x14ac:dyDescent="0.45">
      <c r="W4220" s="320"/>
    </row>
    <row r="4221" spans="23:23" x14ac:dyDescent="0.45">
      <c r="W4221" s="320"/>
    </row>
    <row r="4222" spans="23:23" x14ac:dyDescent="0.45">
      <c r="W4222" s="320"/>
    </row>
    <row r="4223" spans="23:23" x14ac:dyDescent="0.45">
      <c r="W4223" s="320"/>
    </row>
    <row r="4224" spans="23:23" x14ac:dyDescent="0.45">
      <c r="W4224" s="320"/>
    </row>
    <row r="4225" spans="23:23" x14ac:dyDescent="0.45">
      <c r="W4225" s="320"/>
    </row>
    <row r="4226" spans="23:23" x14ac:dyDescent="0.45">
      <c r="W4226" s="320"/>
    </row>
    <row r="4227" spans="23:23" x14ac:dyDescent="0.45">
      <c r="W4227" s="320"/>
    </row>
    <row r="4228" spans="23:23" x14ac:dyDescent="0.45">
      <c r="W4228" s="320"/>
    </row>
    <row r="4229" spans="23:23" x14ac:dyDescent="0.45">
      <c r="W4229" s="320"/>
    </row>
    <row r="4230" spans="23:23" x14ac:dyDescent="0.45">
      <c r="W4230" s="320"/>
    </row>
    <row r="4231" spans="23:23" x14ac:dyDescent="0.45">
      <c r="W4231" s="320"/>
    </row>
    <row r="4232" spans="23:23" x14ac:dyDescent="0.45">
      <c r="W4232" s="320"/>
    </row>
    <row r="4233" spans="23:23" x14ac:dyDescent="0.45">
      <c r="W4233" s="320"/>
    </row>
    <row r="4234" spans="23:23" x14ac:dyDescent="0.45">
      <c r="W4234" s="320"/>
    </row>
    <row r="4235" spans="23:23" x14ac:dyDescent="0.45">
      <c r="W4235" s="320"/>
    </row>
    <row r="4236" spans="23:23" x14ac:dyDescent="0.45">
      <c r="W4236" s="320"/>
    </row>
    <row r="4237" spans="23:23" x14ac:dyDescent="0.45">
      <c r="W4237" s="320"/>
    </row>
    <row r="4238" spans="23:23" x14ac:dyDescent="0.45">
      <c r="W4238" s="320"/>
    </row>
    <row r="4239" spans="23:23" x14ac:dyDescent="0.45">
      <c r="W4239" s="320"/>
    </row>
    <row r="4240" spans="23:23" x14ac:dyDescent="0.45">
      <c r="W4240" s="320"/>
    </row>
    <row r="4241" spans="23:23" x14ac:dyDescent="0.45">
      <c r="W4241" s="320"/>
    </row>
    <row r="4242" spans="23:23" x14ac:dyDescent="0.45">
      <c r="W4242" s="320"/>
    </row>
    <row r="4243" spans="23:23" x14ac:dyDescent="0.45">
      <c r="W4243" s="320"/>
    </row>
    <row r="4244" spans="23:23" x14ac:dyDescent="0.45">
      <c r="W4244" s="320"/>
    </row>
    <row r="4245" spans="23:23" x14ac:dyDescent="0.45">
      <c r="W4245" s="320"/>
    </row>
    <row r="4246" spans="23:23" x14ac:dyDescent="0.45">
      <c r="W4246" s="320"/>
    </row>
    <row r="4247" spans="23:23" x14ac:dyDescent="0.45">
      <c r="W4247" s="320"/>
    </row>
    <row r="4248" spans="23:23" x14ac:dyDescent="0.45">
      <c r="W4248" s="320"/>
    </row>
    <row r="4249" spans="23:23" x14ac:dyDescent="0.45">
      <c r="W4249" s="320"/>
    </row>
    <row r="4250" spans="23:23" x14ac:dyDescent="0.45">
      <c r="W4250" s="320"/>
    </row>
    <row r="4251" spans="23:23" x14ac:dyDescent="0.45">
      <c r="W4251" s="320"/>
    </row>
    <row r="4252" spans="23:23" x14ac:dyDescent="0.45">
      <c r="W4252" s="320"/>
    </row>
    <row r="4253" spans="23:23" x14ac:dyDescent="0.45">
      <c r="W4253" s="320"/>
    </row>
    <row r="4254" spans="23:23" x14ac:dyDescent="0.45">
      <c r="W4254" s="320"/>
    </row>
    <row r="4255" spans="23:23" x14ac:dyDescent="0.45">
      <c r="W4255" s="320"/>
    </row>
    <row r="4256" spans="23:23" x14ac:dyDescent="0.45">
      <c r="W4256" s="320"/>
    </row>
    <row r="4257" spans="23:23" x14ac:dyDescent="0.45">
      <c r="W4257" s="320"/>
    </row>
    <row r="4258" spans="23:23" x14ac:dyDescent="0.45">
      <c r="W4258" s="320"/>
    </row>
    <row r="4259" spans="23:23" x14ac:dyDescent="0.45">
      <c r="W4259" s="320"/>
    </row>
    <row r="4260" spans="23:23" x14ac:dyDescent="0.45">
      <c r="W4260" s="320"/>
    </row>
    <row r="4261" spans="23:23" x14ac:dyDescent="0.45">
      <c r="W4261" s="320"/>
    </row>
    <row r="4262" spans="23:23" x14ac:dyDescent="0.45">
      <c r="W4262" s="320"/>
    </row>
    <row r="4263" spans="23:23" x14ac:dyDescent="0.45">
      <c r="W4263" s="320"/>
    </row>
    <row r="4264" spans="23:23" x14ac:dyDescent="0.45">
      <c r="W4264" s="320"/>
    </row>
    <row r="4265" spans="23:23" x14ac:dyDescent="0.45">
      <c r="W4265" s="320"/>
    </row>
    <row r="4266" spans="23:23" x14ac:dyDescent="0.45">
      <c r="W4266" s="320"/>
    </row>
    <row r="4267" spans="23:23" x14ac:dyDescent="0.45">
      <c r="W4267" s="320"/>
    </row>
    <row r="4268" spans="23:23" x14ac:dyDescent="0.45">
      <c r="W4268" s="320"/>
    </row>
    <row r="4269" spans="23:23" x14ac:dyDescent="0.45">
      <c r="W4269" s="320"/>
    </row>
    <row r="4270" spans="23:23" x14ac:dyDescent="0.45">
      <c r="W4270" s="320"/>
    </row>
    <row r="4271" spans="23:23" x14ac:dyDescent="0.45">
      <c r="W4271" s="320"/>
    </row>
    <row r="4272" spans="23:23" x14ac:dyDescent="0.45">
      <c r="W4272" s="320"/>
    </row>
    <row r="4273" spans="23:23" x14ac:dyDescent="0.45">
      <c r="W4273" s="320"/>
    </row>
    <row r="4274" spans="23:23" x14ac:dyDescent="0.45">
      <c r="W4274" s="320"/>
    </row>
    <row r="4275" spans="23:23" x14ac:dyDescent="0.45">
      <c r="W4275" s="320"/>
    </row>
    <row r="4276" spans="23:23" x14ac:dyDescent="0.45">
      <c r="W4276" s="320"/>
    </row>
    <row r="4277" spans="23:23" x14ac:dyDescent="0.45">
      <c r="W4277" s="320"/>
    </row>
    <row r="4278" spans="23:23" x14ac:dyDescent="0.45">
      <c r="W4278" s="320"/>
    </row>
    <row r="4279" spans="23:23" x14ac:dyDescent="0.45">
      <c r="W4279" s="320"/>
    </row>
    <row r="4280" spans="23:23" x14ac:dyDescent="0.45">
      <c r="W4280" s="320"/>
    </row>
    <row r="4281" spans="23:23" x14ac:dyDescent="0.45">
      <c r="W4281" s="320"/>
    </row>
    <row r="4282" spans="23:23" x14ac:dyDescent="0.45">
      <c r="W4282" s="320"/>
    </row>
    <row r="4283" spans="23:23" x14ac:dyDescent="0.45">
      <c r="W4283" s="320"/>
    </row>
    <row r="4284" spans="23:23" x14ac:dyDescent="0.45">
      <c r="W4284" s="320"/>
    </row>
    <row r="4285" spans="23:23" x14ac:dyDescent="0.45">
      <c r="W4285" s="320"/>
    </row>
    <row r="4286" spans="23:23" x14ac:dyDescent="0.45">
      <c r="W4286" s="320"/>
    </row>
    <row r="4287" spans="23:23" x14ac:dyDescent="0.45">
      <c r="W4287" s="320"/>
    </row>
    <row r="4288" spans="23:23" x14ac:dyDescent="0.45">
      <c r="W4288" s="320"/>
    </row>
    <row r="4289" spans="23:23" x14ac:dyDescent="0.45">
      <c r="W4289" s="320"/>
    </row>
    <row r="4290" spans="23:23" x14ac:dyDescent="0.45">
      <c r="W4290" s="320"/>
    </row>
    <row r="4291" spans="23:23" x14ac:dyDescent="0.45">
      <c r="W4291" s="320"/>
    </row>
    <row r="4292" spans="23:23" x14ac:dyDescent="0.45">
      <c r="W4292" s="320"/>
    </row>
    <row r="4293" spans="23:23" x14ac:dyDescent="0.45">
      <c r="W4293" s="320"/>
    </row>
    <row r="4294" spans="23:23" x14ac:dyDescent="0.45">
      <c r="W4294" s="320"/>
    </row>
    <row r="4295" spans="23:23" x14ac:dyDescent="0.45">
      <c r="W4295" s="320"/>
    </row>
    <row r="4296" spans="23:23" x14ac:dyDescent="0.45">
      <c r="W4296" s="320"/>
    </row>
    <row r="4297" spans="23:23" x14ac:dyDescent="0.45">
      <c r="W4297" s="320"/>
    </row>
    <row r="4298" spans="23:23" x14ac:dyDescent="0.45">
      <c r="W4298" s="320"/>
    </row>
    <row r="4299" spans="23:23" x14ac:dyDescent="0.45">
      <c r="W4299" s="320"/>
    </row>
    <row r="4300" spans="23:23" x14ac:dyDescent="0.45">
      <c r="W4300" s="320"/>
    </row>
    <row r="4301" spans="23:23" x14ac:dyDescent="0.45">
      <c r="W4301" s="320"/>
    </row>
    <row r="4302" spans="23:23" x14ac:dyDescent="0.45">
      <c r="W4302" s="320"/>
    </row>
    <row r="4303" spans="23:23" x14ac:dyDescent="0.45">
      <c r="W4303" s="320"/>
    </row>
    <row r="4304" spans="23:23" x14ac:dyDescent="0.45">
      <c r="W4304" s="320"/>
    </row>
    <row r="4305" spans="23:23" x14ac:dyDescent="0.45">
      <c r="W4305" s="320"/>
    </row>
    <row r="4306" spans="23:23" x14ac:dyDescent="0.45">
      <c r="W4306" s="320"/>
    </row>
    <row r="4307" spans="23:23" x14ac:dyDescent="0.45">
      <c r="W4307" s="320"/>
    </row>
    <row r="4308" spans="23:23" x14ac:dyDescent="0.45">
      <c r="W4308" s="320"/>
    </row>
    <row r="4309" spans="23:23" x14ac:dyDescent="0.45">
      <c r="W4309" s="320"/>
    </row>
    <row r="4310" spans="23:23" x14ac:dyDescent="0.45">
      <c r="W4310" s="320"/>
    </row>
    <row r="4311" spans="23:23" x14ac:dyDescent="0.45">
      <c r="W4311" s="320"/>
    </row>
    <row r="4312" spans="23:23" x14ac:dyDescent="0.45">
      <c r="W4312" s="320"/>
    </row>
    <row r="4313" spans="23:23" x14ac:dyDescent="0.45">
      <c r="W4313" s="320"/>
    </row>
    <row r="4314" spans="23:23" x14ac:dyDescent="0.45">
      <c r="W4314" s="320"/>
    </row>
    <row r="4315" spans="23:23" x14ac:dyDescent="0.45">
      <c r="W4315" s="320"/>
    </row>
    <row r="4316" spans="23:23" x14ac:dyDescent="0.45">
      <c r="W4316" s="320"/>
    </row>
    <row r="4317" spans="23:23" x14ac:dyDescent="0.45">
      <c r="W4317" s="320"/>
    </row>
    <row r="4318" spans="23:23" x14ac:dyDescent="0.45">
      <c r="W4318" s="320"/>
    </row>
    <row r="4319" spans="23:23" x14ac:dyDescent="0.45">
      <c r="W4319" s="320"/>
    </row>
    <row r="4320" spans="23:23" x14ac:dyDescent="0.45">
      <c r="W4320" s="320"/>
    </row>
    <row r="4321" spans="23:23" x14ac:dyDescent="0.45">
      <c r="W4321" s="320"/>
    </row>
    <row r="4322" spans="23:23" x14ac:dyDescent="0.45">
      <c r="W4322" s="320"/>
    </row>
    <row r="4323" spans="23:23" x14ac:dyDescent="0.45">
      <c r="W4323" s="320"/>
    </row>
    <row r="4324" spans="23:23" x14ac:dyDescent="0.45">
      <c r="W4324" s="320"/>
    </row>
    <row r="4325" spans="23:23" x14ac:dyDescent="0.45">
      <c r="W4325" s="320"/>
    </row>
    <row r="4326" spans="23:23" x14ac:dyDescent="0.45">
      <c r="W4326" s="320"/>
    </row>
    <row r="4327" spans="23:23" x14ac:dyDescent="0.45">
      <c r="W4327" s="320"/>
    </row>
    <row r="4328" spans="23:23" x14ac:dyDescent="0.45">
      <c r="W4328" s="320"/>
    </row>
    <row r="4329" spans="23:23" x14ac:dyDescent="0.45">
      <c r="W4329" s="320"/>
    </row>
    <row r="4330" spans="23:23" x14ac:dyDescent="0.45">
      <c r="W4330" s="320"/>
    </row>
    <row r="4331" spans="23:23" x14ac:dyDescent="0.45">
      <c r="W4331" s="320"/>
    </row>
    <row r="4332" spans="23:23" x14ac:dyDescent="0.45">
      <c r="W4332" s="320"/>
    </row>
    <row r="4333" spans="23:23" x14ac:dyDescent="0.45">
      <c r="W4333" s="320"/>
    </row>
    <row r="4334" spans="23:23" x14ac:dyDescent="0.45">
      <c r="W4334" s="320"/>
    </row>
    <row r="4335" spans="23:23" x14ac:dyDescent="0.45">
      <c r="W4335" s="320"/>
    </row>
    <row r="4336" spans="23:23" x14ac:dyDescent="0.45">
      <c r="W4336" s="320"/>
    </row>
    <row r="4337" spans="23:23" x14ac:dyDescent="0.45">
      <c r="W4337" s="320"/>
    </row>
    <row r="4338" spans="23:23" x14ac:dyDescent="0.45">
      <c r="W4338" s="320"/>
    </row>
    <row r="4339" spans="23:23" x14ac:dyDescent="0.45">
      <c r="W4339" s="320"/>
    </row>
    <row r="4340" spans="23:23" x14ac:dyDescent="0.45">
      <c r="W4340" s="320"/>
    </row>
    <row r="4341" spans="23:23" x14ac:dyDescent="0.45">
      <c r="W4341" s="320"/>
    </row>
    <row r="4342" spans="23:23" x14ac:dyDescent="0.45">
      <c r="W4342" s="320"/>
    </row>
    <row r="4343" spans="23:23" x14ac:dyDescent="0.45">
      <c r="W4343" s="320"/>
    </row>
    <row r="4344" spans="23:23" x14ac:dyDescent="0.45">
      <c r="W4344" s="320"/>
    </row>
    <row r="4345" spans="23:23" x14ac:dyDescent="0.45">
      <c r="W4345" s="320"/>
    </row>
    <row r="4346" spans="23:23" x14ac:dyDescent="0.45">
      <c r="W4346" s="320"/>
    </row>
    <row r="4347" spans="23:23" x14ac:dyDescent="0.45">
      <c r="W4347" s="320"/>
    </row>
    <row r="4348" spans="23:23" x14ac:dyDescent="0.45">
      <c r="W4348" s="320"/>
    </row>
    <row r="4349" spans="23:23" x14ac:dyDescent="0.45">
      <c r="W4349" s="320"/>
    </row>
    <row r="4350" spans="23:23" x14ac:dyDescent="0.45">
      <c r="W4350" s="320"/>
    </row>
    <row r="4351" spans="23:23" x14ac:dyDescent="0.45">
      <c r="W4351" s="320"/>
    </row>
    <row r="4352" spans="23:23" x14ac:dyDescent="0.45">
      <c r="W4352" s="320"/>
    </row>
    <row r="4353" spans="23:23" x14ac:dyDescent="0.45">
      <c r="W4353" s="320"/>
    </row>
    <row r="4354" spans="23:23" x14ac:dyDescent="0.45">
      <c r="W4354" s="320"/>
    </row>
    <row r="4355" spans="23:23" x14ac:dyDescent="0.45">
      <c r="W4355" s="320"/>
    </row>
    <row r="4356" spans="23:23" x14ac:dyDescent="0.45">
      <c r="W4356" s="320"/>
    </row>
    <row r="4357" spans="23:23" x14ac:dyDescent="0.45">
      <c r="W4357" s="320"/>
    </row>
    <row r="4358" spans="23:23" x14ac:dyDescent="0.45">
      <c r="W4358" s="320"/>
    </row>
    <row r="4359" spans="23:23" x14ac:dyDescent="0.45">
      <c r="W4359" s="320"/>
    </row>
    <row r="4360" spans="23:23" x14ac:dyDescent="0.45">
      <c r="W4360" s="320"/>
    </row>
    <row r="4361" spans="23:23" x14ac:dyDescent="0.45">
      <c r="W4361" s="320"/>
    </row>
    <row r="4362" spans="23:23" x14ac:dyDescent="0.45">
      <c r="W4362" s="320"/>
    </row>
    <row r="4363" spans="23:23" x14ac:dyDescent="0.45">
      <c r="W4363" s="320"/>
    </row>
    <row r="4364" spans="23:23" x14ac:dyDescent="0.45">
      <c r="W4364" s="320"/>
    </row>
    <row r="4365" spans="23:23" x14ac:dyDescent="0.45">
      <c r="W4365" s="320"/>
    </row>
    <row r="4366" spans="23:23" x14ac:dyDescent="0.45">
      <c r="W4366" s="320"/>
    </row>
    <row r="4367" spans="23:23" x14ac:dyDescent="0.45">
      <c r="W4367" s="320"/>
    </row>
    <row r="4368" spans="23:23" x14ac:dyDescent="0.45">
      <c r="W4368" s="320"/>
    </row>
    <row r="4369" spans="23:23" x14ac:dyDescent="0.45">
      <c r="W4369" s="320"/>
    </row>
    <row r="4370" spans="23:23" x14ac:dyDescent="0.45">
      <c r="W4370" s="320"/>
    </row>
    <row r="4371" spans="23:23" x14ac:dyDescent="0.45">
      <c r="W4371" s="320"/>
    </row>
    <row r="4372" spans="23:23" x14ac:dyDescent="0.45">
      <c r="W4372" s="320"/>
    </row>
    <row r="4373" spans="23:23" x14ac:dyDescent="0.45">
      <c r="W4373" s="320"/>
    </row>
    <row r="4374" spans="23:23" x14ac:dyDescent="0.45">
      <c r="W4374" s="320"/>
    </row>
    <row r="4375" spans="23:23" x14ac:dyDescent="0.45">
      <c r="W4375" s="320"/>
    </row>
    <row r="4376" spans="23:23" x14ac:dyDescent="0.45">
      <c r="W4376" s="320"/>
    </row>
    <row r="4377" spans="23:23" x14ac:dyDescent="0.45">
      <c r="W4377" s="320"/>
    </row>
    <row r="4378" spans="23:23" x14ac:dyDescent="0.45">
      <c r="W4378" s="320"/>
    </row>
    <row r="4379" spans="23:23" x14ac:dyDescent="0.45">
      <c r="W4379" s="320"/>
    </row>
    <row r="4380" spans="23:23" x14ac:dyDescent="0.45">
      <c r="W4380" s="320"/>
    </row>
    <row r="4381" spans="23:23" x14ac:dyDescent="0.45">
      <c r="W4381" s="320"/>
    </row>
    <row r="4382" spans="23:23" x14ac:dyDescent="0.45">
      <c r="W4382" s="320"/>
    </row>
    <row r="4383" spans="23:23" x14ac:dyDescent="0.45">
      <c r="W4383" s="320"/>
    </row>
    <row r="4384" spans="23:23" x14ac:dyDescent="0.45">
      <c r="W4384" s="320"/>
    </row>
    <row r="4385" spans="23:23" x14ac:dyDescent="0.45">
      <c r="W4385" s="320"/>
    </row>
    <row r="4386" spans="23:23" x14ac:dyDescent="0.45">
      <c r="W4386" s="320"/>
    </row>
    <row r="4387" spans="23:23" x14ac:dyDescent="0.45">
      <c r="W4387" s="320"/>
    </row>
    <row r="4388" spans="23:23" x14ac:dyDescent="0.45">
      <c r="W4388" s="320"/>
    </row>
    <row r="4389" spans="23:23" x14ac:dyDescent="0.45">
      <c r="W4389" s="320"/>
    </row>
    <row r="4390" spans="23:23" x14ac:dyDescent="0.45">
      <c r="W4390" s="320"/>
    </row>
    <row r="4391" spans="23:23" x14ac:dyDescent="0.45">
      <c r="W4391" s="320"/>
    </row>
    <row r="4392" spans="23:23" x14ac:dyDescent="0.45">
      <c r="W4392" s="320"/>
    </row>
    <row r="4393" spans="23:23" x14ac:dyDescent="0.45">
      <c r="W4393" s="320"/>
    </row>
    <row r="4394" spans="23:23" x14ac:dyDescent="0.45">
      <c r="W4394" s="320"/>
    </row>
    <row r="4395" spans="23:23" x14ac:dyDescent="0.45">
      <c r="W4395" s="320"/>
    </row>
    <row r="4396" spans="23:23" x14ac:dyDescent="0.45">
      <c r="W4396" s="320"/>
    </row>
    <row r="4397" spans="23:23" x14ac:dyDescent="0.45">
      <c r="W4397" s="320"/>
    </row>
    <row r="4398" spans="23:23" x14ac:dyDescent="0.45">
      <c r="W4398" s="320"/>
    </row>
    <row r="4399" spans="23:23" x14ac:dyDescent="0.45">
      <c r="W4399" s="320"/>
    </row>
    <row r="4400" spans="23:23" x14ac:dyDescent="0.45">
      <c r="W4400" s="320"/>
    </row>
    <row r="4401" spans="23:23" x14ac:dyDescent="0.45">
      <c r="W4401" s="320"/>
    </row>
    <row r="4402" spans="23:23" x14ac:dyDescent="0.45">
      <c r="W4402" s="320"/>
    </row>
    <row r="4403" spans="23:23" x14ac:dyDescent="0.45">
      <c r="W4403" s="320"/>
    </row>
    <row r="4404" spans="23:23" x14ac:dyDescent="0.45">
      <c r="W4404" s="320"/>
    </row>
    <row r="4405" spans="23:23" x14ac:dyDescent="0.45">
      <c r="W4405" s="320"/>
    </row>
    <row r="4406" spans="23:23" x14ac:dyDescent="0.45">
      <c r="W4406" s="320"/>
    </row>
    <row r="4407" spans="23:23" x14ac:dyDescent="0.45">
      <c r="W4407" s="320"/>
    </row>
    <row r="4408" spans="23:23" x14ac:dyDescent="0.45">
      <c r="W4408" s="320"/>
    </row>
    <row r="4409" spans="23:23" x14ac:dyDescent="0.45">
      <c r="W4409" s="320"/>
    </row>
    <row r="4410" spans="23:23" x14ac:dyDescent="0.45">
      <c r="W4410" s="320"/>
    </row>
    <row r="4411" spans="23:23" x14ac:dyDescent="0.45">
      <c r="W4411" s="320"/>
    </row>
    <row r="4412" spans="23:23" x14ac:dyDescent="0.45">
      <c r="W4412" s="320"/>
    </row>
    <row r="4413" spans="23:23" x14ac:dyDescent="0.45">
      <c r="W4413" s="320"/>
    </row>
    <row r="4414" spans="23:23" x14ac:dyDescent="0.45">
      <c r="W4414" s="320"/>
    </row>
    <row r="4415" spans="23:23" x14ac:dyDescent="0.45">
      <c r="W4415" s="320"/>
    </row>
    <row r="4416" spans="23:23" x14ac:dyDescent="0.45">
      <c r="W4416" s="320"/>
    </row>
    <row r="4417" spans="23:23" x14ac:dyDescent="0.45">
      <c r="W4417" s="320"/>
    </row>
    <row r="4418" spans="23:23" x14ac:dyDescent="0.45">
      <c r="W4418" s="320"/>
    </row>
    <row r="4419" spans="23:23" x14ac:dyDescent="0.45">
      <c r="W4419" s="320"/>
    </row>
    <row r="4420" spans="23:23" x14ac:dyDescent="0.45">
      <c r="W4420" s="320"/>
    </row>
    <row r="4421" spans="23:23" x14ac:dyDescent="0.45">
      <c r="W4421" s="320"/>
    </row>
    <row r="4422" spans="23:23" x14ac:dyDescent="0.45">
      <c r="W4422" s="320"/>
    </row>
    <row r="4423" spans="23:23" x14ac:dyDescent="0.45">
      <c r="W4423" s="320"/>
    </row>
    <row r="4424" spans="23:23" x14ac:dyDescent="0.45">
      <c r="W4424" s="320"/>
    </row>
    <row r="4425" spans="23:23" x14ac:dyDescent="0.45">
      <c r="W4425" s="320"/>
    </row>
    <row r="4426" spans="23:23" x14ac:dyDescent="0.45">
      <c r="W4426" s="320"/>
    </row>
    <row r="4427" spans="23:23" x14ac:dyDescent="0.45">
      <c r="W4427" s="320"/>
    </row>
    <row r="4428" spans="23:23" x14ac:dyDescent="0.45">
      <c r="W4428" s="320"/>
    </row>
    <row r="4429" spans="23:23" x14ac:dyDescent="0.45">
      <c r="W4429" s="320"/>
    </row>
    <row r="4430" spans="23:23" x14ac:dyDescent="0.45">
      <c r="W4430" s="320"/>
    </row>
    <row r="4431" spans="23:23" x14ac:dyDescent="0.45">
      <c r="W4431" s="320"/>
    </row>
    <row r="4432" spans="23:23" x14ac:dyDescent="0.45">
      <c r="W4432" s="320"/>
    </row>
    <row r="4433" spans="23:23" x14ac:dyDescent="0.45">
      <c r="W4433" s="320"/>
    </row>
    <row r="4434" spans="23:23" x14ac:dyDescent="0.45">
      <c r="W4434" s="320"/>
    </row>
    <row r="4435" spans="23:23" x14ac:dyDescent="0.45">
      <c r="W4435" s="320"/>
    </row>
    <row r="4436" spans="23:23" x14ac:dyDescent="0.45">
      <c r="W4436" s="320"/>
    </row>
    <row r="4437" spans="23:23" x14ac:dyDescent="0.45">
      <c r="W4437" s="320"/>
    </row>
    <row r="4438" spans="23:23" x14ac:dyDescent="0.45">
      <c r="W4438" s="320"/>
    </row>
    <row r="4439" spans="23:23" x14ac:dyDescent="0.45">
      <c r="W4439" s="320"/>
    </row>
    <row r="4440" spans="23:23" x14ac:dyDescent="0.45">
      <c r="W4440" s="320"/>
    </row>
    <row r="4441" spans="23:23" x14ac:dyDescent="0.45">
      <c r="W4441" s="320"/>
    </row>
    <row r="4442" spans="23:23" x14ac:dyDescent="0.45">
      <c r="W4442" s="320"/>
    </row>
    <row r="4443" spans="23:23" x14ac:dyDescent="0.45">
      <c r="W4443" s="320"/>
    </row>
    <row r="4444" spans="23:23" x14ac:dyDescent="0.45">
      <c r="W4444" s="320"/>
    </row>
    <row r="4445" spans="23:23" x14ac:dyDescent="0.45">
      <c r="W4445" s="320"/>
    </row>
    <row r="4446" spans="23:23" x14ac:dyDescent="0.45">
      <c r="W4446" s="320"/>
    </row>
    <row r="4447" spans="23:23" x14ac:dyDescent="0.45">
      <c r="W4447" s="320"/>
    </row>
    <row r="4448" spans="23:23" x14ac:dyDescent="0.45">
      <c r="W4448" s="320"/>
    </row>
    <row r="4449" spans="23:23" x14ac:dyDescent="0.45">
      <c r="W4449" s="320"/>
    </row>
    <row r="4450" spans="23:23" x14ac:dyDescent="0.45">
      <c r="W4450" s="320"/>
    </row>
    <row r="4451" spans="23:23" x14ac:dyDescent="0.45">
      <c r="W4451" s="320"/>
    </row>
    <row r="4452" spans="23:23" x14ac:dyDescent="0.45">
      <c r="W4452" s="320"/>
    </row>
    <row r="4453" spans="23:23" x14ac:dyDescent="0.45">
      <c r="W4453" s="320"/>
    </row>
    <row r="4454" spans="23:23" x14ac:dyDescent="0.45">
      <c r="W4454" s="320"/>
    </row>
    <row r="4455" spans="23:23" x14ac:dyDescent="0.45">
      <c r="W4455" s="320"/>
    </row>
    <row r="4456" spans="23:23" x14ac:dyDescent="0.45">
      <c r="W4456" s="320"/>
    </row>
    <row r="4457" spans="23:23" x14ac:dyDescent="0.45">
      <c r="W4457" s="320"/>
    </row>
    <row r="4458" spans="23:23" x14ac:dyDescent="0.45">
      <c r="W4458" s="320"/>
    </row>
    <row r="4459" spans="23:23" x14ac:dyDescent="0.45">
      <c r="W4459" s="320"/>
    </row>
    <row r="4460" spans="23:23" x14ac:dyDescent="0.45">
      <c r="W4460" s="320"/>
    </row>
    <row r="4461" spans="23:23" x14ac:dyDescent="0.45">
      <c r="W4461" s="320"/>
    </row>
    <row r="4462" spans="23:23" x14ac:dyDescent="0.45">
      <c r="W4462" s="320"/>
    </row>
    <row r="4463" spans="23:23" x14ac:dyDescent="0.45">
      <c r="W4463" s="320"/>
    </row>
    <row r="4464" spans="23:23" x14ac:dyDescent="0.45">
      <c r="W4464" s="320"/>
    </row>
    <row r="4465" spans="23:23" x14ac:dyDescent="0.45">
      <c r="W4465" s="320"/>
    </row>
    <row r="4466" spans="23:23" x14ac:dyDescent="0.45">
      <c r="W4466" s="320"/>
    </row>
    <row r="4467" spans="23:23" x14ac:dyDescent="0.45">
      <c r="W4467" s="320"/>
    </row>
    <row r="4468" spans="23:23" x14ac:dyDescent="0.45">
      <c r="W4468" s="320"/>
    </row>
    <row r="4469" spans="23:23" x14ac:dyDescent="0.45">
      <c r="W4469" s="320"/>
    </row>
    <row r="4470" spans="23:23" x14ac:dyDescent="0.45">
      <c r="W4470" s="320"/>
    </row>
    <row r="4471" spans="23:23" x14ac:dyDescent="0.45">
      <c r="W4471" s="320"/>
    </row>
    <row r="4472" spans="23:23" x14ac:dyDescent="0.45">
      <c r="W4472" s="320"/>
    </row>
    <row r="4473" spans="23:23" x14ac:dyDescent="0.45">
      <c r="W4473" s="320"/>
    </row>
    <row r="4474" spans="23:23" x14ac:dyDescent="0.45">
      <c r="W4474" s="320"/>
    </row>
    <row r="4475" spans="23:23" x14ac:dyDescent="0.45">
      <c r="W4475" s="320"/>
    </row>
    <row r="4476" spans="23:23" x14ac:dyDescent="0.45">
      <c r="W4476" s="320"/>
    </row>
    <row r="4477" spans="23:23" x14ac:dyDescent="0.45">
      <c r="W4477" s="320"/>
    </row>
    <row r="4478" spans="23:23" x14ac:dyDescent="0.45">
      <c r="W4478" s="320"/>
    </row>
    <row r="4479" spans="23:23" x14ac:dyDescent="0.45">
      <c r="W4479" s="320"/>
    </row>
    <row r="4480" spans="23:23" x14ac:dyDescent="0.45">
      <c r="W4480" s="320"/>
    </row>
    <row r="4481" spans="23:23" x14ac:dyDescent="0.45">
      <c r="W4481" s="320"/>
    </row>
    <row r="4482" spans="23:23" x14ac:dyDescent="0.45">
      <c r="W4482" s="320"/>
    </row>
    <row r="4483" spans="23:23" x14ac:dyDescent="0.45">
      <c r="W4483" s="320"/>
    </row>
    <row r="4484" spans="23:23" x14ac:dyDescent="0.45">
      <c r="W4484" s="320"/>
    </row>
    <row r="4485" spans="23:23" x14ac:dyDescent="0.45">
      <c r="W4485" s="320"/>
    </row>
    <row r="4486" spans="23:23" x14ac:dyDescent="0.45">
      <c r="W4486" s="320"/>
    </row>
    <row r="4487" spans="23:23" x14ac:dyDescent="0.45">
      <c r="W4487" s="320"/>
    </row>
    <row r="4488" spans="23:23" x14ac:dyDescent="0.45">
      <c r="W4488" s="320"/>
    </row>
    <row r="4489" spans="23:23" x14ac:dyDescent="0.45">
      <c r="W4489" s="320"/>
    </row>
    <row r="4490" spans="23:23" x14ac:dyDescent="0.45">
      <c r="W4490" s="320"/>
    </row>
    <row r="4491" spans="23:23" x14ac:dyDescent="0.45">
      <c r="W4491" s="320"/>
    </row>
    <row r="4492" spans="23:23" x14ac:dyDescent="0.45">
      <c r="W4492" s="320"/>
    </row>
    <row r="4493" spans="23:23" x14ac:dyDescent="0.45">
      <c r="W4493" s="320"/>
    </row>
    <row r="4494" spans="23:23" x14ac:dyDescent="0.45">
      <c r="W4494" s="320"/>
    </row>
    <row r="4495" spans="23:23" x14ac:dyDescent="0.45">
      <c r="W4495" s="320"/>
    </row>
    <row r="4496" spans="23:23" x14ac:dyDescent="0.45">
      <c r="W4496" s="320"/>
    </row>
    <row r="4497" spans="23:23" x14ac:dyDescent="0.45">
      <c r="W4497" s="320"/>
    </row>
    <row r="4498" spans="23:23" x14ac:dyDescent="0.45">
      <c r="W4498" s="320"/>
    </row>
    <row r="4499" spans="23:23" x14ac:dyDescent="0.45">
      <c r="W4499" s="320"/>
    </row>
    <row r="4500" spans="23:23" x14ac:dyDescent="0.45">
      <c r="W4500" s="320"/>
    </row>
    <row r="4501" spans="23:23" x14ac:dyDescent="0.45">
      <c r="W4501" s="320"/>
    </row>
    <row r="4502" spans="23:23" x14ac:dyDescent="0.45">
      <c r="W4502" s="320"/>
    </row>
    <row r="4503" spans="23:23" x14ac:dyDescent="0.45">
      <c r="W4503" s="320"/>
    </row>
    <row r="4504" spans="23:23" x14ac:dyDescent="0.45">
      <c r="W4504" s="320"/>
    </row>
    <row r="4505" spans="23:23" x14ac:dyDescent="0.45">
      <c r="W4505" s="320"/>
    </row>
    <row r="4506" spans="23:23" x14ac:dyDescent="0.45">
      <c r="W4506" s="320"/>
    </row>
    <row r="4507" spans="23:23" x14ac:dyDescent="0.45">
      <c r="W4507" s="320"/>
    </row>
    <row r="4508" spans="23:23" x14ac:dyDescent="0.45">
      <c r="W4508" s="320"/>
    </row>
    <row r="4509" spans="23:23" x14ac:dyDescent="0.45">
      <c r="W4509" s="320"/>
    </row>
    <row r="4510" spans="23:23" x14ac:dyDescent="0.45">
      <c r="W4510" s="320"/>
    </row>
    <row r="4511" spans="23:23" x14ac:dyDescent="0.45">
      <c r="W4511" s="320"/>
    </row>
    <row r="4512" spans="23:23" x14ac:dyDescent="0.45">
      <c r="W4512" s="320"/>
    </row>
    <row r="4513" spans="23:23" x14ac:dyDescent="0.45">
      <c r="W4513" s="320"/>
    </row>
    <row r="4514" spans="23:23" x14ac:dyDescent="0.45">
      <c r="W4514" s="320"/>
    </row>
    <row r="4515" spans="23:23" x14ac:dyDescent="0.45">
      <c r="W4515" s="320"/>
    </row>
    <row r="4516" spans="23:23" x14ac:dyDescent="0.45">
      <c r="W4516" s="320"/>
    </row>
    <row r="4517" spans="23:23" x14ac:dyDescent="0.45">
      <c r="W4517" s="320"/>
    </row>
    <row r="4518" spans="23:23" x14ac:dyDescent="0.45">
      <c r="W4518" s="320"/>
    </row>
    <row r="4519" spans="23:23" x14ac:dyDescent="0.45">
      <c r="W4519" s="320"/>
    </row>
    <row r="4520" spans="23:23" x14ac:dyDescent="0.45">
      <c r="W4520" s="320"/>
    </row>
    <row r="4521" spans="23:23" x14ac:dyDescent="0.45">
      <c r="W4521" s="320"/>
    </row>
    <row r="4522" spans="23:23" x14ac:dyDescent="0.45">
      <c r="W4522" s="320"/>
    </row>
    <row r="4523" spans="23:23" x14ac:dyDescent="0.45">
      <c r="W4523" s="320"/>
    </row>
    <row r="4524" spans="23:23" x14ac:dyDescent="0.45">
      <c r="W4524" s="320"/>
    </row>
    <row r="4525" spans="23:23" x14ac:dyDescent="0.45">
      <c r="W4525" s="320"/>
    </row>
    <row r="4526" spans="23:23" x14ac:dyDescent="0.45">
      <c r="W4526" s="320"/>
    </row>
    <row r="4527" spans="23:23" x14ac:dyDescent="0.45">
      <c r="W4527" s="320"/>
    </row>
    <row r="4528" spans="23:23" x14ac:dyDescent="0.45">
      <c r="W4528" s="320"/>
    </row>
    <row r="4529" spans="23:23" x14ac:dyDescent="0.45">
      <c r="W4529" s="320"/>
    </row>
    <row r="4530" spans="23:23" x14ac:dyDescent="0.45">
      <c r="W4530" s="320"/>
    </row>
    <row r="4531" spans="23:23" x14ac:dyDescent="0.45">
      <c r="W4531" s="320"/>
    </row>
    <row r="4532" spans="23:23" x14ac:dyDescent="0.45">
      <c r="W4532" s="320"/>
    </row>
    <row r="4533" spans="23:23" x14ac:dyDescent="0.45">
      <c r="W4533" s="320"/>
    </row>
    <row r="4534" spans="23:23" x14ac:dyDescent="0.45">
      <c r="W4534" s="320"/>
    </row>
    <row r="4535" spans="23:23" x14ac:dyDescent="0.45">
      <c r="W4535" s="320"/>
    </row>
    <row r="4536" spans="23:23" x14ac:dyDescent="0.45">
      <c r="W4536" s="320"/>
    </row>
    <row r="4537" spans="23:23" x14ac:dyDescent="0.45">
      <c r="W4537" s="320"/>
    </row>
    <row r="4538" spans="23:23" x14ac:dyDescent="0.45">
      <c r="W4538" s="320"/>
    </row>
    <row r="4539" spans="23:23" x14ac:dyDescent="0.45">
      <c r="W4539" s="320"/>
    </row>
    <row r="4540" spans="23:23" x14ac:dyDescent="0.45">
      <c r="W4540" s="320"/>
    </row>
    <row r="4541" spans="23:23" x14ac:dyDescent="0.45">
      <c r="W4541" s="320"/>
    </row>
    <row r="4542" spans="23:23" x14ac:dyDescent="0.45">
      <c r="W4542" s="320"/>
    </row>
    <row r="4543" spans="23:23" x14ac:dyDescent="0.45">
      <c r="W4543" s="320"/>
    </row>
    <row r="4544" spans="23:23" x14ac:dyDescent="0.45">
      <c r="W4544" s="320"/>
    </row>
    <row r="4545" spans="23:23" x14ac:dyDescent="0.45">
      <c r="W4545" s="320"/>
    </row>
    <row r="4546" spans="23:23" x14ac:dyDescent="0.45">
      <c r="W4546" s="320"/>
    </row>
    <row r="4547" spans="23:23" x14ac:dyDescent="0.45">
      <c r="W4547" s="320"/>
    </row>
    <row r="4548" spans="23:23" x14ac:dyDescent="0.45">
      <c r="W4548" s="320"/>
    </row>
    <row r="4549" spans="23:23" x14ac:dyDescent="0.45">
      <c r="W4549" s="320"/>
    </row>
    <row r="4550" spans="23:23" x14ac:dyDescent="0.45">
      <c r="W4550" s="320"/>
    </row>
    <row r="4551" spans="23:23" x14ac:dyDescent="0.45">
      <c r="W4551" s="320"/>
    </row>
    <row r="4552" spans="23:23" x14ac:dyDescent="0.45">
      <c r="W4552" s="320"/>
    </row>
    <row r="4553" spans="23:23" x14ac:dyDescent="0.45">
      <c r="W4553" s="320"/>
    </row>
    <row r="4554" spans="23:23" x14ac:dyDescent="0.45">
      <c r="W4554" s="320"/>
    </row>
    <row r="4555" spans="23:23" x14ac:dyDescent="0.45">
      <c r="W4555" s="320"/>
    </row>
    <row r="4556" spans="23:23" x14ac:dyDescent="0.45">
      <c r="W4556" s="320"/>
    </row>
    <row r="4557" spans="23:23" x14ac:dyDescent="0.45">
      <c r="W4557" s="320"/>
    </row>
    <row r="4558" spans="23:23" x14ac:dyDescent="0.45">
      <c r="W4558" s="320"/>
    </row>
    <row r="4559" spans="23:23" x14ac:dyDescent="0.45">
      <c r="W4559" s="320"/>
    </row>
    <row r="4560" spans="23:23" x14ac:dyDescent="0.45">
      <c r="W4560" s="320"/>
    </row>
    <row r="4561" spans="23:23" x14ac:dyDescent="0.45">
      <c r="W4561" s="320"/>
    </row>
    <row r="4562" spans="23:23" x14ac:dyDescent="0.45">
      <c r="W4562" s="320"/>
    </row>
    <row r="4563" spans="23:23" x14ac:dyDescent="0.45">
      <c r="W4563" s="320"/>
    </row>
    <row r="4564" spans="23:23" x14ac:dyDescent="0.45">
      <c r="W4564" s="320"/>
    </row>
    <row r="4565" spans="23:23" x14ac:dyDescent="0.45">
      <c r="W4565" s="320"/>
    </row>
    <row r="4566" spans="23:23" x14ac:dyDescent="0.45">
      <c r="W4566" s="320"/>
    </row>
    <row r="4567" spans="23:23" x14ac:dyDescent="0.45">
      <c r="W4567" s="320"/>
    </row>
    <row r="4568" spans="23:23" x14ac:dyDescent="0.45">
      <c r="W4568" s="320"/>
    </row>
    <row r="4569" spans="23:23" x14ac:dyDescent="0.45">
      <c r="W4569" s="320"/>
    </row>
    <row r="4570" spans="23:23" x14ac:dyDescent="0.45">
      <c r="W4570" s="320"/>
    </row>
    <row r="4571" spans="23:23" x14ac:dyDescent="0.45">
      <c r="W4571" s="320"/>
    </row>
    <row r="4572" spans="23:23" x14ac:dyDescent="0.45">
      <c r="W4572" s="320"/>
    </row>
    <row r="4573" spans="23:23" x14ac:dyDescent="0.45">
      <c r="W4573" s="320"/>
    </row>
    <row r="4574" spans="23:23" x14ac:dyDescent="0.45">
      <c r="W4574" s="320"/>
    </row>
    <row r="4575" spans="23:23" x14ac:dyDescent="0.45">
      <c r="W4575" s="320"/>
    </row>
    <row r="4576" spans="23:23" x14ac:dyDescent="0.45">
      <c r="W4576" s="320"/>
    </row>
    <row r="4577" spans="23:23" x14ac:dyDescent="0.45">
      <c r="W4577" s="320"/>
    </row>
    <row r="4578" spans="23:23" x14ac:dyDescent="0.45">
      <c r="W4578" s="320"/>
    </row>
    <row r="4579" spans="23:23" x14ac:dyDescent="0.45">
      <c r="W4579" s="320"/>
    </row>
    <row r="4580" spans="23:23" x14ac:dyDescent="0.45">
      <c r="W4580" s="320"/>
    </row>
    <row r="4581" spans="23:23" x14ac:dyDescent="0.45">
      <c r="W4581" s="320"/>
    </row>
    <row r="4582" spans="23:23" x14ac:dyDescent="0.45">
      <c r="W4582" s="320"/>
    </row>
    <row r="4583" spans="23:23" x14ac:dyDescent="0.45">
      <c r="W4583" s="320"/>
    </row>
    <row r="4584" spans="23:23" x14ac:dyDescent="0.45">
      <c r="W4584" s="320"/>
    </row>
    <row r="4585" spans="23:23" x14ac:dyDescent="0.45">
      <c r="W4585" s="320"/>
    </row>
    <row r="4586" spans="23:23" x14ac:dyDescent="0.45">
      <c r="W4586" s="320"/>
    </row>
    <row r="4587" spans="23:23" x14ac:dyDescent="0.45">
      <c r="W4587" s="320"/>
    </row>
    <row r="4588" spans="23:23" x14ac:dyDescent="0.45">
      <c r="W4588" s="320"/>
    </row>
    <row r="4589" spans="23:23" x14ac:dyDescent="0.45">
      <c r="W4589" s="320"/>
    </row>
    <row r="4590" spans="23:23" x14ac:dyDescent="0.45">
      <c r="W4590" s="320"/>
    </row>
    <row r="4591" spans="23:23" x14ac:dyDescent="0.45">
      <c r="W4591" s="320"/>
    </row>
    <row r="4592" spans="23:23" x14ac:dyDescent="0.45">
      <c r="W4592" s="320"/>
    </row>
    <row r="4593" spans="23:23" x14ac:dyDescent="0.45">
      <c r="W4593" s="320"/>
    </row>
    <row r="4594" spans="23:23" x14ac:dyDescent="0.45">
      <c r="W4594" s="320"/>
    </row>
    <row r="4595" spans="23:23" x14ac:dyDescent="0.45">
      <c r="W4595" s="320"/>
    </row>
    <row r="4596" spans="23:23" x14ac:dyDescent="0.45">
      <c r="W4596" s="320"/>
    </row>
    <row r="4597" spans="23:23" x14ac:dyDescent="0.45">
      <c r="W4597" s="320"/>
    </row>
    <row r="4598" spans="23:23" x14ac:dyDescent="0.45">
      <c r="W4598" s="320"/>
    </row>
    <row r="4599" spans="23:23" x14ac:dyDescent="0.45">
      <c r="W4599" s="320"/>
    </row>
    <row r="4600" spans="23:23" x14ac:dyDescent="0.45">
      <c r="W4600" s="320"/>
    </row>
    <row r="4601" spans="23:23" x14ac:dyDescent="0.45">
      <c r="W4601" s="320"/>
    </row>
    <row r="4602" spans="23:23" x14ac:dyDescent="0.45">
      <c r="W4602" s="320"/>
    </row>
    <row r="4603" spans="23:23" x14ac:dyDescent="0.45">
      <c r="W4603" s="320"/>
    </row>
    <row r="4604" spans="23:23" x14ac:dyDescent="0.45">
      <c r="W4604" s="320"/>
    </row>
    <row r="4605" spans="23:23" x14ac:dyDescent="0.45">
      <c r="W4605" s="320"/>
    </row>
    <row r="4606" spans="23:23" x14ac:dyDescent="0.45">
      <c r="W4606" s="320"/>
    </row>
    <row r="4607" spans="23:23" x14ac:dyDescent="0.45">
      <c r="W4607" s="320"/>
    </row>
    <row r="4608" spans="23:23" x14ac:dyDescent="0.45">
      <c r="W4608" s="320"/>
    </row>
    <row r="4609" spans="23:23" x14ac:dyDescent="0.45">
      <c r="W4609" s="320"/>
    </row>
    <row r="4610" spans="23:23" x14ac:dyDescent="0.45">
      <c r="W4610" s="320"/>
    </row>
    <row r="4611" spans="23:23" x14ac:dyDescent="0.45">
      <c r="W4611" s="320"/>
    </row>
    <row r="4612" spans="23:23" x14ac:dyDescent="0.45">
      <c r="W4612" s="320"/>
    </row>
    <row r="4613" spans="23:23" x14ac:dyDescent="0.45">
      <c r="W4613" s="320"/>
    </row>
    <row r="4614" spans="23:23" x14ac:dyDescent="0.45">
      <c r="W4614" s="320"/>
    </row>
    <row r="4615" spans="23:23" x14ac:dyDescent="0.45">
      <c r="W4615" s="320"/>
    </row>
    <row r="4616" spans="23:23" x14ac:dyDescent="0.45">
      <c r="W4616" s="320"/>
    </row>
    <row r="4617" spans="23:23" x14ac:dyDescent="0.45">
      <c r="W4617" s="320"/>
    </row>
    <row r="4618" spans="23:23" x14ac:dyDescent="0.45">
      <c r="W4618" s="320"/>
    </row>
    <row r="4619" spans="23:23" x14ac:dyDescent="0.45">
      <c r="W4619" s="320"/>
    </row>
    <row r="4620" spans="23:23" x14ac:dyDescent="0.45">
      <c r="W4620" s="320"/>
    </row>
    <row r="4621" spans="23:23" x14ac:dyDescent="0.45">
      <c r="W4621" s="320"/>
    </row>
    <row r="4622" spans="23:23" x14ac:dyDescent="0.45">
      <c r="W4622" s="320"/>
    </row>
    <row r="4623" spans="23:23" x14ac:dyDescent="0.45">
      <c r="W4623" s="320"/>
    </row>
    <row r="4624" spans="23:23" x14ac:dyDescent="0.45">
      <c r="W4624" s="320"/>
    </row>
    <row r="4625" spans="23:23" x14ac:dyDescent="0.45">
      <c r="W4625" s="320"/>
    </row>
    <row r="4626" spans="23:23" x14ac:dyDescent="0.45">
      <c r="W4626" s="320"/>
    </row>
    <row r="4627" spans="23:23" x14ac:dyDescent="0.45">
      <c r="W4627" s="320"/>
    </row>
    <row r="4628" spans="23:23" x14ac:dyDescent="0.45">
      <c r="W4628" s="320"/>
    </row>
    <row r="4629" spans="23:23" x14ac:dyDescent="0.45">
      <c r="W4629" s="320"/>
    </row>
    <row r="4630" spans="23:23" x14ac:dyDescent="0.45">
      <c r="W4630" s="320"/>
    </row>
    <row r="4631" spans="23:23" x14ac:dyDescent="0.45">
      <c r="W4631" s="320"/>
    </row>
    <row r="4632" spans="23:23" x14ac:dyDescent="0.45">
      <c r="W4632" s="320"/>
    </row>
    <row r="4633" spans="23:23" x14ac:dyDescent="0.45">
      <c r="W4633" s="320"/>
    </row>
    <row r="4634" spans="23:23" x14ac:dyDescent="0.45">
      <c r="W4634" s="320"/>
    </row>
    <row r="4635" spans="23:23" x14ac:dyDescent="0.45">
      <c r="W4635" s="320"/>
    </row>
    <row r="4636" spans="23:23" x14ac:dyDescent="0.45">
      <c r="W4636" s="320"/>
    </row>
    <row r="4637" spans="23:23" x14ac:dyDescent="0.45">
      <c r="W4637" s="320"/>
    </row>
    <row r="4638" spans="23:23" x14ac:dyDescent="0.45">
      <c r="W4638" s="320"/>
    </row>
    <row r="4639" spans="23:23" x14ac:dyDescent="0.45">
      <c r="W4639" s="320"/>
    </row>
    <row r="4640" spans="23:23" x14ac:dyDescent="0.45">
      <c r="W4640" s="320"/>
    </row>
    <row r="4641" spans="23:23" x14ac:dyDescent="0.45">
      <c r="W4641" s="320"/>
    </row>
    <row r="4642" spans="23:23" x14ac:dyDescent="0.45">
      <c r="W4642" s="320"/>
    </row>
    <row r="4643" spans="23:23" x14ac:dyDescent="0.45">
      <c r="W4643" s="320"/>
    </row>
    <row r="4644" spans="23:23" x14ac:dyDescent="0.45">
      <c r="W4644" s="320"/>
    </row>
    <row r="4645" spans="23:23" x14ac:dyDescent="0.45">
      <c r="W4645" s="320"/>
    </row>
    <row r="4646" spans="23:23" x14ac:dyDescent="0.45">
      <c r="W4646" s="320"/>
    </row>
    <row r="4647" spans="23:23" x14ac:dyDescent="0.45">
      <c r="W4647" s="320"/>
    </row>
    <row r="4648" spans="23:23" x14ac:dyDescent="0.45">
      <c r="W4648" s="320"/>
    </row>
    <row r="4649" spans="23:23" x14ac:dyDescent="0.45">
      <c r="W4649" s="320"/>
    </row>
    <row r="4650" spans="23:23" x14ac:dyDescent="0.45">
      <c r="W4650" s="320"/>
    </row>
    <row r="4651" spans="23:23" x14ac:dyDescent="0.45">
      <c r="W4651" s="320"/>
    </row>
    <row r="4652" spans="23:23" x14ac:dyDescent="0.45">
      <c r="W4652" s="320"/>
    </row>
    <row r="4653" spans="23:23" x14ac:dyDescent="0.45">
      <c r="W4653" s="320"/>
    </row>
    <row r="4654" spans="23:23" x14ac:dyDescent="0.45">
      <c r="W4654" s="320"/>
    </row>
    <row r="4655" spans="23:23" x14ac:dyDescent="0.45">
      <c r="W4655" s="320"/>
    </row>
    <row r="4656" spans="23:23" x14ac:dyDescent="0.45">
      <c r="W4656" s="320"/>
    </row>
    <row r="4657" spans="23:23" x14ac:dyDescent="0.45">
      <c r="W4657" s="320"/>
    </row>
    <row r="4658" spans="23:23" x14ac:dyDescent="0.45">
      <c r="W4658" s="320"/>
    </row>
    <row r="4659" spans="23:23" x14ac:dyDescent="0.45">
      <c r="W4659" s="320"/>
    </row>
    <row r="4660" spans="23:23" x14ac:dyDescent="0.45">
      <c r="W4660" s="320"/>
    </row>
    <row r="4661" spans="23:23" x14ac:dyDescent="0.45">
      <c r="W4661" s="320"/>
    </row>
    <row r="4662" spans="23:23" x14ac:dyDescent="0.45">
      <c r="W4662" s="320"/>
    </row>
    <row r="4663" spans="23:23" x14ac:dyDescent="0.45">
      <c r="W4663" s="320"/>
    </row>
    <row r="4664" spans="23:23" x14ac:dyDescent="0.45">
      <c r="W4664" s="320"/>
    </row>
    <row r="4665" spans="23:23" x14ac:dyDescent="0.45">
      <c r="W4665" s="320"/>
    </row>
    <row r="4666" spans="23:23" x14ac:dyDescent="0.45">
      <c r="W4666" s="320"/>
    </row>
    <row r="4667" spans="23:23" x14ac:dyDescent="0.45">
      <c r="W4667" s="320"/>
    </row>
    <row r="4668" spans="23:23" x14ac:dyDescent="0.45">
      <c r="W4668" s="320"/>
    </row>
    <row r="4669" spans="23:23" x14ac:dyDescent="0.45">
      <c r="W4669" s="320"/>
    </row>
    <row r="4670" spans="23:23" x14ac:dyDescent="0.45">
      <c r="W4670" s="320"/>
    </row>
    <row r="4671" spans="23:23" x14ac:dyDescent="0.45">
      <c r="W4671" s="320"/>
    </row>
    <row r="4672" spans="23:23" x14ac:dyDescent="0.45">
      <c r="W4672" s="320"/>
    </row>
    <row r="4673" spans="23:23" x14ac:dyDescent="0.45">
      <c r="W4673" s="320"/>
    </row>
    <row r="4674" spans="23:23" x14ac:dyDescent="0.45">
      <c r="W4674" s="320"/>
    </row>
    <row r="4675" spans="23:23" x14ac:dyDescent="0.45">
      <c r="W4675" s="320"/>
    </row>
    <row r="4676" spans="23:23" x14ac:dyDescent="0.45">
      <c r="W4676" s="320"/>
    </row>
    <row r="4677" spans="23:23" x14ac:dyDescent="0.45">
      <c r="W4677" s="320"/>
    </row>
    <row r="4678" spans="23:23" x14ac:dyDescent="0.45">
      <c r="W4678" s="320"/>
    </row>
    <row r="4679" spans="23:23" x14ac:dyDescent="0.45">
      <c r="W4679" s="320"/>
    </row>
    <row r="4680" spans="23:23" x14ac:dyDescent="0.45">
      <c r="W4680" s="320"/>
    </row>
    <row r="4681" spans="23:23" x14ac:dyDescent="0.45">
      <c r="W4681" s="320"/>
    </row>
    <row r="4682" spans="23:23" x14ac:dyDescent="0.45">
      <c r="W4682" s="320"/>
    </row>
    <row r="4683" spans="23:23" x14ac:dyDescent="0.45">
      <c r="W4683" s="320"/>
    </row>
    <row r="4684" spans="23:23" x14ac:dyDescent="0.45">
      <c r="W4684" s="320"/>
    </row>
    <row r="4685" spans="23:23" x14ac:dyDescent="0.45">
      <c r="W4685" s="320"/>
    </row>
    <row r="4686" spans="23:23" x14ac:dyDescent="0.45">
      <c r="W4686" s="320"/>
    </row>
    <row r="4687" spans="23:23" x14ac:dyDescent="0.45">
      <c r="W4687" s="320"/>
    </row>
    <row r="4688" spans="23:23" x14ac:dyDescent="0.45">
      <c r="W4688" s="320"/>
    </row>
    <row r="4689" spans="23:23" x14ac:dyDescent="0.45">
      <c r="W4689" s="320"/>
    </row>
    <row r="4690" spans="23:23" x14ac:dyDescent="0.45">
      <c r="W4690" s="320"/>
    </row>
    <row r="4691" spans="23:23" x14ac:dyDescent="0.45">
      <c r="W4691" s="320"/>
    </row>
    <row r="4692" spans="23:23" x14ac:dyDescent="0.45">
      <c r="W4692" s="320"/>
    </row>
    <row r="4693" spans="23:23" x14ac:dyDescent="0.45">
      <c r="W4693" s="320"/>
    </row>
    <row r="4694" spans="23:23" x14ac:dyDescent="0.45">
      <c r="W4694" s="320"/>
    </row>
    <row r="4695" spans="23:23" x14ac:dyDescent="0.45">
      <c r="W4695" s="320"/>
    </row>
    <row r="4696" spans="23:23" x14ac:dyDescent="0.45">
      <c r="W4696" s="320"/>
    </row>
    <row r="4697" spans="23:23" x14ac:dyDescent="0.45">
      <c r="W4697" s="320"/>
    </row>
    <row r="4698" spans="23:23" x14ac:dyDescent="0.45">
      <c r="W4698" s="320"/>
    </row>
    <row r="4699" spans="23:23" x14ac:dyDescent="0.45">
      <c r="W4699" s="320"/>
    </row>
    <row r="4700" spans="23:23" x14ac:dyDescent="0.45">
      <c r="W4700" s="320"/>
    </row>
    <row r="4701" spans="23:23" x14ac:dyDescent="0.45">
      <c r="W4701" s="320"/>
    </row>
    <row r="4702" spans="23:23" x14ac:dyDescent="0.45">
      <c r="W4702" s="320"/>
    </row>
    <row r="4703" spans="23:23" x14ac:dyDescent="0.45">
      <c r="W4703" s="320"/>
    </row>
    <row r="4704" spans="23:23" x14ac:dyDescent="0.45">
      <c r="W4704" s="320"/>
    </row>
    <row r="4705" spans="23:23" x14ac:dyDescent="0.45">
      <c r="W4705" s="320"/>
    </row>
    <row r="4706" spans="23:23" x14ac:dyDescent="0.45">
      <c r="W4706" s="320"/>
    </row>
    <row r="4707" spans="23:23" x14ac:dyDescent="0.45">
      <c r="W4707" s="320"/>
    </row>
    <row r="4708" spans="23:23" x14ac:dyDescent="0.45">
      <c r="W4708" s="320"/>
    </row>
    <row r="4709" spans="23:23" x14ac:dyDescent="0.45">
      <c r="W4709" s="320"/>
    </row>
    <row r="4710" spans="23:23" x14ac:dyDescent="0.45">
      <c r="W4710" s="320"/>
    </row>
    <row r="4711" spans="23:23" x14ac:dyDescent="0.45">
      <c r="W4711" s="320"/>
    </row>
    <row r="4712" spans="23:23" x14ac:dyDescent="0.45">
      <c r="W4712" s="320"/>
    </row>
    <row r="4713" spans="23:23" x14ac:dyDescent="0.45">
      <c r="W4713" s="320"/>
    </row>
    <row r="4714" spans="23:23" x14ac:dyDescent="0.45">
      <c r="W4714" s="320"/>
    </row>
    <row r="4715" spans="23:23" x14ac:dyDescent="0.45">
      <c r="W4715" s="320"/>
    </row>
    <row r="4716" spans="23:23" x14ac:dyDescent="0.45">
      <c r="W4716" s="320"/>
    </row>
    <row r="4717" spans="23:23" x14ac:dyDescent="0.45">
      <c r="W4717" s="320"/>
    </row>
    <row r="4718" spans="23:23" x14ac:dyDescent="0.45">
      <c r="W4718" s="320"/>
    </row>
    <row r="4719" spans="23:23" x14ac:dyDescent="0.45">
      <c r="W4719" s="320"/>
    </row>
    <row r="4720" spans="23:23" x14ac:dyDescent="0.45">
      <c r="W4720" s="320"/>
    </row>
    <row r="4721" spans="23:23" x14ac:dyDescent="0.45">
      <c r="W4721" s="320"/>
    </row>
    <row r="4722" spans="23:23" x14ac:dyDescent="0.45">
      <c r="W4722" s="320"/>
    </row>
    <row r="4723" spans="23:23" x14ac:dyDescent="0.45">
      <c r="W4723" s="320"/>
    </row>
    <row r="4724" spans="23:23" x14ac:dyDescent="0.45">
      <c r="W4724" s="320"/>
    </row>
    <row r="4725" spans="23:23" x14ac:dyDescent="0.45">
      <c r="W4725" s="320"/>
    </row>
    <row r="4726" spans="23:23" x14ac:dyDescent="0.45">
      <c r="W4726" s="320"/>
    </row>
    <row r="4727" spans="23:23" x14ac:dyDescent="0.45">
      <c r="W4727" s="320"/>
    </row>
    <row r="4728" spans="23:23" x14ac:dyDescent="0.45">
      <c r="W4728" s="320"/>
    </row>
    <row r="4729" spans="23:23" x14ac:dyDescent="0.45">
      <c r="W4729" s="320"/>
    </row>
    <row r="4730" spans="23:23" x14ac:dyDescent="0.45">
      <c r="W4730" s="320"/>
    </row>
    <row r="4731" spans="23:23" x14ac:dyDescent="0.45">
      <c r="W4731" s="320"/>
    </row>
    <row r="4732" spans="23:23" x14ac:dyDescent="0.45">
      <c r="W4732" s="320"/>
    </row>
    <row r="4733" spans="23:23" x14ac:dyDescent="0.45">
      <c r="W4733" s="320"/>
    </row>
    <row r="4734" spans="23:23" x14ac:dyDescent="0.45">
      <c r="W4734" s="320"/>
    </row>
    <row r="4735" spans="23:23" x14ac:dyDescent="0.45">
      <c r="W4735" s="320"/>
    </row>
    <row r="4736" spans="23:23" x14ac:dyDescent="0.45">
      <c r="W4736" s="320"/>
    </row>
    <row r="4737" spans="23:23" x14ac:dyDescent="0.45">
      <c r="W4737" s="320"/>
    </row>
    <row r="4738" spans="23:23" x14ac:dyDescent="0.45">
      <c r="W4738" s="320"/>
    </row>
    <row r="4739" spans="23:23" x14ac:dyDescent="0.45">
      <c r="W4739" s="320"/>
    </row>
    <row r="4740" spans="23:23" x14ac:dyDescent="0.45">
      <c r="W4740" s="320"/>
    </row>
    <row r="4741" spans="23:23" x14ac:dyDescent="0.45">
      <c r="W4741" s="320"/>
    </row>
    <row r="4742" spans="23:23" x14ac:dyDescent="0.45">
      <c r="W4742" s="320"/>
    </row>
    <row r="4743" spans="23:23" x14ac:dyDescent="0.45">
      <c r="W4743" s="320"/>
    </row>
    <row r="4744" spans="23:23" x14ac:dyDescent="0.45">
      <c r="W4744" s="320"/>
    </row>
    <row r="4745" spans="23:23" x14ac:dyDescent="0.45">
      <c r="W4745" s="320"/>
    </row>
    <row r="4746" spans="23:23" x14ac:dyDescent="0.45">
      <c r="W4746" s="320"/>
    </row>
    <row r="4747" spans="23:23" x14ac:dyDescent="0.45">
      <c r="W4747" s="320"/>
    </row>
    <row r="4748" spans="23:23" x14ac:dyDescent="0.45">
      <c r="W4748" s="320"/>
    </row>
    <row r="4749" spans="23:23" x14ac:dyDescent="0.45">
      <c r="W4749" s="320"/>
    </row>
    <row r="4750" spans="23:23" x14ac:dyDescent="0.45">
      <c r="W4750" s="320"/>
    </row>
    <row r="4751" spans="23:23" x14ac:dyDescent="0.45">
      <c r="W4751" s="320"/>
    </row>
    <row r="4752" spans="23:23" x14ac:dyDescent="0.45">
      <c r="W4752" s="320"/>
    </row>
    <row r="4753" spans="23:23" x14ac:dyDescent="0.45">
      <c r="W4753" s="320"/>
    </row>
    <row r="4754" spans="23:23" x14ac:dyDescent="0.45">
      <c r="W4754" s="320"/>
    </row>
    <row r="4755" spans="23:23" x14ac:dyDescent="0.45">
      <c r="W4755" s="320"/>
    </row>
    <row r="4756" spans="23:23" x14ac:dyDescent="0.45">
      <c r="W4756" s="320"/>
    </row>
    <row r="4757" spans="23:23" x14ac:dyDescent="0.45">
      <c r="W4757" s="320"/>
    </row>
    <row r="4758" spans="23:23" x14ac:dyDescent="0.45">
      <c r="W4758" s="320"/>
    </row>
    <row r="4759" spans="23:23" x14ac:dyDescent="0.45">
      <c r="W4759" s="320"/>
    </row>
    <row r="4760" spans="23:23" x14ac:dyDescent="0.45">
      <c r="W4760" s="320"/>
    </row>
    <row r="4761" spans="23:23" x14ac:dyDescent="0.45">
      <c r="W4761" s="320"/>
    </row>
    <row r="4762" spans="23:23" x14ac:dyDescent="0.45">
      <c r="W4762" s="320"/>
    </row>
    <row r="4763" spans="23:23" x14ac:dyDescent="0.45">
      <c r="W4763" s="320"/>
    </row>
    <row r="4764" spans="23:23" x14ac:dyDescent="0.45">
      <c r="W4764" s="320"/>
    </row>
    <row r="4765" spans="23:23" x14ac:dyDescent="0.45">
      <c r="W4765" s="320"/>
    </row>
    <row r="4766" spans="23:23" x14ac:dyDescent="0.45">
      <c r="W4766" s="320"/>
    </row>
    <row r="4767" spans="23:23" x14ac:dyDescent="0.45">
      <c r="W4767" s="320"/>
    </row>
    <row r="4768" spans="23:23" x14ac:dyDescent="0.45">
      <c r="W4768" s="320"/>
    </row>
    <row r="4769" spans="23:23" x14ac:dyDescent="0.45">
      <c r="W4769" s="320"/>
    </row>
    <row r="4770" spans="23:23" x14ac:dyDescent="0.45">
      <c r="W4770" s="320"/>
    </row>
    <row r="4771" spans="23:23" x14ac:dyDescent="0.45">
      <c r="W4771" s="320"/>
    </row>
    <row r="4772" spans="23:23" x14ac:dyDescent="0.45">
      <c r="W4772" s="320"/>
    </row>
    <row r="4773" spans="23:23" x14ac:dyDescent="0.45">
      <c r="W4773" s="320"/>
    </row>
    <row r="4774" spans="23:23" x14ac:dyDescent="0.45">
      <c r="W4774" s="320"/>
    </row>
    <row r="4775" spans="23:23" x14ac:dyDescent="0.45">
      <c r="W4775" s="320"/>
    </row>
    <row r="4776" spans="23:23" x14ac:dyDescent="0.45">
      <c r="W4776" s="320"/>
    </row>
    <row r="4777" spans="23:23" x14ac:dyDescent="0.45">
      <c r="W4777" s="320"/>
    </row>
    <row r="4778" spans="23:23" x14ac:dyDescent="0.45">
      <c r="W4778" s="320"/>
    </row>
    <row r="4779" spans="23:23" x14ac:dyDescent="0.45">
      <c r="W4779" s="320"/>
    </row>
    <row r="4780" spans="23:23" x14ac:dyDescent="0.45">
      <c r="W4780" s="320"/>
    </row>
    <row r="4781" spans="23:23" x14ac:dyDescent="0.45">
      <c r="W4781" s="320"/>
    </row>
    <row r="4782" spans="23:23" x14ac:dyDescent="0.45">
      <c r="W4782" s="320"/>
    </row>
    <row r="4783" spans="23:23" x14ac:dyDescent="0.45">
      <c r="W4783" s="320"/>
    </row>
    <row r="4784" spans="23:23" x14ac:dyDescent="0.45">
      <c r="W4784" s="320"/>
    </row>
    <row r="4785" spans="23:23" x14ac:dyDescent="0.45">
      <c r="W4785" s="320"/>
    </row>
    <row r="4786" spans="23:23" x14ac:dyDescent="0.45">
      <c r="W4786" s="320"/>
    </row>
    <row r="4787" spans="23:23" x14ac:dyDescent="0.45">
      <c r="W4787" s="320"/>
    </row>
    <row r="4788" spans="23:23" x14ac:dyDescent="0.45">
      <c r="W4788" s="320"/>
    </row>
    <row r="4789" spans="23:23" x14ac:dyDescent="0.45">
      <c r="W4789" s="320"/>
    </row>
    <row r="4790" spans="23:23" x14ac:dyDescent="0.45">
      <c r="W4790" s="320"/>
    </row>
    <row r="4791" spans="23:23" x14ac:dyDescent="0.45">
      <c r="W4791" s="320"/>
    </row>
    <row r="4792" spans="23:23" x14ac:dyDescent="0.45">
      <c r="W4792" s="320"/>
    </row>
    <row r="4793" spans="23:23" x14ac:dyDescent="0.45">
      <c r="W4793" s="320"/>
    </row>
    <row r="4794" spans="23:23" x14ac:dyDescent="0.45">
      <c r="W4794" s="320"/>
    </row>
    <row r="4795" spans="23:23" x14ac:dyDescent="0.45">
      <c r="W4795" s="320"/>
    </row>
    <row r="4796" spans="23:23" x14ac:dyDescent="0.45">
      <c r="W4796" s="320"/>
    </row>
    <row r="4797" spans="23:23" x14ac:dyDescent="0.45">
      <c r="W4797" s="320"/>
    </row>
    <row r="4798" spans="23:23" x14ac:dyDescent="0.45">
      <c r="W4798" s="320"/>
    </row>
    <row r="4799" spans="23:23" x14ac:dyDescent="0.45">
      <c r="W4799" s="320"/>
    </row>
    <row r="4800" spans="23:23" x14ac:dyDescent="0.45">
      <c r="W4800" s="320"/>
    </row>
    <row r="4801" spans="23:23" x14ac:dyDescent="0.45">
      <c r="W4801" s="320"/>
    </row>
    <row r="4802" spans="23:23" x14ac:dyDescent="0.45">
      <c r="W4802" s="320"/>
    </row>
    <row r="4803" spans="23:23" x14ac:dyDescent="0.45">
      <c r="W4803" s="320"/>
    </row>
    <row r="4804" spans="23:23" x14ac:dyDescent="0.45">
      <c r="W4804" s="320"/>
    </row>
    <row r="4805" spans="23:23" x14ac:dyDescent="0.45">
      <c r="W4805" s="320"/>
    </row>
    <row r="4806" spans="23:23" x14ac:dyDescent="0.45">
      <c r="W4806" s="320"/>
    </row>
    <row r="4807" spans="23:23" x14ac:dyDescent="0.45">
      <c r="W4807" s="320"/>
    </row>
    <row r="4808" spans="23:23" x14ac:dyDescent="0.45">
      <c r="W4808" s="320"/>
    </row>
    <row r="4809" spans="23:23" x14ac:dyDescent="0.45">
      <c r="W4809" s="320"/>
    </row>
    <row r="4810" spans="23:23" x14ac:dyDescent="0.45">
      <c r="W4810" s="320"/>
    </row>
    <row r="4811" spans="23:23" x14ac:dyDescent="0.45">
      <c r="W4811" s="320"/>
    </row>
    <row r="4812" spans="23:23" x14ac:dyDescent="0.45">
      <c r="W4812" s="320"/>
    </row>
    <row r="4813" spans="23:23" x14ac:dyDescent="0.45">
      <c r="W4813" s="320"/>
    </row>
    <row r="4814" spans="23:23" x14ac:dyDescent="0.45">
      <c r="W4814" s="320"/>
    </row>
    <row r="4815" spans="23:23" x14ac:dyDescent="0.45">
      <c r="W4815" s="320"/>
    </row>
    <row r="4816" spans="23:23" x14ac:dyDescent="0.45">
      <c r="W4816" s="320"/>
    </row>
    <row r="4817" spans="23:23" x14ac:dyDescent="0.45">
      <c r="W4817" s="320"/>
    </row>
    <row r="4818" spans="23:23" x14ac:dyDescent="0.45">
      <c r="W4818" s="320"/>
    </row>
    <row r="4819" spans="23:23" x14ac:dyDescent="0.45">
      <c r="W4819" s="320"/>
    </row>
    <row r="4820" spans="23:23" x14ac:dyDescent="0.45">
      <c r="W4820" s="320"/>
    </row>
    <row r="4821" spans="23:23" x14ac:dyDescent="0.45">
      <c r="W4821" s="320"/>
    </row>
    <row r="4822" spans="23:23" x14ac:dyDescent="0.45">
      <c r="W4822" s="320"/>
    </row>
    <row r="4823" spans="23:23" x14ac:dyDescent="0.45">
      <c r="W4823" s="320"/>
    </row>
    <row r="4824" spans="23:23" x14ac:dyDescent="0.45">
      <c r="W4824" s="320"/>
    </row>
    <row r="4825" spans="23:23" x14ac:dyDescent="0.45">
      <c r="W4825" s="320"/>
    </row>
    <row r="4826" spans="23:23" x14ac:dyDescent="0.45">
      <c r="W4826" s="320"/>
    </row>
    <row r="4827" spans="23:23" x14ac:dyDescent="0.45">
      <c r="W4827" s="320"/>
    </row>
    <row r="4828" spans="23:23" x14ac:dyDescent="0.45">
      <c r="W4828" s="320"/>
    </row>
    <row r="4829" spans="23:23" x14ac:dyDescent="0.45">
      <c r="W4829" s="320"/>
    </row>
    <row r="4830" spans="23:23" x14ac:dyDescent="0.45">
      <c r="W4830" s="320"/>
    </row>
    <row r="4831" spans="23:23" x14ac:dyDescent="0.45">
      <c r="W4831" s="320"/>
    </row>
    <row r="4832" spans="23:23" x14ac:dyDescent="0.45">
      <c r="W4832" s="320"/>
    </row>
    <row r="4833" spans="23:23" x14ac:dyDescent="0.45">
      <c r="W4833" s="320"/>
    </row>
    <row r="4834" spans="23:23" x14ac:dyDescent="0.45">
      <c r="W4834" s="320"/>
    </row>
    <row r="4835" spans="23:23" x14ac:dyDescent="0.45">
      <c r="W4835" s="320"/>
    </row>
    <row r="4836" spans="23:23" x14ac:dyDescent="0.45">
      <c r="W4836" s="320"/>
    </row>
    <row r="4837" spans="23:23" x14ac:dyDescent="0.45">
      <c r="W4837" s="320"/>
    </row>
    <row r="4838" spans="23:23" x14ac:dyDescent="0.45">
      <c r="W4838" s="320"/>
    </row>
    <row r="4839" spans="23:23" x14ac:dyDescent="0.45">
      <c r="W4839" s="320"/>
    </row>
    <row r="4840" spans="23:23" x14ac:dyDescent="0.45">
      <c r="W4840" s="320"/>
    </row>
    <row r="4841" spans="23:23" x14ac:dyDescent="0.45">
      <c r="W4841" s="320"/>
    </row>
    <row r="4842" spans="23:23" x14ac:dyDescent="0.45">
      <c r="W4842" s="320"/>
    </row>
    <row r="4843" spans="23:23" x14ac:dyDescent="0.45">
      <c r="W4843" s="320"/>
    </row>
    <row r="4844" spans="23:23" x14ac:dyDescent="0.45">
      <c r="W4844" s="320"/>
    </row>
    <row r="4845" spans="23:23" x14ac:dyDescent="0.45">
      <c r="W4845" s="320"/>
    </row>
    <row r="4846" spans="23:23" x14ac:dyDescent="0.45">
      <c r="W4846" s="320"/>
    </row>
    <row r="4847" spans="23:23" x14ac:dyDescent="0.45">
      <c r="W4847" s="320"/>
    </row>
    <row r="4848" spans="23:23" x14ac:dyDescent="0.45">
      <c r="W4848" s="320"/>
    </row>
    <row r="4849" spans="23:23" x14ac:dyDescent="0.45">
      <c r="W4849" s="320"/>
    </row>
    <row r="4850" spans="23:23" x14ac:dyDescent="0.45">
      <c r="W4850" s="320"/>
    </row>
    <row r="4851" spans="23:23" x14ac:dyDescent="0.45">
      <c r="W4851" s="320"/>
    </row>
    <row r="4852" spans="23:23" x14ac:dyDescent="0.45">
      <c r="W4852" s="320"/>
    </row>
    <row r="4853" spans="23:23" x14ac:dyDescent="0.45">
      <c r="W4853" s="320"/>
    </row>
    <row r="4854" spans="23:23" x14ac:dyDescent="0.45">
      <c r="W4854" s="320"/>
    </row>
    <row r="4855" spans="23:23" x14ac:dyDescent="0.45">
      <c r="W4855" s="320"/>
    </row>
    <row r="4856" spans="23:23" x14ac:dyDescent="0.45">
      <c r="W4856" s="320"/>
    </row>
    <row r="4857" spans="23:23" x14ac:dyDescent="0.45">
      <c r="W4857" s="320"/>
    </row>
    <row r="4858" spans="23:23" x14ac:dyDescent="0.45">
      <c r="W4858" s="320"/>
    </row>
    <row r="4859" spans="23:23" x14ac:dyDescent="0.45">
      <c r="W4859" s="320"/>
    </row>
    <row r="4860" spans="23:23" x14ac:dyDescent="0.45">
      <c r="W4860" s="320"/>
    </row>
    <row r="4861" spans="23:23" x14ac:dyDescent="0.45">
      <c r="W4861" s="320"/>
    </row>
    <row r="4862" spans="23:23" x14ac:dyDescent="0.45">
      <c r="W4862" s="320"/>
    </row>
    <row r="4863" spans="23:23" x14ac:dyDescent="0.45">
      <c r="W4863" s="320"/>
    </row>
    <row r="4864" spans="23:23" x14ac:dyDescent="0.45">
      <c r="W4864" s="320"/>
    </row>
    <row r="4865" spans="23:23" x14ac:dyDescent="0.45">
      <c r="W4865" s="320"/>
    </row>
    <row r="4866" spans="23:23" x14ac:dyDescent="0.45">
      <c r="W4866" s="320"/>
    </row>
    <row r="4867" spans="23:23" x14ac:dyDescent="0.45">
      <c r="W4867" s="320"/>
    </row>
    <row r="4868" spans="23:23" x14ac:dyDescent="0.45">
      <c r="W4868" s="320"/>
    </row>
    <row r="4869" spans="23:23" x14ac:dyDescent="0.45">
      <c r="W4869" s="320"/>
    </row>
    <row r="4870" spans="23:23" x14ac:dyDescent="0.45">
      <c r="W4870" s="320"/>
    </row>
    <row r="4871" spans="23:23" x14ac:dyDescent="0.45">
      <c r="W4871" s="320"/>
    </row>
    <row r="4872" spans="23:23" x14ac:dyDescent="0.45">
      <c r="W4872" s="320"/>
    </row>
    <row r="4873" spans="23:23" x14ac:dyDescent="0.45">
      <c r="W4873" s="320"/>
    </row>
    <row r="4874" spans="23:23" x14ac:dyDescent="0.45">
      <c r="W4874" s="320"/>
    </row>
    <row r="4875" spans="23:23" x14ac:dyDescent="0.45">
      <c r="W4875" s="320"/>
    </row>
    <row r="4876" spans="23:23" x14ac:dyDescent="0.45">
      <c r="W4876" s="320"/>
    </row>
    <row r="4877" spans="23:23" x14ac:dyDescent="0.45">
      <c r="W4877" s="320"/>
    </row>
    <row r="4878" spans="23:23" x14ac:dyDescent="0.45">
      <c r="W4878" s="320"/>
    </row>
    <row r="4879" spans="23:23" x14ac:dyDescent="0.45">
      <c r="W4879" s="320"/>
    </row>
    <row r="4880" spans="23:23" x14ac:dyDescent="0.45">
      <c r="W4880" s="320"/>
    </row>
    <row r="4881" spans="23:23" x14ac:dyDescent="0.45">
      <c r="W4881" s="320"/>
    </row>
    <row r="4882" spans="23:23" x14ac:dyDescent="0.45">
      <c r="W4882" s="320"/>
    </row>
    <row r="4883" spans="23:23" x14ac:dyDescent="0.45">
      <c r="W4883" s="320"/>
    </row>
    <row r="4884" spans="23:23" x14ac:dyDescent="0.45">
      <c r="W4884" s="320"/>
    </row>
    <row r="4885" spans="23:23" x14ac:dyDescent="0.45">
      <c r="W4885" s="320"/>
    </row>
    <row r="4886" spans="23:23" x14ac:dyDescent="0.45">
      <c r="W4886" s="320"/>
    </row>
    <row r="4887" spans="23:23" x14ac:dyDescent="0.45">
      <c r="W4887" s="320"/>
    </row>
    <row r="4888" spans="23:23" x14ac:dyDescent="0.45">
      <c r="W4888" s="320"/>
    </row>
    <row r="4889" spans="23:23" x14ac:dyDescent="0.45">
      <c r="W4889" s="320"/>
    </row>
    <row r="4890" spans="23:23" x14ac:dyDescent="0.45">
      <c r="W4890" s="320"/>
    </row>
    <row r="4891" spans="23:23" x14ac:dyDescent="0.45">
      <c r="W4891" s="320"/>
    </row>
    <row r="4892" spans="23:23" x14ac:dyDescent="0.45">
      <c r="W4892" s="320"/>
    </row>
    <row r="4893" spans="23:23" x14ac:dyDescent="0.45">
      <c r="W4893" s="320"/>
    </row>
    <row r="4894" spans="23:23" x14ac:dyDescent="0.45">
      <c r="W4894" s="320"/>
    </row>
    <row r="4895" spans="23:23" x14ac:dyDescent="0.45">
      <c r="W4895" s="320"/>
    </row>
    <row r="4896" spans="23:23" x14ac:dyDescent="0.45">
      <c r="W4896" s="320"/>
    </row>
    <row r="4897" spans="23:23" x14ac:dyDescent="0.45">
      <c r="W4897" s="320"/>
    </row>
    <row r="4898" spans="23:23" x14ac:dyDescent="0.45">
      <c r="W4898" s="320"/>
    </row>
    <row r="4899" spans="23:23" x14ac:dyDescent="0.45">
      <c r="W4899" s="320"/>
    </row>
    <row r="4900" spans="23:23" x14ac:dyDescent="0.45">
      <c r="W4900" s="320"/>
    </row>
    <row r="4901" spans="23:23" x14ac:dyDescent="0.45">
      <c r="W4901" s="320"/>
    </row>
    <row r="4902" spans="23:23" x14ac:dyDescent="0.45">
      <c r="W4902" s="320"/>
    </row>
    <row r="4903" spans="23:23" x14ac:dyDescent="0.45">
      <c r="W4903" s="320"/>
    </row>
    <row r="4904" spans="23:23" x14ac:dyDescent="0.45">
      <c r="W4904" s="320"/>
    </row>
    <row r="4905" spans="23:23" x14ac:dyDescent="0.45">
      <c r="W4905" s="320"/>
    </row>
    <row r="4906" spans="23:23" x14ac:dyDescent="0.45">
      <c r="W4906" s="320"/>
    </row>
    <row r="4907" spans="23:23" x14ac:dyDescent="0.45">
      <c r="W4907" s="320"/>
    </row>
    <row r="4908" spans="23:23" x14ac:dyDescent="0.45">
      <c r="W4908" s="320"/>
    </row>
    <row r="4909" spans="23:23" x14ac:dyDescent="0.45">
      <c r="W4909" s="320"/>
    </row>
    <row r="4910" spans="23:23" x14ac:dyDescent="0.45">
      <c r="W4910" s="320"/>
    </row>
    <row r="4911" spans="23:23" x14ac:dyDescent="0.45">
      <c r="W4911" s="320"/>
    </row>
    <row r="4912" spans="23:23" x14ac:dyDescent="0.45">
      <c r="W4912" s="320"/>
    </row>
    <row r="4913" spans="23:23" x14ac:dyDescent="0.45">
      <c r="W4913" s="320"/>
    </row>
    <row r="4914" spans="23:23" x14ac:dyDescent="0.45">
      <c r="W4914" s="320"/>
    </row>
    <row r="4915" spans="23:23" x14ac:dyDescent="0.45">
      <c r="W4915" s="320"/>
    </row>
    <row r="4916" spans="23:23" x14ac:dyDescent="0.45">
      <c r="W4916" s="320"/>
    </row>
    <row r="4917" spans="23:23" x14ac:dyDescent="0.45">
      <c r="W4917" s="320"/>
    </row>
    <row r="4918" spans="23:23" x14ac:dyDescent="0.45">
      <c r="W4918" s="320"/>
    </row>
    <row r="4919" spans="23:23" x14ac:dyDescent="0.45">
      <c r="W4919" s="320"/>
    </row>
    <row r="4920" spans="23:23" x14ac:dyDescent="0.45">
      <c r="W4920" s="320"/>
    </row>
    <row r="4921" spans="23:23" x14ac:dyDescent="0.45">
      <c r="W4921" s="320"/>
    </row>
    <row r="4922" spans="23:23" x14ac:dyDescent="0.45">
      <c r="W4922" s="320"/>
    </row>
    <row r="4923" spans="23:23" x14ac:dyDescent="0.45">
      <c r="W4923" s="320"/>
    </row>
    <row r="4924" spans="23:23" x14ac:dyDescent="0.45">
      <c r="W4924" s="320"/>
    </row>
    <row r="4925" spans="23:23" x14ac:dyDescent="0.45">
      <c r="W4925" s="320"/>
    </row>
    <row r="4926" spans="23:23" x14ac:dyDescent="0.45">
      <c r="W4926" s="320"/>
    </row>
    <row r="4927" spans="23:23" x14ac:dyDescent="0.45">
      <c r="W4927" s="320"/>
    </row>
    <row r="4928" spans="23:23" x14ac:dyDescent="0.45">
      <c r="W4928" s="320"/>
    </row>
    <row r="4929" spans="23:23" x14ac:dyDescent="0.45">
      <c r="W4929" s="320"/>
    </row>
    <row r="4930" spans="23:23" x14ac:dyDescent="0.45">
      <c r="W4930" s="320"/>
    </row>
    <row r="4931" spans="23:23" x14ac:dyDescent="0.45">
      <c r="W4931" s="320"/>
    </row>
    <row r="4932" spans="23:23" x14ac:dyDescent="0.45">
      <c r="W4932" s="320"/>
    </row>
    <row r="4933" spans="23:23" x14ac:dyDescent="0.45">
      <c r="W4933" s="320"/>
    </row>
    <row r="4934" spans="23:23" x14ac:dyDescent="0.45">
      <c r="W4934" s="320"/>
    </row>
    <row r="4935" spans="23:23" x14ac:dyDescent="0.45">
      <c r="W4935" s="320"/>
    </row>
    <row r="4936" spans="23:23" x14ac:dyDescent="0.45">
      <c r="W4936" s="320"/>
    </row>
    <row r="4937" spans="23:23" x14ac:dyDescent="0.45">
      <c r="W4937" s="320"/>
    </row>
    <row r="4938" spans="23:23" x14ac:dyDescent="0.45">
      <c r="W4938" s="320"/>
    </row>
    <row r="4939" spans="23:23" x14ac:dyDescent="0.45">
      <c r="W4939" s="320"/>
    </row>
    <row r="4940" spans="23:23" x14ac:dyDescent="0.45">
      <c r="W4940" s="320"/>
    </row>
    <row r="4941" spans="23:23" x14ac:dyDescent="0.45">
      <c r="W4941" s="320"/>
    </row>
    <row r="4942" spans="23:23" x14ac:dyDescent="0.45">
      <c r="W4942" s="320"/>
    </row>
    <row r="4943" spans="23:23" x14ac:dyDescent="0.45">
      <c r="W4943" s="320"/>
    </row>
    <row r="4944" spans="23:23" x14ac:dyDescent="0.45">
      <c r="W4944" s="320"/>
    </row>
    <row r="4945" spans="23:23" x14ac:dyDescent="0.45">
      <c r="W4945" s="320"/>
    </row>
    <row r="4946" spans="23:23" x14ac:dyDescent="0.45">
      <c r="W4946" s="320"/>
    </row>
    <row r="4947" spans="23:23" x14ac:dyDescent="0.45">
      <c r="W4947" s="320"/>
    </row>
    <row r="4948" spans="23:23" x14ac:dyDescent="0.45">
      <c r="W4948" s="320"/>
    </row>
    <row r="4949" spans="23:23" x14ac:dyDescent="0.45">
      <c r="W4949" s="320"/>
    </row>
    <row r="4950" spans="23:23" x14ac:dyDescent="0.45">
      <c r="W4950" s="320"/>
    </row>
    <row r="4951" spans="23:23" x14ac:dyDescent="0.45">
      <c r="W4951" s="320"/>
    </row>
    <row r="4952" spans="23:23" x14ac:dyDescent="0.45">
      <c r="W4952" s="320"/>
    </row>
    <row r="4953" spans="23:23" x14ac:dyDescent="0.45">
      <c r="W4953" s="320"/>
    </row>
    <row r="4954" spans="23:23" x14ac:dyDescent="0.45">
      <c r="W4954" s="320"/>
    </row>
    <row r="4955" spans="23:23" x14ac:dyDescent="0.45">
      <c r="W4955" s="320"/>
    </row>
    <row r="4956" spans="23:23" x14ac:dyDescent="0.45">
      <c r="W4956" s="320"/>
    </row>
    <row r="4957" spans="23:23" x14ac:dyDescent="0.45">
      <c r="W4957" s="320"/>
    </row>
    <row r="4958" spans="23:23" x14ac:dyDescent="0.45">
      <c r="W4958" s="320"/>
    </row>
    <row r="4959" spans="23:23" x14ac:dyDescent="0.45">
      <c r="W4959" s="320"/>
    </row>
    <row r="4960" spans="23:23" x14ac:dyDescent="0.45">
      <c r="W4960" s="320"/>
    </row>
    <row r="4961" spans="23:23" x14ac:dyDescent="0.45">
      <c r="W4961" s="320"/>
    </row>
    <row r="4962" spans="23:23" x14ac:dyDescent="0.45">
      <c r="W4962" s="320"/>
    </row>
    <row r="4963" spans="23:23" x14ac:dyDescent="0.45">
      <c r="W4963" s="320"/>
    </row>
    <row r="4964" spans="23:23" x14ac:dyDescent="0.45">
      <c r="W4964" s="320"/>
    </row>
    <row r="4965" spans="23:23" x14ac:dyDescent="0.45">
      <c r="W4965" s="320"/>
    </row>
    <row r="4966" spans="23:23" x14ac:dyDescent="0.45">
      <c r="W4966" s="320"/>
    </row>
    <row r="4967" spans="23:23" x14ac:dyDescent="0.45">
      <c r="W4967" s="320"/>
    </row>
    <row r="4968" spans="23:23" x14ac:dyDescent="0.45">
      <c r="W4968" s="320"/>
    </row>
    <row r="4969" spans="23:23" x14ac:dyDescent="0.45">
      <c r="W4969" s="320"/>
    </row>
    <row r="4970" spans="23:23" x14ac:dyDescent="0.45">
      <c r="W4970" s="320"/>
    </row>
    <row r="4971" spans="23:23" x14ac:dyDescent="0.45">
      <c r="W4971" s="320"/>
    </row>
    <row r="4972" spans="23:23" x14ac:dyDescent="0.45">
      <c r="W4972" s="320"/>
    </row>
    <row r="4973" spans="23:23" x14ac:dyDescent="0.45">
      <c r="W4973" s="320"/>
    </row>
    <row r="4974" spans="23:23" x14ac:dyDescent="0.45">
      <c r="W4974" s="320"/>
    </row>
    <row r="4975" spans="23:23" x14ac:dyDescent="0.45">
      <c r="W4975" s="320"/>
    </row>
    <row r="4976" spans="23:23" x14ac:dyDescent="0.45">
      <c r="W4976" s="320"/>
    </row>
    <row r="4977" spans="23:23" x14ac:dyDescent="0.45">
      <c r="W4977" s="320"/>
    </row>
    <row r="4978" spans="23:23" x14ac:dyDescent="0.45">
      <c r="W4978" s="320"/>
    </row>
    <row r="4979" spans="23:23" x14ac:dyDescent="0.45">
      <c r="W4979" s="320"/>
    </row>
    <row r="4980" spans="23:23" x14ac:dyDescent="0.45">
      <c r="W4980" s="320"/>
    </row>
    <row r="4981" spans="23:23" x14ac:dyDescent="0.45">
      <c r="W4981" s="320"/>
    </row>
    <row r="4982" spans="23:23" x14ac:dyDescent="0.45">
      <c r="W4982" s="320"/>
    </row>
    <row r="4983" spans="23:23" x14ac:dyDescent="0.45">
      <c r="W4983" s="320"/>
    </row>
    <row r="4984" spans="23:23" x14ac:dyDescent="0.45">
      <c r="W4984" s="320"/>
    </row>
    <row r="4985" spans="23:23" x14ac:dyDescent="0.45">
      <c r="W4985" s="320"/>
    </row>
    <row r="4986" spans="23:23" x14ac:dyDescent="0.45">
      <c r="W4986" s="320"/>
    </row>
    <row r="4987" spans="23:23" x14ac:dyDescent="0.45">
      <c r="W4987" s="320"/>
    </row>
    <row r="4988" spans="23:23" x14ac:dyDescent="0.45">
      <c r="W4988" s="320"/>
    </row>
    <row r="4989" spans="23:23" x14ac:dyDescent="0.45">
      <c r="W4989" s="320"/>
    </row>
    <row r="4990" spans="23:23" x14ac:dyDescent="0.45">
      <c r="W4990" s="320"/>
    </row>
    <row r="4991" spans="23:23" x14ac:dyDescent="0.45">
      <c r="W4991" s="320"/>
    </row>
    <row r="4992" spans="23:23" x14ac:dyDescent="0.45">
      <c r="W4992" s="320"/>
    </row>
    <row r="4993" spans="23:23" x14ac:dyDescent="0.45">
      <c r="W4993" s="320"/>
    </row>
    <row r="4994" spans="23:23" x14ac:dyDescent="0.45">
      <c r="W4994" s="320"/>
    </row>
    <row r="4995" spans="23:23" x14ac:dyDescent="0.45">
      <c r="W4995" s="320"/>
    </row>
    <row r="4996" spans="23:23" x14ac:dyDescent="0.45">
      <c r="W4996" s="320"/>
    </row>
    <row r="4997" spans="23:23" x14ac:dyDescent="0.45">
      <c r="W4997" s="320"/>
    </row>
    <row r="4998" spans="23:23" x14ac:dyDescent="0.45">
      <c r="W4998" s="320"/>
    </row>
    <row r="4999" spans="23:23" x14ac:dyDescent="0.45">
      <c r="W4999" s="320"/>
    </row>
    <row r="5000" spans="23:23" x14ac:dyDescent="0.45">
      <c r="W5000" s="320"/>
    </row>
    <row r="5001" spans="23:23" x14ac:dyDescent="0.45">
      <c r="W5001" s="320"/>
    </row>
    <row r="5002" spans="23:23" x14ac:dyDescent="0.45">
      <c r="W5002" s="320"/>
    </row>
    <row r="5003" spans="23:23" x14ac:dyDescent="0.45">
      <c r="W5003" s="320"/>
    </row>
    <row r="5004" spans="23:23" x14ac:dyDescent="0.45">
      <c r="W5004" s="320"/>
    </row>
    <row r="5005" spans="23:23" x14ac:dyDescent="0.45">
      <c r="W5005" s="320"/>
    </row>
    <row r="5006" spans="23:23" x14ac:dyDescent="0.45">
      <c r="W5006" s="320"/>
    </row>
    <row r="5007" spans="23:23" x14ac:dyDescent="0.45">
      <c r="W5007" s="320"/>
    </row>
    <row r="5008" spans="23:23" x14ac:dyDescent="0.45">
      <c r="W5008" s="320"/>
    </row>
    <row r="5009" spans="23:23" x14ac:dyDescent="0.45">
      <c r="W5009" s="320"/>
    </row>
    <row r="5010" spans="23:23" x14ac:dyDescent="0.45">
      <c r="W5010" s="320"/>
    </row>
    <row r="5011" spans="23:23" x14ac:dyDescent="0.45">
      <c r="W5011" s="320"/>
    </row>
    <row r="5012" spans="23:23" x14ac:dyDescent="0.45">
      <c r="W5012" s="320"/>
    </row>
    <row r="5013" spans="23:23" x14ac:dyDescent="0.45">
      <c r="W5013" s="320"/>
    </row>
    <row r="5014" spans="23:23" x14ac:dyDescent="0.45">
      <c r="W5014" s="320"/>
    </row>
    <row r="5015" spans="23:23" x14ac:dyDescent="0.45">
      <c r="W5015" s="320"/>
    </row>
    <row r="5016" spans="23:23" x14ac:dyDescent="0.45">
      <c r="W5016" s="320"/>
    </row>
    <row r="5017" spans="23:23" x14ac:dyDescent="0.45">
      <c r="W5017" s="320"/>
    </row>
    <row r="5018" spans="23:23" x14ac:dyDescent="0.45">
      <c r="W5018" s="320"/>
    </row>
    <row r="5019" spans="23:23" x14ac:dyDescent="0.45">
      <c r="W5019" s="320"/>
    </row>
    <row r="5020" spans="23:23" x14ac:dyDescent="0.45">
      <c r="W5020" s="320"/>
    </row>
    <row r="5021" spans="23:23" x14ac:dyDescent="0.45">
      <c r="W5021" s="320"/>
    </row>
    <row r="5022" spans="23:23" x14ac:dyDescent="0.45">
      <c r="W5022" s="320"/>
    </row>
    <row r="5023" spans="23:23" x14ac:dyDescent="0.45">
      <c r="W5023" s="320"/>
    </row>
    <row r="5024" spans="23:23" x14ac:dyDescent="0.45">
      <c r="W5024" s="320"/>
    </row>
    <row r="5025" spans="23:23" x14ac:dyDescent="0.45">
      <c r="W5025" s="320"/>
    </row>
    <row r="5026" spans="23:23" x14ac:dyDescent="0.45">
      <c r="W5026" s="320"/>
    </row>
    <row r="5027" spans="23:23" x14ac:dyDescent="0.45">
      <c r="W5027" s="320"/>
    </row>
    <row r="5028" spans="23:23" x14ac:dyDescent="0.45">
      <c r="W5028" s="320"/>
    </row>
    <row r="5029" spans="23:23" x14ac:dyDescent="0.45">
      <c r="W5029" s="320"/>
    </row>
    <row r="5030" spans="23:23" x14ac:dyDescent="0.45">
      <c r="W5030" s="320"/>
    </row>
    <row r="5031" spans="23:23" x14ac:dyDescent="0.45">
      <c r="W5031" s="320"/>
    </row>
    <row r="5032" spans="23:23" x14ac:dyDescent="0.45">
      <c r="W5032" s="320"/>
    </row>
    <row r="5033" spans="23:23" x14ac:dyDescent="0.45">
      <c r="W5033" s="320"/>
    </row>
    <row r="5034" spans="23:23" x14ac:dyDescent="0.45">
      <c r="W5034" s="320"/>
    </row>
    <row r="5035" spans="23:23" x14ac:dyDescent="0.45">
      <c r="W5035" s="320"/>
    </row>
    <row r="5036" spans="23:23" x14ac:dyDescent="0.45">
      <c r="W5036" s="320"/>
    </row>
    <row r="5037" spans="23:23" x14ac:dyDescent="0.45">
      <c r="W5037" s="320"/>
    </row>
    <row r="5038" spans="23:23" x14ac:dyDescent="0.45">
      <c r="W5038" s="320"/>
    </row>
    <row r="5039" spans="23:23" x14ac:dyDescent="0.45">
      <c r="W5039" s="320"/>
    </row>
    <row r="5040" spans="23:23" x14ac:dyDescent="0.45">
      <c r="W5040" s="320"/>
    </row>
    <row r="5041" spans="23:23" x14ac:dyDescent="0.45">
      <c r="W5041" s="320"/>
    </row>
    <row r="5042" spans="23:23" x14ac:dyDescent="0.45">
      <c r="W5042" s="320"/>
    </row>
    <row r="5043" spans="23:23" x14ac:dyDescent="0.45">
      <c r="W5043" s="320"/>
    </row>
    <row r="5044" spans="23:23" x14ac:dyDescent="0.45">
      <c r="W5044" s="320"/>
    </row>
    <row r="5045" spans="23:23" x14ac:dyDescent="0.45">
      <c r="W5045" s="320"/>
    </row>
    <row r="5046" spans="23:23" x14ac:dyDescent="0.45">
      <c r="W5046" s="320"/>
    </row>
    <row r="5047" spans="23:23" x14ac:dyDescent="0.45">
      <c r="W5047" s="320"/>
    </row>
    <row r="5048" spans="23:23" x14ac:dyDescent="0.45">
      <c r="W5048" s="320"/>
    </row>
    <row r="5049" spans="23:23" x14ac:dyDescent="0.45">
      <c r="W5049" s="320"/>
    </row>
    <row r="5050" spans="23:23" x14ac:dyDescent="0.45">
      <c r="W5050" s="320"/>
    </row>
    <row r="5051" spans="23:23" x14ac:dyDescent="0.45">
      <c r="W5051" s="320"/>
    </row>
    <row r="5052" spans="23:23" x14ac:dyDescent="0.45">
      <c r="W5052" s="320"/>
    </row>
    <row r="5053" spans="23:23" x14ac:dyDescent="0.45">
      <c r="W5053" s="320"/>
    </row>
    <row r="5054" spans="23:23" x14ac:dyDescent="0.45">
      <c r="W5054" s="320"/>
    </row>
    <row r="5055" spans="23:23" x14ac:dyDescent="0.45">
      <c r="W5055" s="320"/>
    </row>
    <row r="5056" spans="23:23" x14ac:dyDescent="0.45">
      <c r="W5056" s="320"/>
    </row>
    <row r="5057" spans="23:23" x14ac:dyDescent="0.45">
      <c r="W5057" s="320"/>
    </row>
    <row r="5058" spans="23:23" x14ac:dyDescent="0.45">
      <c r="W5058" s="320"/>
    </row>
    <row r="5059" spans="23:23" x14ac:dyDescent="0.45">
      <c r="W5059" s="320"/>
    </row>
    <row r="5060" spans="23:23" x14ac:dyDescent="0.45">
      <c r="W5060" s="320"/>
    </row>
    <row r="5061" spans="23:23" x14ac:dyDescent="0.45">
      <c r="W5061" s="320"/>
    </row>
    <row r="5062" spans="23:23" x14ac:dyDescent="0.45">
      <c r="W5062" s="320"/>
    </row>
    <row r="5063" spans="23:23" x14ac:dyDescent="0.45">
      <c r="W5063" s="320"/>
    </row>
    <row r="5064" spans="23:23" x14ac:dyDescent="0.45">
      <c r="W5064" s="320"/>
    </row>
    <row r="5065" spans="23:23" x14ac:dyDescent="0.45">
      <c r="W5065" s="320"/>
    </row>
    <row r="5066" spans="23:23" x14ac:dyDescent="0.45">
      <c r="W5066" s="320"/>
    </row>
    <row r="5067" spans="23:23" x14ac:dyDescent="0.45">
      <c r="W5067" s="320"/>
    </row>
    <row r="5068" spans="23:23" x14ac:dyDescent="0.45">
      <c r="W5068" s="320"/>
    </row>
    <row r="5069" spans="23:23" x14ac:dyDescent="0.45">
      <c r="W5069" s="320"/>
    </row>
    <row r="5070" spans="23:23" x14ac:dyDescent="0.45">
      <c r="W5070" s="320"/>
    </row>
    <row r="5071" spans="23:23" x14ac:dyDescent="0.45">
      <c r="W5071" s="320"/>
    </row>
    <row r="5072" spans="23:23" x14ac:dyDescent="0.45">
      <c r="W5072" s="320"/>
    </row>
    <row r="5073" spans="23:23" x14ac:dyDescent="0.45">
      <c r="W5073" s="320"/>
    </row>
    <row r="5074" spans="23:23" x14ac:dyDescent="0.45">
      <c r="W5074" s="320"/>
    </row>
    <row r="5075" spans="23:23" x14ac:dyDescent="0.45">
      <c r="W5075" s="320"/>
    </row>
    <row r="5076" spans="23:23" x14ac:dyDescent="0.45">
      <c r="W5076" s="320"/>
    </row>
    <row r="5077" spans="23:23" x14ac:dyDescent="0.45">
      <c r="W5077" s="320"/>
    </row>
    <row r="5078" spans="23:23" x14ac:dyDescent="0.45">
      <c r="W5078" s="320"/>
    </row>
    <row r="5079" spans="23:23" x14ac:dyDescent="0.45">
      <c r="W5079" s="320"/>
    </row>
    <row r="5080" spans="23:23" x14ac:dyDescent="0.45">
      <c r="W5080" s="320"/>
    </row>
    <row r="5081" spans="23:23" x14ac:dyDescent="0.45">
      <c r="W5081" s="320"/>
    </row>
    <row r="5082" spans="23:23" x14ac:dyDescent="0.45">
      <c r="W5082" s="320"/>
    </row>
    <row r="5083" spans="23:23" x14ac:dyDescent="0.45">
      <c r="W5083" s="320"/>
    </row>
    <row r="5084" spans="23:23" x14ac:dyDescent="0.45">
      <c r="W5084" s="320"/>
    </row>
    <row r="5085" spans="23:23" x14ac:dyDescent="0.45">
      <c r="W5085" s="320"/>
    </row>
    <row r="5086" spans="23:23" x14ac:dyDescent="0.45">
      <c r="W5086" s="320"/>
    </row>
    <row r="5087" spans="23:23" x14ac:dyDescent="0.45">
      <c r="W5087" s="320"/>
    </row>
    <row r="5088" spans="23:23" x14ac:dyDescent="0.45">
      <c r="W5088" s="320"/>
    </row>
    <row r="5089" spans="23:23" x14ac:dyDescent="0.45">
      <c r="W5089" s="320"/>
    </row>
    <row r="5090" spans="23:23" x14ac:dyDescent="0.45">
      <c r="W5090" s="320"/>
    </row>
    <row r="5091" spans="23:23" x14ac:dyDescent="0.45">
      <c r="W5091" s="320"/>
    </row>
    <row r="5092" spans="23:23" x14ac:dyDescent="0.45">
      <c r="W5092" s="320"/>
    </row>
    <row r="5093" spans="23:23" x14ac:dyDescent="0.45">
      <c r="W5093" s="320"/>
    </row>
    <row r="5094" spans="23:23" x14ac:dyDescent="0.45">
      <c r="W5094" s="320"/>
    </row>
    <row r="5095" spans="23:23" x14ac:dyDescent="0.45">
      <c r="W5095" s="320"/>
    </row>
    <row r="5096" spans="23:23" x14ac:dyDescent="0.45">
      <c r="W5096" s="320"/>
    </row>
    <row r="5097" spans="23:23" x14ac:dyDescent="0.45">
      <c r="W5097" s="320"/>
    </row>
    <row r="5098" spans="23:23" x14ac:dyDescent="0.45">
      <c r="W5098" s="320"/>
    </row>
    <row r="5099" spans="23:23" x14ac:dyDescent="0.45">
      <c r="W5099" s="320"/>
    </row>
    <row r="5100" spans="23:23" x14ac:dyDescent="0.45">
      <c r="W5100" s="320"/>
    </row>
    <row r="5101" spans="23:23" x14ac:dyDescent="0.45">
      <c r="W5101" s="320"/>
    </row>
    <row r="5102" spans="23:23" x14ac:dyDescent="0.45">
      <c r="W5102" s="320"/>
    </row>
    <row r="5103" spans="23:23" x14ac:dyDescent="0.45">
      <c r="W5103" s="320"/>
    </row>
    <row r="5104" spans="23:23" x14ac:dyDescent="0.45">
      <c r="W5104" s="320"/>
    </row>
    <row r="5105" spans="23:23" x14ac:dyDescent="0.45">
      <c r="W5105" s="320"/>
    </row>
    <row r="5106" spans="23:23" x14ac:dyDescent="0.45">
      <c r="W5106" s="320"/>
    </row>
    <row r="5107" spans="23:23" x14ac:dyDescent="0.45">
      <c r="W5107" s="320"/>
    </row>
    <row r="5108" spans="23:23" x14ac:dyDescent="0.45">
      <c r="W5108" s="320"/>
    </row>
    <row r="5109" spans="23:23" x14ac:dyDescent="0.45">
      <c r="W5109" s="320"/>
    </row>
    <row r="5110" spans="23:23" x14ac:dyDescent="0.45">
      <c r="W5110" s="320"/>
    </row>
    <row r="5111" spans="23:23" x14ac:dyDescent="0.45">
      <c r="W5111" s="320"/>
    </row>
    <row r="5112" spans="23:23" x14ac:dyDescent="0.45">
      <c r="W5112" s="320"/>
    </row>
    <row r="5113" spans="23:23" x14ac:dyDescent="0.45">
      <c r="W5113" s="320"/>
    </row>
    <row r="5114" spans="23:23" x14ac:dyDescent="0.45">
      <c r="W5114" s="320"/>
    </row>
    <row r="5115" spans="23:23" x14ac:dyDescent="0.45">
      <c r="W5115" s="320"/>
    </row>
    <row r="5116" spans="23:23" x14ac:dyDescent="0.45">
      <c r="W5116" s="320"/>
    </row>
    <row r="5117" spans="23:23" x14ac:dyDescent="0.45">
      <c r="W5117" s="320"/>
    </row>
    <row r="5118" spans="23:23" x14ac:dyDescent="0.45">
      <c r="W5118" s="320"/>
    </row>
    <row r="5119" spans="23:23" x14ac:dyDescent="0.45">
      <c r="W5119" s="320"/>
    </row>
    <row r="5120" spans="23:23" x14ac:dyDescent="0.45">
      <c r="W5120" s="320"/>
    </row>
    <row r="5121" spans="23:23" x14ac:dyDescent="0.45">
      <c r="W5121" s="320"/>
    </row>
    <row r="5122" spans="23:23" x14ac:dyDescent="0.45">
      <c r="W5122" s="320"/>
    </row>
    <row r="5123" spans="23:23" x14ac:dyDescent="0.45">
      <c r="W5123" s="320"/>
    </row>
    <row r="5124" spans="23:23" x14ac:dyDescent="0.45">
      <c r="W5124" s="320"/>
    </row>
    <row r="5125" spans="23:23" x14ac:dyDescent="0.45">
      <c r="W5125" s="320"/>
    </row>
    <row r="5126" spans="23:23" x14ac:dyDescent="0.45">
      <c r="W5126" s="320"/>
    </row>
    <row r="5127" spans="23:23" x14ac:dyDescent="0.45">
      <c r="W5127" s="320"/>
    </row>
    <row r="5128" spans="23:23" x14ac:dyDescent="0.45">
      <c r="W5128" s="320"/>
    </row>
    <row r="5129" spans="23:23" x14ac:dyDescent="0.45">
      <c r="W5129" s="320"/>
    </row>
    <row r="5130" spans="23:23" x14ac:dyDescent="0.45">
      <c r="W5130" s="320"/>
    </row>
    <row r="5131" spans="23:23" x14ac:dyDescent="0.45">
      <c r="W5131" s="320"/>
    </row>
    <row r="5132" spans="23:23" x14ac:dyDescent="0.45">
      <c r="W5132" s="320"/>
    </row>
    <row r="5133" spans="23:23" x14ac:dyDescent="0.45">
      <c r="W5133" s="320"/>
    </row>
    <row r="5134" spans="23:23" x14ac:dyDescent="0.45">
      <c r="W5134" s="320"/>
    </row>
    <row r="5135" spans="23:23" x14ac:dyDescent="0.45">
      <c r="W5135" s="320"/>
    </row>
    <row r="5136" spans="23:23" x14ac:dyDescent="0.45">
      <c r="W5136" s="320"/>
    </row>
    <row r="5137" spans="23:23" x14ac:dyDescent="0.45">
      <c r="W5137" s="320"/>
    </row>
    <row r="5138" spans="23:23" x14ac:dyDescent="0.45">
      <c r="W5138" s="320"/>
    </row>
    <row r="5139" spans="23:23" x14ac:dyDescent="0.45">
      <c r="W5139" s="320"/>
    </row>
    <row r="5140" spans="23:23" x14ac:dyDescent="0.45">
      <c r="W5140" s="320"/>
    </row>
    <row r="5141" spans="23:23" x14ac:dyDescent="0.45">
      <c r="W5141" s="320"/>
    </row>
    <row r="5142" spans="23:23" x14ac:dyDescent="0.45">
      <c r="W5142" s="320"/>
    </row>
    <row r="5143" spans="23:23" x14ac:dyDescent="0.45">
      <c r="W5143" s="320"/>
    </row>
    <row r="5144" spans="23:23" x14ac:dyDescent="0.45">
      <c r="W5144" s="320"/>
    </row>
    <row r="5145" spans="23:23" x14ac:dyDescent="0.45">
      <c r="W5145" s="320"/>
    </row>
    <row r="5146" spans="23:23" x14ac:dyDescent="0.45">
      <c r="W5146" s="320"/>
    </row>
    <row r="5147" spans="23:23" x14ac:dyDescent="0.45">
      <c r="W5147" s="320"/>
    </row>
    <row r="5148" spans="23:23" x14ac:dyDescent="0.45">
      <c r="W5148" s="320"/>
    </row>
    <row r="5149" spans="23:23" x14ac:dyDescent="0.45">
      <c r="W5149" s="320"/>
    </row>
    <row r="5150" spans="23:23" x14ac:dyDescent="0.45">
      <c r="W5150" s="320"/>
    </row>
    <row r="5151" spans="23:23" x14ac:dyDescent="0.45">
      <c r="W5151" s="320"/>
    </row>
    <row r="5152" spans="23:23" x14ac:dyDescent="0.45">
      <c r="W5152" s="320"/>
    </row>
    <row r="5153" spans="23:23" x14ac:dyDescent="0.45">
      <c r="W5153" s="320"/>
    </row>
    <row r="5154" spans="23:23" x14ac:dyDescent="0.45">
      <c r="W5154" s="320"/>
    </row>
    <row r="5155" spans="23:23" x14ac:dyDescent="0.45">
      <c r="W5155" s="320"/>
    </row>
    <row r="5156" spans="23:23" x14ac:dyDescent="0.45">
      <c r="W5156" s="320"/>
    </row>
    <row r="5157" spans="23:23" x14ac:dyDescent="0.45">
      <c r="W5157" s="320"/>
    </row>
    <row r="5158" spans="23:23" x14ac:dyDescent="0.45">
      <c r="W5158" s="320"/>
    </row>
    <row r="5159" spans="23:23" x14ac:dyDescent="0.45">
      <c r="W5159" s="320"/>
    </row>
    <row r="5160" spans="23:23" x14ac:dyDescent="0.45">
      <c r="W5160" s="320"/>
    </row>
    <row r="5161" spans="23:23" x14ac:dyDescent="0.45">
      <c r="W5161" s="320"/>
    </row>
    <row r="5162" spans="23:23" x14ac:dyDescent="0.45">
      <c r="W5162" s="320"/>
    </row>
    <row r="5163" spans="23:23" x14ac:dyDescent="0.45">
      <c r="W5163" s="320"/>
    </row>
    <row r="5164" spans="23:23" x14ac:dyDescent="0.45">
      <c r="W5164" s="320"/>
    </row>
    <row r="5165" spans="23:23" x14ac:dyDescent="0.45">
      <c r="W5165" s="320"/>
    </row>
    <row r="5166" spans="23:23" x14ac:dyDescent="0.45">
      <c r="W5166" s="320"/>
    </row>
    <row r="5167" spans="23:23" x14ac:dyDescent="0.45">
      <c r="W5167" s="320"/>
    </row>
    <row r="5168" spans="23:23" x14ac:dyDescent="0.45">
      <c r="W5168" s="320"/>
    </row>
    <row r="5169" spans="23:23" x14ac:dyDescent="0.45">
      <c r="W5169" s="320"/>
    </row>
    <row r="5170" spans="23:23" x14ac:dyDescent="0.45">
      <c r="W5170" s="320"/>
    </row>
    <row r="5171" spans="23:23" x14ac:dyDescent="0.45">
      <c r="W5171" s="320"/>
    </row>
    <row r="5172" spans="23:23" x14ac:dyDescent="0.45">
      <c r="W5172" s="320"/>
    </row>
    <row r="5173" spans="23:23" x14ac:dyDescent="0.45">
      <c r="W5173" s="320"/>
    </row>
    <row r="5174" spans="23:23" x14ac:dyDescent="0.45">
      <c r="W5174" s="320"/>
    </row>
    <row r="5175" spans="23:23" x14ac:dyDescent="0.45">
      <c r="W5175" s="320"/>
    </row>
    <row r="5176" spans="23:23" x14ac:dyDescent="0.45">
      <c r="W5176" s="320"/>
    </row>
    <row r="5177" spans="23:23" x14ac:dyDescent="0.45">
      <c r="W5177" s="320"/>
    </row>
    <row r="5178" spans="23:23" x14ac:dyDescent="0.45">
      <c r="W5178" s="320"/>
    </row>
    <row r="5179" spans="23:23" x14ac:dyDescent="0.45">
      <c r="W5179" s="320"/>
    </row>
    <row r="5180" spans="23:23" x14ac:dyDescent="0.45">
      <c r="W5180" s="320"/>
    </row>
    <row r="5181" spans="23:23" x14ac:dyDescent="0.45">
      <c r="W5181" s="320"/>
    </row>
    <row r="5182" spans="23:23" x14ac:dyDescent="0.45">
      <c r="W5182" s="320"/>
    </row>
    <row r="5183" spans="23:23" x14ac:dyDescent="0.45">
      <c r="W5183" s="320"/>
    </row>
    <row r="5184" spans="23:23" x14ac:dyDescent="0.45">
      <c r="W5184" s="320"/>
    </row>
    <row r="5185" spans="23:23" x14ac:dyDescent="0.45">
      <c r="W5185" s="320"/>
    </row>
    <row r="5186" spans="23:23" x14ac:dyDescent="0.45">
      <c r="W5186" s="320"/>
    </row>
    <row r="5187" spans="23:23" x14ac:dyDescent="0.45">
      <c r="W5187" s="320"/>
    </row>
    <row r="5188" spans="23:23" x14ac:dyDescent="0.45">
      <c r="W5188" s="320"/>
    </row>
    <row r="5189" spans="23:23" x14ac:dyDescent="0.45">
      <c r="W5189" s="320"/>
    </row>
    <row r="5190" spans="23:23" x14ac:dyDescent="0.45">
      <c r="W5190" s="320"/>
    </row>
    <row r="5191" spans="23:23" x14ac:dyDescent="0.45">
      <c r="W5191" s="320"/>
    </row>
    <row r="5192" spans="23:23" x14ac:dyDescent="0.45">
      <c r="W5192" s="320"/>
    </row>
    <row r="5193" spans="23:23" x14ac:dyDescent="0.45">
      <c r="W5193" s="320"/>
    </row>
    <row r="5194" spans="23:23" x14ac:dyDescent="0.45">
      <c r="W5194" s="320"/>
    </row>
    <row r="5195" spans="23:23" x14ac:dyDescent="0.45">
      <c r="W5195" s="320"/>
    </row>
    <row r="5196" spans="23:23" x14ac:dyDescent="0.45">
      <c r="W5196" s="320"/>
    </row>
    <row r="5197" spans="23:23" x14ac:dyDescent="0.45">
      <c r="W5197" s="320"/>
    </row>
    <row r="5198" spans="23:23" x14ac:dyDescent="0.45">
      <c r="W5198" s="320"/>
    </row>
    <row r="5199" spans="23:23" x14ac:dyDescent="0.45">
      <c r="W5199" s="320"/>
    </row>
    <row r="5200" spans="23:23" x14ac:dyDescent="0.45">
      <c r="W5200" s="320"/>
    </row>
    <row r="5201" spans="23:23" x14ac:dyDescent="0.45">
      <c r="W5201" s="320"/>
    </row>
    <row r="5202" spans="23:23" x14ac:dyDescent="0.45">
      <c r="W5202" s="320"/>
    </row>
    <row r="5203" spans="23:23" x14ac:dyDescent="0.45">
      <c r="W5203" s="320"/>
    </row>
    <row r="5204" spans="23:23" x14ac:dyDescent="0.45">
      <c r="W5204" s="320"/>
    </row>
    <row r="5205" spans="23:23" x14ac:dyDescent="0.45">
      <c r="W5205" s="320"/>
    </row>
    <row r="5206" spans="23:23" x14ac:dyDescent="0.45">
      <c r="W5206" s="320"/>
    </row>
    <row r="5207" spans="23:23" x14ac:dyDescent="0.45">
      <c r="W5207" s="320"/>
    </row>
    <row r="5208" spans="23:23" x14ac:dyDescent="0.45">
      <c r="W5208" s="320"/>
    </row>
    <row r="5209" spans="23:23" x14ac:dyDescent="0.45">
      <c r="W5209" s="320"/>
    </row>
    <row r="5210" spans="23:23" x14ac:dyDescent="0.45">
      <c r="W5210" s="320"/>
    </row>
    <row r="5211" spans="23:23" x14ac:dyDescent="0.45">
      <c r="W5211" s="320"/>
    </row>
    <row r="5212" spans="23:23" x14ac:dyDescent="0.45">
      <c r="W5212" s="320"/>
    </row>
    <row r="5213" spans="23:23" x14ac:dyDescent="0.45">
      <c r="W5213" s="320"/>
    </row>
    <row r="5214" spans="23:23" x14ac:dyDescent="0.45">
      <c r="W5214" s="320"/>
    </row>
    <row r="5215" spans="23:23" x14ac:dyDescent="0.45">
      <c r="W5215" s="320"/>
    </row>
    <row r="5216" spans="23:23" x14ac:dyDescent="0.45">
      <c r="W5216" s="320"/>
    </row>
    <row r="5217" spans="23:23" x14ac:dyDescent="0.45">
      <c r="W5217" s="320"/>
    </row>
    <row r="5218" spans="23:23" x14ac:dyDescent="0.45">
      <c r="W5218" s="320"/>
    </row>
    <row r="5219" spans="23:23" x14ac:dyDescent="0.45">
      <c r="W5219" s="320"/>
    </row>
    <row r="5220" spans="23:23" x14ac:dyDescent="0.45">
      <c r="W5220" s="320"/>
    </row>
    <row r="5221" spans="23:23" x14ac:dyDescent="0.45">
      <c r="W5221" s="320"/>
    </row>
    <row r="5222" spans="23:23" x14ac:dyDescent="0.45">
      <c r="W5222" s="320"/>
    </row>
    <row r="5223" spans="23:23" x14ac:dyDescent="0.45">
      <c r="W5223" s="320"/>
    </row>
    <row r="5224" spans="23:23" x14ac:dyDescent="0.45">
      <c r="W5224" s="320"/>
    </row>
    <row r="5225" spans="23:23" x14ac:dyDescent="0.45">
      <c r="W5225" s="320"/>
    </row>
    <row r="5226" spans="23:23" x14ac:dyDescent="0.45">
      <c r="W5226" s="320"/>
    </row>
    <row r="5227" spans="23:23" x14ac:dyDescent="0.45">
      <c r="W5227" s="320"/>
    </row>
    <row r="5228" spans="23:23" x14ac:dyDescent="0.45">
      <c r="W5228" s="320"/>
    </row>
    <row r="5229" spans="23:23" x14ac:dyDescent="0.45">
      <c r="W5229" s="320"/>
    </row>
    <row r="5230" spans="23:23" x14ac:dyDescent="0.45">
      <c r="W5230" s="320"/>
    </row>
    <row r="5231" spans="23:23" x14ac:dyDescent="0.45">
      <c r="W5231" s="320"/>
    </row>
    <row r="5232" spans="23:23" x14ac:dyDescent="0.45">
      <c r="W5232" s="320"/>
    </row>
    <row r="5233" spans="23:23" x14ac:dyDescent="0.45">
      <c r="W5233" s="320"/>
    </row>
    <row r="5234" spans="23:23" x14ac:dyDescent="0.45">
      <c r="W5234" s="320"/>
    </row>
    <row r="5235" spans="23:23" x14ac:dyDescent="0.45">
      <c r="W5235" s="320"/>
    </row>
    <row r="5236" spans="23:23" x14ac:dyDescent="0.45">
      <c r="W5236" s="320"/>
    </row>
    <row r="5237" spans="23:23" x14ac:dyDescent="0.45">
      <c r="W5237" s="320"/>
    </row>
    <row r="5238" spans="23:23" x14ac:dyDescent="0.45">
      <c r="W5238" s="320"/>
    </row>
    <row r="5239" spans="23:23" x14ac:dyDescent="0.45">
      <c r="W5239" s="320"/>
    </row>
    <row r="5240" spans="23:23" x14ac:dyDescent="0.45">
      <c r="W5240" s="320"/>
    </row>
    <row r="5241" spans="23:23" x14ac:dyDescent="0.45">
      <c r="W5241" s="320"/>
    </row>
    <row r="5242" spans="23:23" x14ac:dyDescent="0.45">
      <c r="W5242" s="320"/>
    </row>
    <row r="5243" spans="23:23" x14ac:dyDescent="0.45">
      <c r="W5243" s="320"/>
    </row>
    <row r="5244" spans="23:23" x14ac:dyDescent="0.45">
      <c r="W5244" s="320"/>
    </row>
    <row r="5245" spans="23:23" x14ac:dyDescent="0.45">
      <c r="W5245" s="320"/>
    </row>
    <row r="5246" spans="23:23" x14ac:dyDescent="0.45">
      <c r="W5246" s="320"/>
    </row>
    <row r="5247" spans="23:23" x14ac:dyDescent="0.45">
      <c r="W5247" s="320"/>
    </row>
    <row r="5248" spans="23:23" x14ac:dyDescent="0.45">
      <c r="W5248" s="320"/>
    </row>
    <row r="5249" spans="23:23" x14ac:dyDescent="0.45">
      <c r="W5249" s="320"/>
    </row>
    <row r="5250" spans="23:23" x14ac:dyDescent="0.45">
      <c r="W5250" s="320"/>
    </row>
    <row r="5251" spans="23:23" x14ac:dyDescent="0.45">
      <c r="W5251" s="320"/>
    </row>
    <row r="5252" spans="23:23" x14ac:dyDescent="0.45">
      <c r="W5252" s="320"/>
    </row>
    <row r="5253" spans="23:23" x14ac:dyDescent="0.45">
      <c r="W5253" s="320"/>
    </row>
    <row r="5254" spans="23:23" x14ac:dyDescent="0.45">
      <c r="W5254" s="320"/>
    </row>
    <row r="5255" spans="23:23" x14ac:dyDescent="0.45">
      <c r="W5255" s="320"/>
    </row>
    <row r="5256" spans="23:23" x14ac:dyDescent="0.45">
      <c r="W5256" s="320"/>
    </row>
    <row r="5257" spans="23:23" x14ac:dyDescent="0.45">
      <c r="W5257" s="320"/>
    </row>
    <row r="5258" spans="23:23" x14ac:dyDescent="0.45">
      <c r="W5258" s="320"/>
    </row>
    <row r="5259" spans="23:23" x14ac:dyDescent="0.45">
      <c r="W5259" s="320"/>
    </row>
    <row r="5260" spans="23:23" x14ac:dyDescent="0.45">
      <c r="W5260" s="320"/>
    </row>
    <row r="5261" spans="23:23" x14ac:dyDescent="0.45">
      <c r="W5261" s="320"/>
    </row>
    <row r="5262" spans="23:23" x14ac:dyDescent="0.45">
      <c r="W5262" s="320"/>
    </row>
    <row r="5263" spans="23:23" x14ac:dyDescent="0.45">
      <c r="W5263" s="320"/>
    </row>
    <row r="5264" spans="23:23" x14ac:dyDescent="0.45">
      <c r="W5264" s="320"/>
    </row>
    <row r="5265" spans="23:23" x14ac:dyDescent="0.45">
      <c r="W5265" s="320"/>
    </row>
    <row r="5266" spans="23:23" x14ac:dyDescent="0.45">
      <c r="W5266" s="320"/>
    </row>
    <row r="5267" spans="23:23" x14ac:dyDescent="0.45">
      <c r="W5267" s="320"/>
    </row>
    <row r="5268" spans="23:23" x14ac:dyDescent="0.45">
      <c r="W5268" s="320"/>
    </row>
    <row r="5269" spans="23:23" x14ac:dyDescent="0.45">
      <c r="W5269" s="320"/>
    </row>
    <row r="5270" spans="23:23" x14ac:dyDescent="0.45">
      <c r="W5270" s="320"/>
    </row>
    <row r="5271" spans="23:23" x14ac:dyDescent="0.45">
      <c r="W5271" s="320"/>
    </row>
    <row r="5272" spans="23:23" x14ac:dyDescent="0.45">
      <c r="W5272" s="320"/>
    </row>
    <row r="5273" spans="23:23" x14ac:dyDescent="0.45">
      <c r="W5273" s="320"/>
    </row>
    <row r="5274" spans="23:23" x14ac:dyDescent="0.45">
      <c r="W5274" s="320"/>
    </row>
    <row r="5275" spans="23:23" x14ac:dyDescent="0.45">
      <c r="W5275" s="320"/>
    </row>
    <row r="5276" spans="23:23" x14ac:dyDescent="0.45">
      <c r="W5276" s="320"/>
    </row>
    <row r="5277" spans="23:23" x14ac:dyDescent="0.45">
      <c r="W5277" s="320"/>
    </row>
    <row r="5278" spans="23:23" x14ac:dyDescent="0.45">
      <c r="W5278" s="320"/>
    </row>
    <row r="5279" spans="23:23" x14ac:dyDescent="0.45">
      <c r="W5279" s="320"/>
    </row>
    <row r="5280" spans="23:23" x14ac:dyDescent="0.45">
      <c r="W5280" s="320"/>
    </row>
    <row r="5281" spans="23:23" x14ac:dyDescent="0.45">
      <c r="W5281" s="320"/>
    </row>
    <row r="5282" spans="23:23" x14ac:dyDescent="0.45">
      <c r="W5282" s="320"/>
    </row>
    <row r="5283" spans="23:23" x14ac:dyDescent="0.45">
      <c r="W5283" s="320"/>
    </row>
    <row r="5284" spans="23:23" x14ac:dyDescent="0.45">
      <c r="W5284" s="320"/>
    </row>
    <row r="5285" spans="23:23" x14ac:dyDescent="0.45">
      <c r="W5285" s="320"/>
    </row>
    <row r="5286" spans="23:23" x14ac:dyDescent="0.45">
      <c r="W5286" s="320"/>
    </row>
    <row r="5287" spans="23:23" x14ac:dyDescent="0.45">
      <c r="W5287" s="320"/>
    </row>
    <row r="5288" spans="23:23" x14ac:dyDescent="0.45">
      <c r="W5288" s="320"/>
    </row>
    <row r="5289" spans="23:23" x14ac:dyDescent="0.45">
      <c r="W5289" s="320"/>
    </row>
    <row r="5290" spans="23:23" x14ac:dyDescent="0.45">
      <c r="W5290" s="320"/>
    </row>
    <row r="5291" spans="23:23" x14ac:dyDescent="0.45">
      <c r="W5291" s="320"/>
    </row>
    <row r="5292" spans="23:23" x14ac:dyDescent="0.45">
      <c r="W5292" s="320"/>
    </row>
    <row r="5293" spans="23:23" x14ac:dyDescent="0.45">
      <c r="W5293" s="320"/>
    </row>
    <row r="5294" spans="23:23" x14ac:dyDescent="0.45">
      <c r="W5294" s="320"/>
    </row>
    <row r="5295" spans="23:23" x14ac:dyDescent="0.45">
      <c r="W5295" s="320"/>
    </row>
    <row r="5296" spans="23:23" x14ac:dyDescent="0.45">
      <c r="W5296" s="320"/>
    </row>
    <row r="5297" spans="23:23" x14ac:dyDescent="0.45">
      <c r="W5297" s="320"/>
    </row>
    <row r="5298" spans="23:23" x14ac:dyDescent="0.45">
      <c r="W5298" s="320"/>
    </row>
    <row r="5299" spans="23:23" x14ac:dyDescent="0.45">
      <c r="W5299" s="320"/>
    </row>
    <row r="5300" spans="23:23" x14ac:dyDescent="0.45">
      <c r="W5300" s="320"/>
    </row>
    <row r="5301" spans="23:23" x14ac:dyDescent="0.45">
      <c r="W5301" s="320"/>
    </row>
    <row r="5302" spans="23:23" x14ac:dyDescent="0.45">
      <c r="W5302" s="320"/>
    </row>
    <row r="5303" spans="23:23" x14ac:dyDescent="0.45">
      <c r="W5303" s="320"/>
    </row>
    <row r="5304" spans="23:23" x14ac:dyDescent="0.45">
      <c r="W5304" s="320"/>
    </row>
    <row r="5305" spans="23:23" x14ac:dyDescent="0.45">
      <c r="W5305" s="320"/>
    </row>
    <row r="5306" spans="23:23" x14ac:dyDescent="0.45">
      <c r="W5306" s="320"/>
    </row>
    <row r="5307" spans="23:23" x14ac:dyDescent="0.45">
      <c r="W5307" s="320"/>
    </row>
    <row r="5308" spans="23:23" x14ac:dyDescent="0.45">
      <c r="W5308" s="320"/>
    </row>
    <row r="5309" spans="23:23" x14ac:dyDescent="0.45">
      <c r="W5309" s="320"/>
    </row>
    <row r="5310" spans="23:23" x14ac:dyDescent="0.45">
      <c r="W5310" s="320"/>
    </row>
    <row r="5311" spans="23:23" x14ac:dyDescent="0.45">
      <c r="W5311" s="320"/>
    </row>
    <row r="5312" spans="23:23" x14ac:dyDescent="0.45">
      <c r="W5312" s="320"/>
    </row>
    <row r="5313" spans="23:23" x14ac:dyDescent="0.45">
      <c r="W5313" s="320"/>
    </row>
    <row r="5314" spans="23:23" x14ac:dyDescent="0.45">
      <c r="W5314" s="320"/>
    </row>
    <row r="5315" spans="23:23" x14ac:dyDescent="0.45">
      <c r="W5315" s="320"/>
    </row>
    <row r="5316" spans="23:23" x14ac:dyDescent="0.45">
      <c r="W5316" s="320"/>
    </row>
    <row r="5317" spans="23:23" x14ac:dyDescent="0.45">
      <c r="W5317" s="320"/>
    </row>
    <row r="5318" spans="23:23" x14ac:dyDescent="0.45">
      <c r="W5318" s="320"/>
    </row>
    <row r="5319" spans="23:23" x14ac:dyDescent="0.45">
      <c r="W5319" s="320"/>
    </row>
    <row r="5320" spans="23:23" x14ac:dyDescent="0.45">
      <c r="W5320" s="320"/>
    </row>
    <row r="5321" spans="23:23" x14ac:dyDescent="0.45">
      <c r="W5321" s="320"/>
    </row>
    <row r="5322" spans="23:23" x14ac:dyDescent="0.45">
      <c r="W5322" s="320"/>
    </row>
    <row r="5323" spans="23:23" x14ac:dyDescent="0.45">
      <c r="W5323" s="320"/>
    </row>
    <row r="5324" spans="23:23" x14ac:dyDescent="0.45">
      <c r="W5324" s="320"/>
    </row>
    <row r="5325" spans="23:23" x14ac:dyDescent="0.45">
      <c r="W5325" s="320"/>
    </row>
    <row r="5326" spans="23:23" x14ac:dyDescent="0.45">
      <c r="W5326" s="320"/>
    </row>
    <row r="5327" spans="23:23" x14ac:dyDescent="0.45">
      <c r="W5327" s="320"/>
    </row>
    <row r="5328" spans="23:23" x14ac:dyDescent="0.45">
      <c r="W5328" s="320"/>
    </row>
    <row r="5329" spans="23:23" x14ac:dyDescent="0.45">
      <c r="W5329" s="320"/>
    </row>
    <row r="5330" spans="23:23" x14ac:dyDescent="0.45">
      <c r="W5330" s="320"/>
    </row>
    <row r="5331" spans="23:23" x14ac:dyDescent="0.45">
      <c r="W5331" s="320"/>
    </row>
    <row r="5332" spans="23:23" x14ac:dyDescent="0.45">
      <c r="W5332" s="320"/>
    </row>
    <row r="5333" spans="23:23" x14ac:dyDescent="0.45">
      <c r="W5333" s="320"/>
    </row>
    <row r="5334" spans="23:23" x14ac:dyDescent="0.45">
      <c r="W5334" s="320"/>
    </row>
    <row r="5335" spans="23:23" x14ac:dyDescent="0.45">
      <c r="W5335" s="320"/>
    </row>
    <row r="5336" spans="23:23" x14ac:dyDescent="0.45">
      <c r="W5336" s="320"/>
    </row>
    <row r="5337" spans="23:23" x14ac:dyDescent="0.45">
      <c r="W5337" s="320"/>
    </row>
    <row r="5338" spans="23:23" x14ac:dyDescent="0.45">
      <c r="W5338" s="320"/>
    </row>
    <row r="5339" spans="23:23" x14ac:dyDescent="0.45">
      <c r="W5339" s="320"/>
    </row>
    <row r="5340" spans="23:23" x14ac:dyDescent="0.45">
      <c r="W5340" s="320"/>
    </row>
    <row r="5341" spans="23:23" x14ac:dyDescent="0.45">
      <c r="W5341" s="320"/>
    </row>
    <row r="5342" spans="23:23" x14ac:dyDescent="0.45">
      <c r="W5342" s="320"/>
    </row>
    <row r="5343" spans="23:23" x14ac:dyDescent="0.45">
      <c r="W5343" s="320"/>
    </row>
    <row r="5344" spans="23:23" x14ac:dyDescent="0.45">
      <c r="W5344" s="320"/>
    </row>
    <row r="5345" spans="23:23" x14ac:dyDescent="0.45">
      <c r="W5345" s="320"/>
    </row>
    <row r="5346" spans="23:23" x14ac:dyDescent="0.45">
      <c r="W5346" s="320"/>
    </row>
    <row r="5347" spans="23:23" x14ac:dyDescent="0.45">
      <c r="W5347" s="320"/>
    </row>
    <row r="5348" spans="23:23" x14ac:dyDescent="0.45">
      <c r="W5348" s="320"/>
    </row>
    <row r="5349" spans="23:23" x14ac:dyDescent="0.45">
      <c r="W5349" s="320"/>
    </row>
    <row r="5350" spans="23:23" x14ac:dyDescent="0.45">
      <c r="W5350" s="320"/>
    </row>
    <row r="5351" spans="23:23" x14ac:dyDescent="0.45">
      <c r="W5351" s="320"/>
    </row>
    <row r="5352" spans="23:23" x14ac:dyDescent="0.45">
      <c r="W5352" s="320"/>
    </row>
    <row r="5353" spans="23:23" x14ac:dyDescent="0.45">
      <c r="W5353" s="320"/>
    </row>
    <row r="5354" spans="23:23" x14ac:dyDescent="0.45">
      <c r="W5354" s="320"/>
    </row>
    <row r="5355" spans="23:23" x14ac:dyDescent="0.45">
      <c r="W5355" s="320"/>
    </row>
    <row r="5356" spans="23:23" x14ac:dyDescent="0.45">
      <c r="W5356" s="320"/>
    </row>
    <row r="5357" spans="23:23" x14ac:dyDescent="0.45">
      <c r="W5357" s="320"/>
    </row>
    <row r="5358" spans="23:23" x14ac:dyDescent="0.45">
      <c r="W5358" s="320"/>
    </row>
    <row r="5359" spans="23:23" x14ac:dyDescent="0.45">
      <c r="W5359" s="320"/>
    </row>
    <row r="5360" spans="23:23" x14ac:dyDescent="0.45">
      <c r="W5360" s="320"/>
    </row>
    <row r="5361" spans="23:23" x14ac:dyDescent="0.45">
      <c r="W5361" s="320"/>
    </row>
    <row r="5362" spans="23:23" x14ac:dyDescent="0.45">
      <c r="W5362" s="320"/>
    </row>
    <row r="5363" spans="23:23" x14ac:dyDescent="0.45">
      <c r="W5363" s="320"/>
    </row>
    <row r="5364" spans="23:23" x14ac:dyDescent="0.45">
      <c r="W5364" s="320"/>
    </row>
    <row r="5365" spans="23:23" x14ac:dyDescent="0.45">
      <c r="W5365" s="320"/>
    </row>
    <row r="5366" spans="23:23" x14ac:dyDescent="0.45">
      <c r="W5366" s="320"/>
    </row>
    <row r="5367" spans="23:23" x14ac:dyDescent="0.45">
      <c r="W5367" s="320"/>
    </row>
    <row r="5368" spans="23:23" x14ac:dyDescent="0.45">
      <c r="W5368" s="320"/>
    </row>
    <row r="5369" spans="23:23" x14ac:dyDescent="0.45">
      <c r="W5369" s="320"/>
    </row>
    <row r="5370" spans="23:23" x14ac:dyDescent="0.45">
      <c r="W5370" s="320"/>
    </row>
    <row r="5371" spans="23:23" x14ac:dyDescent="0.45">
      <c r="W5371" s="320"/>
    </row>
    <row r="5372" spans="23:23" x14ac:dyDescent="0.45">
      <c r="W5372" s="320"/>
    </row>
    <row r="5373" spans="23:23" x14ac:dyDescent="0.45">
      <c r="W5373" s="320"/>
    </row>
    <row r="5374" spans="23:23" x14ac:dyDescent="0.45">
      <c r="W5374" s="320"/>
    </row>
    <row r="5375" spans="23:23" x14ac:dyDescent="0.45">
      <c r="W5375" s="320"/>
    </row>
    <row r="5376" spans="23:23" x14ac:dyDescent="0.45">
      <c r="W5376" s="320"/>
    </row>
    <row r="5377" spans="23:23" x14ac:dyDescent="0.45">
      <c r="W5377" s="320"/>
    </row>
    <row r="5378" spans="23:23" x14ac:dyDescent="0.45">
      <c r="W5378" s="320"/>
    </row>
    <row r="5379" spans="23:23" x14ac:dyDescent="0.45">
      <c r="W5379" s="320"/>
    </row>
    <row r="5380" spans="23:23" x14ac:dyDescent="0.45">
      <c r="W5380" s="320"/>
    </row>
    <row r="5381" spans="23:23" x14ac:dyDescent="0.45">
      <c r="W5381" s="320"/>
    </row>
    <row r="5382" spans="23:23" x14ac:dyDescent="0.45">
      <c r="W5382" s="320"/>
    </row>
    <row r="5383" spans="23:23" x14ac:dyDescent="0.45">
      <c r="W5383" s="320"/>
    </row>
    <row r="5384" spans="23:23" x14ac:dyDescent="0.45">
      <c r="W5384" s="320"/>
    </row>
    <row r="5385" spans="23:23" x14ac:dyDescent="0.45">
      <c r="W5385" s="320"/>
    </row>
    <row r="5386" spans="23:23" x14ac:dyDescent="0.45">
      <c r="W5386" s="320"/>
    </row>
    <row r="5387" spans="23:23" x14ac:dyDescent="0.45">
      <c r="W5387" s="320"/>
    </row>
    <row r="5388" spans="23:23" x14ac:dyDescent="0.45">
      <c r="W5388" s="320"/>
    </row>
    <row r="5389" spans="23:23" x14ac:dyDescent="0.45">
      <c r="W5389" s="320"/>
    </row>
    <row r="5390" spans="23:23" x14ac:dyDescent="0.45">
      <c r="W5390" s="320"/>
    </row>
    <row r="5391" spans="23:23" x14ac:dyDescent="0.45">
      <c r="W5391" s="320"/>
    </row>
    <row r="5392" spans="23:23" x14ac:dyDescent="0.45">
      <c r="W5392" s="320"/>
    </row>
    <row r="5393" spans="23:23" x14ac:dyDescent="0.45">
      <c r="W5393" s="320"/>
    </row>
    <row r="5394" spans="23:23" x14ac:dyDescent="0.45">
      <c r="W5394" s="320"/>
    </row>
    <row r="5395" spans="23:23" x14ac:dyDescent="0.45">
      <c r="W5395" s="320"/>
    </row>
    <row r="5396" spans="23:23" x14ac:dyDescent="0.45">
      <c r="W5396" s="320"/>
    </row>
    <row r="5397" spans="23:23" x14ac:dyDescent="0.45">
      <c r="W5397" s="320"/>
    </row>
    <row r="5398" spans="23:23" x14ac:dyDescent="0.45">
      <c r="W5398" s="320"/>
    </row>
    <row r="5399" spans="23:23" x14ac:dyDescent="0.45">
      <c r="W5399" s="320"/>
    </row>
    <row r="5400" spans="23:23" x14ac:dyDescent="0.45">
      <c r="W5400" s="320"/>
    </row>
    <row r="5401" spans="23:23" x14ac:dyDescent="0.45">
      <c r="W5401" s="320"/>
    </row>
    <row r="5402" spans="23:23" x14ac:dyDescent="0.45">
      <c r="W5402" s="320"/>
    </row>
    <row r="5403" spans="23:23" x14ac:dyDescent="0.45">
      <c r="W5403" s="320"/>
    </row>
    <row r="5404" spans="23:23" x14ac:dyDescent="0.45">
      <c r="W5404" s="320"/>
    </row>
    <row r="5405" spans="23:23" x14ac:dyDescent="0.45">
      <c r="W5405" s="320"/>
    </row>
    <row r="5406" spans="23:23" x14ac:dyDescent="0.45">
      <c r="W5406" s="320"/>
    </row>
    <row r="5407" spans="23:23" x14ac:dyDescent="0.45">
      <c r="W5407" s="320"/>
    </row>
    <row r="5408" spans="23:23" x14ac:dyDescent="0.45">
      <c r="W5408" s="320"/>
    </row>
    <row r="5409" spans="23:23" x14ac:dyDescent="0.45">
      <c r="W5409" s="320"/>
    </row>
    <row r="5410" spans="23:23" x14ac:dyDescent="0.45">
      <c r="W5410" s="320"/>
    </row>
    <row r="5411" spans="23:23" x14ac:dyDescent="0.45">
      <c r="W5411" s="320"/>
    </row>
    <row r="5412" spans="23:23" x14ac:dyDescent="0.45">
      <c r="W5412" s="320"/>
    </row>
    <row r="5413" spans="23:23" x14ac:dyDescent="0.45">
      <c r="W5413" s="320"/>
    </row>
    <row r="5414" spans="23:23" x14ac:dyDescent="0.45">
      <c r="W5414" s="320"/>
    </row>
    <row r="5415" spans="23:23" x14ac:dyDescent="0.45">
      <c r="W5415" s="320"/>
    </row>
    <row r="5416" spans="23:23" x14ac:dyDescent="0.45">
      <c r="W5416" s="320"/>
    </row>
    <row r="5417" spans="23:23" x14ac:dyDescent="0.45">
      <c r="W5417" s="320"/>
    </row>
    <row r="5418" spans="23:23" x14ac:dyDescent="0.45">
      <c r="W5418" s="320"/>
    </row>
    <row r="5419" spans="23:23" x14ac:dyDescent="0.45">
      <c r="W5419" s="320"/>
    </row>
    <row r="5420" spans="23:23" x14ac:dyDescent="0.45">
      <c r="W5420" s="320"/>
    </row>
    <row r="5421" spans="23:23" x14ac:dyDescent="0.45">
      <c r="W5421" s="320"/>
    </row>
    <row r="5422" spans="23:23" x14ac:dyDescent="0.45">
      <c r="W5422" s="320"/>
    </row>
    <row r="5423" spans="23:23" x14ac:dyDescent="0.45">
      <c r="W5423" s="320"/>
    </row>
    <row r="5424" spans="23:23" x14ac:dyDescent="0.45">
      <c r="W5424" s="320"/>
    </row>
    <row r="5425" spans="23:23" x14ac:dyDescent="0.45">
      <c r="W5425" s="320"/>
    </row>
    <row r="5426" spans="23:23" x14ac:dyDescent="0.45">
      <c r="W5426" s="320"/>
    </row>
    <row r="5427" spans="23:23" x14ac:dyDescent="0.45">
      <c r="W5427" s="320"/>
    </row>
    <row r="5428" spans="23:23" x14ac:dyDescent="0.45">
      <c r="W5428" s="320"/>
    </row>
    <row r="5429" spans="23:23" x14ac:dyDescent="0.45">
      <c r="W5429" s="320"/>
    </row>
    <row r="5430" spans="23:23" x14ac:dyDescent="0.45">
      <c r="W5430" s="320"/>
    </row>
    <row r="5431" spans="23:23" x14ac:dyDescent="0.45">
      <c r="W5431" s="320"/>
    </row>
    <row r="5432" spans="23:23" x14ac:dyDescent="0.45">
      <c r="W5432" s="320"/>
    </row>
    <row r="5433" spans="23:23" x14ac:dyDescent="0.45">
      <c r="W5433" s="320"/>
    </row>
    <row r="5434" spans="23:23" x14ac:dyDescent="0.45">
      <c r="W5434" s="320"/>
    </row>
    <row r="5435" spans="23:23" x14ac:dyDescent="0.45">
      <c r="W5435" s="320"/>
    </row>
    <row r="5436" spans="23:23" x14ac:dyDescent="0.45">
      <c r="W5436" s="320"/>
    </row>
    <row r="5437" spans="23:23" x14ac:dyDescent="0.45">
      <c r="W5437" s="320"/>
    </row>
    <row r="5438" spans="23:23" x14ac:dyDescent="0.45">
      <c r="W5438" s="320"/>
    </row>
    <row r="5439" spans="23:23" x14ac:dyDescent="0.45">
      <c r="W5439" s="320"/>
    </row>
    <row r="5440" spans="23:23" x14ac:dyDescent="0.45">
      <c r="W5440" s="320"/>
    </row>
    <row r="5441" spans="23:23" x14ac:dyDescent="0.45">
      <c r="W5441" s="320"/>
    </row>
    <row r="5442" spans="23:23" x14ac:dyDescent="0.45">
      <c r="W5442" s="320"/>
    </row>
    <row r="5443" spans="23:23" x14ac:dyDescent="0.45">
      <c r="W5443" s="320"/>
    </row>
    <row r="5444" spans="23:23" x14ac:dyDescent="0.45">
      <c r="W5444" s="320"/>
    </row>
    <row r="5445" spans="23:23" x14ac:dyDescent="0.45">
      <c r="W5445" s="320"/>
    </row>
    <row r="5446" spans="23:23" x14ac:dyDescent="0.45">
      <c r="W5446" s="320"/>
    </row>
    <row r="5447" spans="23:23" x14ac:dyDescent="0.45">
      <c r="W5447" s="320"/>
    </row>
    <row r="5448" spans="23:23" x14ac:dyDescent="0.45">
      <c r="W5448" s="320"/>
    </row>
    <row r="5449" spans="23:23" x14ac:dyDescent="0.45">
      <c r="W5449" s="320"/>
    </row>
    <row r="5450" spans="23:23" x14ac:dyDescent="0.45">
      <c r="W5450" s="320"/>
    </row>
    <row r="5451" spans="23:23" x14ac:dyDescent="0.45">
      <c r="W5451" s="320"/>
    </row>
    <row r="5452" spans="23:23" x14ac:dyDescent="0.45">
      <c r="W5452" s="320"/>
    </row>
    <row r="5453" spans="23:23" x14ac:dyDescent="0.45">
      <c r="W5453" s="320"/>
    </row>
    <row r="5454" spans="23:23" x14ac:dyDescent="0.45">
      <c r="W5454" s="320"/>
    </row>
    <row r="5455" spans="23:23" x14ac:dyDescent="0.45">
      <c r="W5455" s="320"/>
    </row>
    <row r="5456" spans="23:23" x14ac:dyDescent="0.45">
      <c r="W5456" s="320"/>
    </row>
    <row r="5457" spans="23:23" x14ac:dyDescent="0.45">
      <c r="W5457" s="320"/>
    </row>
    <row r="5458" spans="23:23" x14ac:dyDescent="0.45">
      <c r="W5458" s="320"/>
    </row>
    <row r="5459" spans="23:23" x14ac:dyDescent="0.45">
      <c r="W5459" s="320"/>
    </row>
    <row r="5460" spans="23:23" x14ac:dyDescent="0.45">
      <c r="W5460" s="320"/>
    </row>
    <row r="5461" spans="23:23" x14ac:dyDescent="0.45">
      <c r="W5461" s="320"/>
    </row>
    <row r="5462" spans="23:23" x14ac:dyDescent="0.45">
      <c r="W5462" s="320"/>
    </row>
    <row r="5463" spans="23:23" x14ac:dyDescent="0.45">
      <c r="W5463" s="320"/>
    </row>
    <row r="5464" spans="23:23" x14ac:dyDescent="0.45">
      <c r="W5464" s="320"/>
    </row>
    <row r="5465" spans="23:23" x14ac:dyDescent="0.45">
      <c r="W5465" s="320"/>
    </row>
    <row r="5466" spans="23:23" x14ac:dyDescent="0.45">
      <c r="W5466" s="320"/>
    </row>
    <row r="5467" spans="23:23" x14ac:dyDescent="0.45">
      <c r="W5467" s="320"/>
    </row>
    <row r="5468" spans="23:23" x14ac:dyDescent="0.45">
      <c r="W5468" s="320"/>
    </row>
    <row r="5469" spans="23:23" x14ac:dyDescent="0.45">
      <c r="W5469" s="320"/>
    </row>
    <row r="5470" spans="23:23" x14ac:dyDescent="0.45">
      <c r="W5470" s="320"/>
    </row>
    <row r="5471" spans="23:23" x14ac:dyDescent="0.45">
      <c r="W5471" s="320"/>
    </row>
    <row r="5472" spans="23:23" x14ac:dyDescent="0.45">
      <c r="W5472" s="320"/>
    </row>
    <row r="5473" spans="23:23" x14ac:dyDescent="0.45">
      <c r="W5473" s="320"/>
    </row>
    <row r="5474" spans="23:23" x14ac:dyDescent="0.45">
      <c r="W5474" s="320"/>
    </row>
    <row r="5475" spans="23:23" x14ac:dyDescent="0.45">
      <c r="W5475" s="320"/>
    </row>
    <row r="5476" spans="23:23" x14ac:dyDescent="0.45">
      <c r="W5476" s="320"/>
    </row>
    <row r="5477" spans="23:23" x14ac:dyDescent="0.45">
      <c r="W5477" s="320"/>
    </row>
    <row r="5478" spans="23:23" x14ac:dyDescent="0.45">
      <c r="W5478" s="320"/>
    </row>
    <row r="5479" spans="23:23" x14ac:dyDescent="0.45">
      <c r="W5479" s="320"/>
    </row>
    <row r="5480" spans="23:23" x14ac:dyDescent="0.45">
      <c r="W5480" s="320"/>
    </row>
    <row r="5481" spans="23:23" x14ac:dyDescent="0.45">
      <c r="W5481" s="320"/>
    </row>
    <row r="5482" spans="23:23" x14ac:dyDescent="0.45">
      <c r="W5482" s="320"/>
    </row>
    <row r="5483" spans="23:23" x14ac:dyDescent="0.45">
      <c r="W5483" s="320"/>
    </row>
    <row r="5484" spans="23:23" x14ac:dyDescent="0.45">
      <c r="W5484" s="320"/>
    </row>
    <row r="5485" spans="23:23" x14ac:dyDescent="0.45">
      <c r="W5485" s="320"/>
    </row>
    <row r="5486" spans="23:23" x14ac:dyDescent="0.45">
      <c r="W5486" s="320"/>
    </row>
    <row r="5487" spans="23:23" x14ac:dyDescent="0.45">
      <c r="W5487" s="320"/>
    </row>
    <row r="5488" spans="23:23" x14ac:dyDescent="0.45">
      <c r="W5488" s="320"/>
    </row>
    <row r="5489" spans="23:23" x14ac:dyDescent="0.45">
      <c r="W5489" s="320"/>
    </row>
    <row r="5490" spans="23:23" x14ac:dyDescent="0.45">
      <c r="W5490" s="320"/>
    </row>
    <row r="5491" spans="23:23" x14ac:dyDescent="0.45">
      <c r="W5491" s="320"/>
    </row>
    <row r="5492" spans="23:23" x14ac:dyDescent="0.45">
      <c r="W5492" s="320"/>
    </row>
    <row r="5493" spans="23:23" x14ac:dyDescent="0.45">
      <c r="W5493" s="320"/>
    </row>
    <row r="5494" spans="23:23" x14ac:dyDescent="0.45">
      <c r="W5494" s="320"/>
    </row>
    <row r="5495" spans="23:23" x14ac:dyDescent="0.45">
      <c r="W5495" s="320"/>
    </row>
    <row r="5496" spans="23:23" x14ac:dyDescent="0.45">
      <c r="W5496" s="320"/>
    </row>
    <row r="5497" spans="23:23" x14ac:dyDescent="0.45">
      <c r="W5497" s="320"/>
    </row>
    <row r="5498" spans="23:23" x14ac:dyDescent="0.45">
      <c r="W5498" s="320"/>
    </row>
    <row r="5499" spans="23:23" x14ac:dyDescent="0.45">
      <c r="W5499" s="320"/>
    </row>
    <row r="5500" spans="23:23" x14ac:dyDescent="0.45">
      <c r="W5500" s="320"/>
    </row>
    <row r="5501" spans="23:23" x14ac:dyDescent="0.45">
      <c r="W5501" s="320"/>
    </row>
    <row r="5502" spans="23:23" x14ac:dyDescent="0.45">
      <c r="W5502" s="320"/>
    </row>
    <row r="5503" spans="23:23" x14ac:dyDescent="0.45">
      <c r="W5503" s="320"/>
    </row>
    <row r="5504" spans="23:23" x14ac:dyDescent="0.45">
      <c r="W5504" s="320"/>
    </row>
    <row r="5505" spans="23:23" x14ac:dyDescent="0.45">
      <c r="W5505" s="320"/>
    </row>
    <row r="5506" spans="23:23" x14ac:dyDescent="0.45">
      <c r="W5506" s="320"/>
    </row>
    <row r="5507" spans="23:23" x14ac:dyDescent="0.45">
      <c r="W5507" s="320"/>
    </row>
    <row r="5508" spans="23:23" x14ac:dyDescent="0.45">
      <c r="W5508" s="320"/>
    </row>
    <row r="5509" spans="23:23" x14ac:dyDescent="0.45">
      <c r="W5509" s="320"/>
    </row>
    <row r="5510" spans="23:23" x14ac:dyDescent="0.45">
      <c r="W5510" s="320"/>
    </row>
    <row r="5511" spans="23:23" x14ac:dyDescent="0.45">
      <c r="W5511" s="320"/>
    </row>
    <row r="5512" spans="23:23" x14ac:dyDescent="0.45">
      <c r="W5512" s="320"/>
    </row>
    <row r="5513" spans="23:23" x14ac:dyDescent="0.45">
      <c r="W5513" s="320"/>
    </row>
    <row r="5514" spans="23:23" x14ac:dyDescent="0.45">
      <c r="W5514" s="320"/>
    </row>
    <row r="5515" spans="23:23" x14ac:dyDescent="0.45">
      <c r="W5515" s="320"/>
    </row>
    <row r="5516" spans="23:23" x14ac:dyDescent="0.45">
      <c r="W5516" s="320"/>
    </row>
    <row r="5517" spans="23:23" x14ac:dyDescent="0.45">
      <c r="W5517" s="320"/>
    </row>
    <row r="5518" spans="23:23" x14ac:dyDescent="0.45">
      <c r="W5518" s="320"/>
    </row>
    <row r="5519" spans="23:23" x14ac:dyDescent="0.45">
      <c r="W5519" s="320"/>
    </row>
    <row r="5520" spans="23:23" x14ac:dyDescent="0.45">
      <c r="W5520" s="320"/>
    </row>
    <row r="5521" spans="23:23" x14ac:dyDescent="0.45">
      <c r="W5521" s="320"/>
    </row>
    <row r="5522" spans="23:23" x14ac:dyDescent="0.45">
      <c r="W5522" s="320"/>
    </row>
    <row r="5523" spans="23:23" x14ac:dyDescent="0.45">
      <c r="W5523" s="320"/>
    </row>
    <row r="5524" spans="23:23" x14ac:dyDescent="0.45">
      <c r="W5524" s="320"/>
    </row>
    <row r="5525" spans="23:23" x14ac:dyDescent="0.45">
      <c r="W5525" s="320"/>
    </row>
    <row r="5526" spans="23:23" x14ac:dyDescent="0.45">
      <c r="W5526" s="320"/>
    </row>
    <row r="5527" spans="23:23" x14ac:dyDescent="0.45">
      <c r="W5527" s="320"/>
    </row>
    <row r="5528" spans="23:23" x14ac:dyDescent="0.45">
      <c r="W5528" s="320"/>
    </row>
    <row r="5529" spans="23:23" x14ac:dyDescent="0.45">
      <c r="W5529" s="320"/>
    </row>
    <row r="5530" spans="23:23" x14ac:dyDescent="0.45">
      <c r="W5530" s="320"/>
    </row>
    <row r="5531" spans="23:23" x14ac:dyDescent="0.45">
      <c r="W5531" s="320"/>
    </row>
    <row r="5532" spans="23:23" x14ac:dyDescent="0.45">
      <c r="W5532" s="320"/>
    </row>
    <row r="5533" spans="23:23" x14ac:dyDescent="0.45">
      <c r="W5533" s="320"/>
    </row>
    <row r="5534" spans="23:23" x14ac:dyDescent="0.45">
      <c r="W5534" s="320"/>
    </row>
    <row r="5535" spans="23:23" x14ac:dyDescent="0.45">
      <c r="W5535" s="320"/>
    </row>
    <row r="5536" spans="23:23" x14ac:dyDescent="0.45">
      <c r="W5536" s="320"/>
    </row>
    <row r="5537" spans="23:23" x14ac:dyDescent="0.45">
      <c r="W5537" s="320"/>
    </row>
    <row r="5538" spans="23:23" x14ac:dyDescent="0.45">
      <c r="W5538" s="320"/>
    </row>
    <row r="5539" spans="23:23" x14ac:dyDescent="0.45">
      <c r="W5539" s="320"/>
    </row>
    <row r="5540" spans="23:23" x14ac:dyDescent="0.45">
      <c r="W5540" s="320"/>
    </row>
    <row r="5541" spans="23:23" x14ac:dyDescent="0.45">
      <c r="W5541" s="320"/>
    </row>
    <row r="5542" spans="23:23" x14ac:dyDescent="0.45">
      <c r="W5542" s="320"/>
    </row>
    <row r="5543" spans="23:23" x14ac:dyDescent="0.45">
      <c r="W5543" s="320"/>
    </row>
    <row r="5544" spans="23:23" x14ac:dyDescent="0.45">
      <c r="W5544" s="320"/>
    </row>
    <row r="5545" spans="23:23" x14ac:dyDescent="0.45">
      <c r="W5545" s="320"/>
    </row>
    <row r="5546" spans="23:23" x14ac:dyDescent="0.45">
      <c r="W5546" s="320"/>
    </row>
    <row r="5547" spans="23:23" x14ac:dyDescent="0.45">
      <c r="W5547" s="320"/>
    </row>
    <row r="5548" spans="23:23" x14ac:dyDescent="0.45">
      <c r="W5548" s="320"/>
    </row>
    <row r="5549" spans="23:23" x14ac:dyDescent="0.45">
      <c r="W5549" s="320"/>
    </row>
    <row r="5550" spans="23:23" x14ac:dyDescent="0.45">
      <c r="W5550" s="320"/>
    </row>
    <row r="5551" spans="23:23" x14ac:dyDescent="0.45">
      <c r="W5551" s="320"/>
    </row>
    <row r="5552" spans="23:23" x14ac:dyDescent="0.45">
      <c r="W5552" s="320"/>
    </row>
    <row r="5553" spans="23:23" x14ac:dyDescent="0.45">
      <c r="W5553" s="320"/>
    </row>
    <row r="5554" spans="23:23" x14ac:dyDescent="0.45">
      <c r="W5554" s="320"/>
    </row>
    <row r="5555" spans="23:23" x14ac:dyDescent="0.45">
      <c r="W5555" s="320"/>
    </row>
    <row r="5556" spans="23:23" x14ac:dyDescent="0.45">
      <c r="W5556" s="320"/>
    </row>
    <row r="5557" spans="23:23" x14ac:dyDescent="0.45">
      <c r="W5557" s="320"/>
    </row>
    <row r="5558" spans="23:23" x14ac:dyDescent="0.45">
      <c r="W5558" s="320"/>
    </row>
    <row r="5559" spans="23:23" x14ac:dyDescent="0.45">
      <c r="W5559" s="320"/>
    </row>
    <row r="5560" spans="23:23" x14ac:dyDescent="0.45">
      <c r="W5560" s="320"/>
    </row>
    <row r="5561" spans="23:23" x14ac:dyDescent="0.45">
      <c r="W5561" s="320"/>
    </row>
    <row r="5562" spans="23:23" x14ac:dyDescent="0.45">
      <c r="W5562" s="320"/>
    </row>
    <row r="5563" spans="23:23" x14ac:dyDescent="0.45">
      <c r="W5563" s="320"/>
    </row>
    <row r="5564" spans="23:23" x14ac:dyDescent="0.45">
      <c r="W5564" s="320"/>
    </row>
    <row r="5565" spans="23:23" x14ac:dyDescent="0.45">
      <c r="W5565" s="320"/>
    </row>
    <row r="5566" spans="23:23" x14ac:dyDescent="0.45">
      <c r="W5566" s="320"/>
    </row>
    <row r="5567" spans="23:23" x14ac:dyDescent="0.45">
      <c r="W5567" s="320"/>
    </row>
    <row r="5568" spans="23:23" x14ac:dyDescent="0.45">
      <c r="W5568" s="320"/>
    </row>
    <row r="5569" spans="23:23" x14ac:dyDescent="0.45">
      <c r="W5569" s="320"/>
    </row>
    <row r="5570" spans="23:23" x14ac:dyDescent="0.45">
      <c r="W5570" s="320"/>
    </row>
    <row r="5571" spans="23:23" x14ac:dyDescent="0.45">
      <c r="W5571" s="320"/>
    </row>
    <row r="5572" spans="23:23" x14ac:dyDescent="0.45">
      <c r="W5572" s="320"/>
    </row>
    <row r="5573" spans="23:23" x14ac:dyDescent="0.45">
      <c r="W5573" s="320"/>
    </row>
    <row r="5574" spans="23:23" x14ac:dyDescent="0.45">
      <c r="W5574" s="320"/>
    </row>
    <row r="5575" spans="23:23" x14ac:dyDescent="0.45">
      <c r="W5575" s="320"/>
    </row>
    <row r="5576" spans="23:23" x14ac:dyDescent="0.45">
      <c r="W5576" s="320"/>
    </row>
    <row r="5577" spans="23:23" x14ac:dyDescent="0.45">
      <c r="W5577" s="320"/>
    </row>
    <row r="5578" spans="23:23" x14ac:dyDescent="0.45">
      <c r="W5578" s="320"/>
    </row>
    <row r="5579" spans="23:23" x14ac:dyDescent="0.45">
      <c r="W5579" s="320"/>
    </row>
    <row r="5580" spans="23:23" x14ac:dyDescent="0.45">
      <c r="W5580" s="320"/>
    </row>
    <row r="5581" spans="23:23" x14ac:dyDescent="0.45">
      <c r="W5581" s="320"/>
    </row>
    <row r="5582" spans="23:23" x14ac:dyDescent="0.45">
      <c r="W5582" s="320"/>
    </row>
    <row r="5583" spans="23:23" x14ac:dyDescent="0.45">
      <c r="W5583" s="320"/>
    </row>
    <row r="5584" spans="23:23" x14ac:dyDescent="0.45">
      <c r="W5584" s="320"/>
    </row>
    <row r="5585" spans="23:23" x14ac:dyDescent="0.45">
      <c r="W5585" s="320"/>
    </row>
    <row r="5586" spans="23:23" x14ac:dyDescent="0.45">
      <c r="W5586" s="320"/>
    </row>
    <row r="5587" spans="23:23" x14ac:dyDescent="0.45">
      <c r="W5587" s="320"/>
    </row>
    <row r="5588" spans="23:23" x14ac:dyDescent="0.45">
      <c r="W5588" s="320"/>
    </row>
    <row r="5589" spans="23:23" x14ac:dyDescent="0.45">
      <c r="W5589" s="320"/>
    </row>
    <row r="5590" spans="23:23" x14ac:dyDescent="0.45">
      <c r="W5590" s="320"/>
    </row>
    <row r="5591" spans="23:23" x14ac:dyDescent="0.45">
      <c r="W5591" s="320"/>
    </row>
    <row r="5592" spans="23:23" x14ac:dyDescent="0.45">
      <c r="W5592" s="320"/>
    </row>
    <row r="5593" spans="23:23" x14ac:dyDescent="0.45">
      <c r="W5593" s="320"/>
    </row>
    <row r="5594" spans="23:23" x14ac:dyDescent="0.45">
      <c r="W5594" s="320"/>
    </row>
    <row r="5595" spans="23:23" x14ac:dyDescent="0.45">
      <c r="W5595" s="320"/>
    </row>
    <row r="5596" spans="23:23" x14ac:dyDescent="0.45">
      <c r="W5596" s="320"/>
    </row>
    <row r="5597" spans="23:23" x14ac:dyDescent="0.45">
      <c r="W5597" s="320"/>
    </row>
    <row r="5598" spans="23:23" x14ac:dyDescent="0.45">
      <c r="W5598" s="320"/>
    </row>
    <row r="5599" spans="23:23" x14ac:dyDescent="0.45">
      <c r="W5599" s="320"/>
    </row>
    <row r="5600" spans="23:23" x14ac:dyDescent="0.45">
      <c r="W5600" s="320"/>
    </row>
    <row r="5601" spans="23:23" x14ac:dyDescent="0.45">
      <c r="W5601" s="320"/>
    </row>
    <row r="5602" spans="23:23" x14ac:dyDescent="0.45">
      <c r="W5602" s="320"/>
    </row>
    <row r="5603" spans="23:23" x14ac:dyDescent="0.45">
      <c r="W5603" s="320"/>
    </row>
    <row r="5604" spans="23:23" x14ac:dyDescent="0.45">
      <c r="W5604" s="320"/>
    </row>
    <row r="5605" spans="23:23" x14ac:dyDescent="0.45">
      <c r="W5605" s="320"/>
    </row>
    <row r="5606" spans="23:23" x14ac:dyDescent="0.45">
      <c r="W5606" s="320"/>
    </row>
    <row r="5607" spans="23:23" x14ac:dyDescent="0.45">
      <c r="W5607" s="320"/>
    </row>
    <row r="5608" spans="23:23" x14ac:dyDescent="0.45">
      <c r="W5608" s="320"/>
    </row>
    <row r="5609" spans="23:23" x14ac:dyDescent="0.45">
      <c r="W5609" s="320"/>
    </row>
    <row r="5610" spans="23:23" x14ac:dyDescent="0.45">
      <c r="W5610" s="320"/>
    </row>
    <row r="5611" spans="23:23" x14ac:dyDescent="0.45">
      <c r="W5611" s="320"/>
    </row>
    <row r="5612" spans="23:23" x14ac:dyDescent="0.45">
      <c r="W5612" s="320"/>
    </row>
    <row r="5613" spans="23:23" x14ac:dyDescent="0.45">
      <c r="W5613" s="320"/>
    </row>
    <row r="5614" spans="23:23" x14ac:dyDescent="0.45">
      <c r="W5614" s="320"/>
    </row>
    <row r="5615" spans="23:23" x14ac:dyDescent="0.45">
      <c r="W5615" s="320"/>
    </row>
    <row r="5616" spans="23:23" x14ac:dyDescent="0.45">
      <c r="W5616" s="320"/>
    </row>
    <row r="5617" spans="23:23" x14ac:dyDescent="0.45">
      <c r="W5617" s="320"/>
    </row>
    <row r="5618" spans="23:23" x14ac:dyDescent="0.45">
      <c r="W5618" s="320"/>
    </row>
    <row r="5619" spans="23:23" x14ac:dyDescent="0.45">
      <c r="W5619" s="320"/>
    </row>
    <row r="5620" spans="23:23" x14ac:dyDescent="0.45">
      <c r="W5620" s="320"/>
    </row>
    <row r="5621" spans="23:23" x14ac:dyDescent="0.45">
      <c r="W5621" s="320"/>
    </row>
    <row r="5622" spans="23:23" x14ac:dyDescent="0.45">
      <c r="W5622" s="320"/>
    </row>
    <row r="5623" spans="23:23" x14ac:dyDescent="0.45">
      <c r="W5623" s="320"/>
    </row>
    <row r="5624" spans="23:23" x14ac:dyDescent="0.45">
      <c r="W5624" s="320"/>
    </row>
    <row r="5625" spans="23:23" x14ac:dyDescent="0.45">
      <c r="W5625" s="320"/>
    </row>
    <row r="5626" spans="23:23" x14ac:dyDescent="0.45">
      <c r="W5626" s="320"/>
    </row>
    <row r="5627" spans="23:23" x14ac:dyDescent="0.45">
      <c r="W5627" s="320"/>
    </row>
    <row r="5628" spans="23:23" x14ac:dyDescent="0.45">
      <c r="W5628" s="320"/>
    </row>
    <row r="5629" spans="23:23" x14ac:dyDescent="0.45">
      <c r="W5629" s="320"/>
    </row>
    <row r="5630" spans="23:23" x14ac:dyDescent="0.45">
      <c r="W5630" s="320"/>
    </row>
    <row r="5631" spans="23:23" x14ac:dyDescent="0.45">
      <c r="W5631" s="320"/>
    </row>
    <row r="5632" spans="23:23" x14ac:dyDescent="0.45">
      <c r="W5632" s="320"/>
    </row>
    <row r="5633" spans="23:23" x14ac:dyDescent="0.45">
      <c r="W5633" s="320"/>
    </row>
    <row r="5634" spans="23:23" x14ac:dyDescent="0.45">
      <c r="W5634" s="320"/>
    </row>
    <row r="5635" spans="23:23" x14ac:dyDescent="0.45">
      <c r="W5635" s="320"/>
    </row>
    <row r="5636" spans="23:23" x14ac:dyDescent="0.45">
      <c r="W5636" s="320"/>
    </row>
    <row r="5637" spans="23:23" x14ac:dyDescent="0.45">
      <c r="W5637" s="320"/>
    </row>
    <row r="5638" spans="23:23" x14ac:dyDescent="0.45">
      <c r="W5638" s="320"/>
    </row>
    <row r="5639" spans="23:23" x14ac:dyDescent="0.45">
      <c r="W5639" s="320"/>
    </row>
    <row r="5640" spans="23:23" x14ac:dyDescent="0.45">
      <c r="W5640" s="320"/>
    </row>
    <row r="5641" spans="23:23" x14ac:dyDescent="0.45">
      <c r="W5641" s="320"/>
    </row>
    <row r="5642" spans="23:23" x14ac:dyDescent="0.45">
      <c r="W5642" s="320"/>
    </row>
    <row r="5643" spans="23:23" x14ac:dyDescent="0.45">
      <c r="W5643" s="320"/>
    </row>
    <row r="5644" spans="23:23" x14ac:dyDescent="0.45">
      <c r="W5644" s="320"/>
    </row>
    <row r="5645" spans="23:23" x14ac:dyDescent="0.45">
      <c r="W5645" s="320"/>
    </row>
    <row r="5646" spans="23:23" x14ac:dyDescent="0.45">
      <c r="W5646" s="320"/>
    </row>
    <row r="5647" spans="23:23" x14ac:dyDescent="0.45">
      <c r="W5647" s="320"/>
    </row>
    <row r="5648" spans="23:23" x14ac:dyDescent="0.45">
      <c r="W5648" s="320"/>
    </row>
    <row r="5649" spans="23:23" x14ac:dyDescent="0.45">
      <c r="W5649" s="320"/>
    </row>
    <row r="5650" spans="23:23" x14ac:dyDescent="0.45">
      <c r="W5650" s="320"/>
    </row>
    <row r="5651" spans="23:23" x14ac:dyDescent="0.45">
      <c r="W5651" s="320"/>
    </row>
    <row r="5652" spans="23:23" x14ac:dyDescent="0.45">
      <c r="W5652" s="320"/>
    </row>
    <row r="5653" spans="23:23" x14ac:dyDescent="0.45">
      <c r="W5653" s="320"/>
    </row>
    <row r="5654" spans="23:23" x14ac:dyDescent="0.45">
      <c r="W5654" s="320"/>
    </row>
    <row r="5655" spans="23:23" x14ac:dyDescent="0.45">
      <c r="W5655" s="320"/>
    </row>
    <row r="5656" spans="23:23" x14ac:dyDescent="0.45">
      <c r="W5656" s="320"/>
    </row>
    <row r="5657" spans="23:23" x14ac:dyDescent="0.45">
      <c r="W5657" s="320"/>
    </row>
    <row r="5658" spans="23:23" x14ac:dyDescent="0.45">
      <c r="W5658" s="320"/>
    </row>
    <row r="5659" spans="23:23" x14ac:dyDescent="0.45">
      <c r="W5659" s="320"/>
    </row>
    <row r="5660" spans="23:23" x14ac:dyDescent="0.45">
      <c r="W5660" s="320"/>
    </row>
    <row r="5661" spans="23:23" x14ac:dyDescent="0.45">
      <c r="W5661" s="320"/>
    </row>
    <row r="5662" spans="23:23" x14ac:dyDescent="0.45">
      <c r="W5662" s="320"/>
    </row>
    <row r="5663" spans="23:23" x14ac:dyDescent="0.45">
      <c r="W5663" s="320"/>
    </row>
    <row r="5664" spans="23:23" x14ac:dyDescent="0.45">
      <c r="W5664" s="320"/>
    </row>
    <row r="5665" spans="23:23" x14ac:dyDescent="0.45">
      <c r="W5665" s="320"/>
    </row>
    <row r="5666" spans="23:23" x14ac:dyDescent="0.45">
      <c r="W5666" s="320"/>
    </row>
    <row r="5667" spans="23:23" x14ac:dyDescent="0.45">
      <c r="W5667" s="320"/>
    </row>
    <row r="5668" spans="23:23" x14ac:dyDescent="0.45">
      <c r="W5668" s="320"/>
    </row>
    <row r="5669" spans="23:23" x14ac:dyDescent="0.45">
      <c r="W5669" s="320"/>
    </row>
    <row r="5670" spans="23:23" x14ac:dyDescent="0.45">
      <c r="W5670" s="320"/>
    </row>
    <row r="5671" spans="23:23" x14ac:dyDescent="0.45">
      <c r="W5671" s="320"/>
    </row>
    <row r="5672" spans="23:23" x14ac:dyDescent="0.45">
      <c r="W5672" s="320"/>
    </row>
    <row r="5673" spans="23:23" x14ac:dyDescent="0.45">
      <c r="W5673" s="320"/>
    </row>
    <row r="5674" spans="23:23" x14ac:dyDescent="0.45">
      <c r="W5674" s="320"/>
    </row>
    <row r="5675" spans="23:23" x14ac:dyDescent="0.45">
      <c r="W5675" s="320"/>
    </row>
    <row r="5676" spans="23:23" x14ac:dyDescent="0.45">
      <c r="W5676" s="320"/>
    </row>
    <row r="5677" spans="23:23" x14ac:dyDescent="0.45">
      <c r="W5677" s="320"/>
    </row>
    <row r="5678" spans="23:23" x14ac:dyDescent="0.45">
      <c r="W5678" s="320"/>
    </row>
    <row r="5679" spans="23:23" x14ac:dyDescent="0.45">
      <c r="W5679" s="320"/>
    </row>
    <row r="5680" spans="23:23" x14ac:dyDescent="0.45">
      <c r="W5680" s="320"/>
    </row>
    <row r="5681" spans="23:23" x14ac:dyDescent="0.45">
      <c r="W5681" s="320"/>
    </row>
    <row r="5682" spans="23:23" x14ac:dyDescent="0.45">
      <c r="W5682" s="320"/>
    </row>
    <row r="5683" spans="23:23" x14ac:dyDescent="0.45">
      <c r="W5683" s="320"/>
    </row>
    <row r="5684" spans="23:23" x14ac:dyDescent="0.45">
      <c r="W5684" s="320"/>
    </row>
    <row r="5685" spans="23:23" x14ac:dyDescent="0.45">
      <c r="W5685" s="320"/>
    </row>
    <row r="5686" spans="23:23" x14ac:dyDescent="0.45">
      <c r="W5686" s="320"/>
    </row>
    <row r="5687" spans="23:23" x14ac:dyDescent="0.45">
      <c r="W5687" s="320"/>
    </row>
    <row r="5688" spans="23:23" x14ac:dyDescent="0.45">
      <c r="W5688" s="320"/>
    </row>
    <row r="5689" spans="23:23" x14ac:dyDescent="0.45">
      <c r="W5689" s="320"/>
    </row>
    <row r="5690" spans="23:23" x14ac:dyDescent="0.45">
      <c r="W5690" s="320"/>
    </row>
    <row r="5691" spans="23:23" x14ac:dyDescent="0.45">
      <c r="W5691" s="320"/>
    </row>
    <row r="5692" spans="23:23" x14ac:dyDescent="0.45">
      <c r="W5692" s="320"/>
    </row>
    <row r="5693" spans="23:23" x14ac:dyDescent="0.45">
      <c r="W5693" s="320"/>
    </row>
    <row r="5694" spans="23:23" x14ac:dyDescent="0.45">
      <c r="W5694" s="320"/>
    </row>
    <row r="5695" spans="23:23" x14ac:dyDescent="0.45">
      <c r="W5695" s="320"/>
    </row>
    <row r="5696" spans="23:23" x14ac:dyDescent="0.45">
      <c r="W5696" s="320"/>
    </row>
    <row r="5697" spans="23:23" x14ac:dyDescent="0.45">
      <c r="W5697" s="320"/>
    </row>
    <row r="5698" spans="23:23" x14ac:dyDescent="0.45">
      <c r="W5698" s="320"/>
    </row>
    <row r="5699" spans="23:23" x14ac:dyDescent="0.45">
      <c r="W5699" s="320"/>
    </row>
    <row r="5700" spans="23:23" x14ac:dyDescent="0.45">
      <c r="W5700" s="320"/>
    </row>
    <row r="5701" spans="23:23" x14ac:dyDescent="0.45">
      <c r="W5701" s="320"/>
    </row>
    <row r="5702" spans="23:23" x14ac:dyDescent="0.45">
      <c r="W5702" s="320"/>
    </row>
    <row r="5703" spans="23:23" x14ac:dyDescent="0.45">
      <c r="W5703" s="320"/>
    </row>
    <row r="5704" spans="23:23" x14ac:dyDescent="0.45">
      <c r="W5704" s="320"/>
    </row>
    <row r="5705" spans="23:23" x14ac:dyDescent="0.45">
      <c r="W5705" s="320"/>
    </row>
    <row r="5706" spans="23:23" x14ac:dyDescent="0.45">
      <c r="W5706" s="320"/>
    </row>
    <row r="5707" spans="23:23" x14ac:dyDescent="0.45">
      <c r="W5707" s="320"/>
    </row>
    <row r="5708" spans="23:23" x14ac:dyDescent="0.45">
      <c r="W5708" s="320"/>
    </row>
    <row r="5709" spans="23:23" x14ac:dyDescent="0.45">
      <c r="W5709" s="320"/>
    </row>
    <row r="5710" spans="23:23" x14ac:dyDescent="0.45">
      <c r="W5710" s="320"/>
    </row>
    <row r="5711" spans="23:23" x14ac:dyDescent="0.45">
      <c r="W5711" s="320"/>
    </row>
    <row r="5712" spans="23:23" x14ac:dyDescent="0.45">
      <c r="W5712" s="320"/>
    </row>
    <row r="5713" spans="23:23" x14ac:dyDescent="0.45">
      <c r="W5713" s="320"/>
    </row>
    <row r="5714" spans="23:23" x14ac:dyDescent="0.45">
      <c r="W5714" s="320"/>
    </row>
    <row r="5715" spans="23:23" x14ac:dyDescent="0.45">
      <c r="W5715" s="320"/>
    </row>
    <row r="5716" spans="23:23" x14ac:dyDescent="0.45">
      <c r="W5716" s="320"/>
    </row>
    <row r="5717" spans="23:23" x14ac:dyDescent="0.45">
      <c r="W5717" s="320"/>
    </row>
    <row r="5718" spans="23:23" x14ac:dyDescent="0.45">
      <c r="W5718" s="320"/>
    </row>
    <row r="5719" spans="23:23" x14ac:dyDescent="0.45">
      <c r="W5719" s="320"/>
    </row>
    <row r="5720" spans="23:23" x14ac:dyDescent="0.45">
      <c r="W5720" s="320"/>
    </row>
    <row r="5721" spans="23:23" x14ac:dyDescent="0.45">
      <c r="W5721" s="320"/>
    </row>
    <row r="5722" spans="23:23" x14ac:dyDescent="0.45">
      <c r="W5722" s="320"/>
    </row>
    <row r="5723" spans="23:23" x14ac:dyDescent="0.45">
      <c r="W5723" s="320"/>
    </row>
    <row r="5724" spans="23:23" x14ac:dyDescent="0.45">
      <c r="W5724" s="320"/>
    </row>
    <row r="5725" spans="23:23" x14ac:dyDescent="0.45">
      <c r="W5725" s="320"/>
    </row>
    <row r="5726" spans="23:23" x14ac:dyDescent="0.45">
      <c r="W5726" s="320"/>
    </row>
    <row r="5727" spans="23:23" x14ac:dyDescent="0.45">
      <c r="W5727" s="320"/>
    </row>
    <row r="5728" spans="23:23" x14ac:dyDescent="0.45">
      <c r="W5728" s="320"/>
    </row>
    <row r="5729" spans="23:23" x14ac:dyDescent="0.45">
      <c r="W5729" s="320"/>
    </row>
    <row r="5730" spans="23:23" x14ac:dyDescent="0.45">
      <c r="W5730" s="320"/>
    </row>
    <row r="5731" spans="23:23" x14ac:dyDescent="0.45">
      <c r="W5731" s="320"/>
    </row>
    <row r="5732" spans="23:23" x14ac:dyDescent="0.45">
      <c r="W5732" s="320"/>
    </row>
    <row r="5733" spans="23:23" x14ac:dyDescent="0.45">
      <c r="W5733" s="320"/>
    </row>
    <row r="5734" spans="23:23" x14ac:dyDescent="0.45">
      <c r="W5734" s="320"/>
    </row>
    <row r="5735" spans="23:23" x14ac:dyDescent="0.45">
      <c r="W5735" s="320"/>
    </row>
    <row r="5736" spans="23:23" x14ac:dyDescent="0.45">
      <c r="W5736" s="320"/>
    </row>
    <row r="5737" spans="23:23" x14ac:dyDescent="0.45">
      <c r="W5737" s="320"/>
    </row>
    <row r="5738" spans="23:23" x14ac:dyDescent="0.45">
      <c r="W5738" s="320"/>
    </row>
    <row r="5739" spans="23:23" x14ac:dyDescent="0.45">
      <c r="W5739" s="320"/>
    </row>
    <row r="5740" spans="23:23" x14ac:dyDescent="0.45">
      <c r="W5740" s="320"/>
    </row>
    <row r="5741" spans="23:23" x14ac:dyDescent="0.45">
      <c r="W5741" s="320"/>
    </row>
    <row r="5742" spans="23:23" x14ac:dyDescent="0.45">
      <c r="W5742" s="320"/>
    </row>
    <row r="5743" spans="23:23" x14ac:dyDescent="0.45">
      <c r="W5743" s="320"/>
    </row>
    <row r="5744" spans="23:23" x14ac:dyDescent="0.45">
      <c r="W5744" s="320"/>
    </row>
    <row r="5745" spans="23:23" x14ac:dyDescent="0.45">
      <c r="W5745" s="320"/>
    </row>
    <row r="5746" spans="23:23" x14ac:dyDescent="0.45">
      <c r="W5746" s="320"/>
    </row>
    <row r="5747" spans="23:23" x14ac:dyDescent="0.45">
      <c r="W5747" s="320"/>
    </row>
    <row r="5748" spans="23:23" x14ac:dyDescent="0.45">
      <c r="W5748" s="320"/>
    </row>
    <row r="5749" spans="23:23" x14ac:dyDescent="0.45">
      <c r="W5749" s="320"/>
    </row>
    <row r="5750" spans="23:23" x14ac:dyDescent="0.45">
      <c r="W5750" s="320"/>
    </row>
    <row r="5751" spans="23:23" x14ac:dyDescent="0.45">
      <c r="W5751" s="320"/>
    </row>
    <row r="5752" spans="23:23" x14ac:dyDescent="0.45">
      <c r="W5752" s="320"/>
    </row>
    <row r="5753" spans="23:23" x14ac:dyDescent="0.45">
      <c r="W5753" s="320"/>
    </row>
    <row r="5754" spans="23:23" x14ac:dyDescent="0.45">
      <c r="W5754" s="320"/>
    </row>
    <row r="5755" spans="23:23" x14ac:dyDescent="0.45">
      <c r="W5755" s="320"/>
    </row>
    <row r="5756" spans="23:23" x14ac:dyDescent="0.45">
      <c r="W5756" s="320"/>
    </row>
    <row r="5757" spans="23:23" x14ac:dyDescent="0.45">
      <c r="W5757" s="320"/>
    </row>
    <row r="5758" spans="23:23" x14ac:dyDescent="0.45">
      <c r="W5758" s="320"/>
    </row>
    <row r="5759" spans="23:23" x14ac:dyDescent="0.45">
      <c r="W5759" s="320"/>
    </row>
    <row r="5760" spans="23:23" x14ac:dyDescent="0.45">
      <c r="W5760" s="320"/>
    </row>
    <row r="5761" spans="23:23" x14ac:dyDescent="0.45">
      <c r="W5761" s="320"/>
    </row>
    <row r="5762" spans="23:23" x14ac:dyDescent="0.45">
      <c r="W5762" s="320"/>
    </row>
    <row r="5763" spans="23:23" x14ac:dyDescent="0.45">
      <c r="W5763" s="320"/>
    </row>
    <row r="5764" spans="23:23" x14ac:dyDescent="0.45">
      <c r="W5764" s="320"/>
    </row>
    <row r="5765" spans="23:23" x14ac:dyDescent="0.45">
      <c r="W5765" s="320"/>
    </row>
    <row r="5766" spans="23:23" x14ac:dyDescent="0.45">
      <c r="W5766" s="320"/>
    </row>
    <row r="5767" spans="23:23" x14ac:dyDescent="0.45">
      <c r="W5767" s="320"/>
    </row>
    <row r="5768" spans="23:23" x14ac:dyDescent="0.45">
      <c r="W5768" s="320"/>
    </row>
    <row r="5769" spans="23:23" x14ac:dyDescent="0.45">
      <c r="W5769" s="320"/>
    </row>
    <row r="5770" spans="23:23" x14ac:dyDescent="0.45">
      <c r="W5770" s="320"/>
    </row>
    <row r="5771" spans="23:23" x14ac:dyDescent="0.45">
      <c r="W5771" s="320"/>
    </row>
    <row r="5772" spans="23:23" x14ac:dyDescent="0.45">
      <c r="W5772" s="320"/>
    </row>
    <row r="5773" spans="23:23" x14ac:dyDescent="0.45">
      <c r="W5773" s="320"/>
    </row>
    <row r="5774" spans="23:23" x14ac:dyDescent="0.45">
      <c r="W5774" s="320"/>
    </row>
    <row r="5775" spans="23:23" x14ac:dyDescent="0.45">
      <c r="W5775" s="320"/>
    </row>
    <row r="5776" spans="23:23" x14ac:dyDescent="0.45">
      <c r="W5776" s="320"/>
    </row>
    <row r="5777" spans="23:23" x14ac:dyDescent="0.45">
      <c r="W5777" s="320"/>
    </row>
    <row r="5778" spans="23:23" x14ac:dyDescent="0.45">
      <c r="W5778" s="320"/>
    </row>
    <row r="5779" spans="23:23" x14ac:dyDescent="0.45">
      <c r="W5779" s="320"/>
    </row>
    <row r="5780" spans="23:23" x14ac:dyDescent="0.45">
      <c r="W5780" s="320"/>
    </row>
    <row r="5781" spans="23:23" x14ac:dyDescent="0.45">
      <c r="W5781" s="320"/>
    </row>
    <row r="5782" spans="23:23" x14ac:dyDescent="0.45">
      <c r="W5782" s="320"/>
    </row>
    <row r="5783" spans="23:23" x14ac:dyDescent="0.45">
      <c r="W5783" s="320"/>
    </row>
    <row r="5784" spans="23:23" x14ac:dyDescent="0.45">
      <c r="W5784" s="320"/>
    </row>
    <row r="5785" spans="23:23" x14ac:dyDescent="0.45">
      <c r="W5785" s="320"/>
    </row>
    <row r="5786" spans="23:23" x14ac:dyDescent="0.45">
      <c r="W5786" s="320"/>
    </row>
    <row r="5787" spans="23:23" x14ac:dyDescent="0.45">
      <c r="W5787" s="320"/>
    </row>
    <row r="5788" spans="23:23" x14ac:dyDescent="0.45">
      <c r="W5788" s="320"/>
    </row>
    <row r="5789" spans="23:23" x14ac:dyDescent="0.45">
      <c r="W5789" s="320"/>
    </row>
    <row r="5790" spans="23:23" x14ac:dyDescent="0.45">
      <c r="W5790" s="320"/>
    </row>
    <row r="5791" spans="23:23" x14ac:dyDescent="0.45">
      <c r="W5791" s="320"/>
    </row>
    <row r="5792" spans="23:23" x14ac:dyDescent="0.45">
      <c r="W5792" s="320"/>
    </row>
    <row r="5793" spans="23:23" x14ac:dyDescent="0.45">
      <c r="W5793" s="320"/>
    </row>
    <row r="5794" spans="23:23" x14ac:dyDescent="0.45">
      <c r="W5794" s="320"/>
    </row>
    <row r="5795" spans="23:23" x14ac:dyDescent="0.45">
      <c r="W5795" s="320"/>
    </row>
    <row r="5796" spans="23:23" x14ac:dyDescent="0.45">
      <c r="W5796" s="320"/>
    </row>
    <row r="5797" spans="23:23" x14ac:dyDescent="0.45">
      <c r="W5797" s="320"/>
    </row>
    <row r="5798" spans="23:23" x14ac:dyDescent="0.45">
      <c r="W5798" s="320"/>
    </row>
    <row r="5799" spans="23:23" x14ac:dyDescent="0.45">
      <c r="W5799" s="320"/>
    </row>
    <row r="5800" spans="23:23" x14ac:dyDescent="0.45">
      <c r="W5800" s="320"/>
    </row>
    <row r="5801" spans="23:23" x14ac:dyDescent="0.45">
      <c r="W5801" s="320"/>
    </row>
    <row r="5802" spans="23:23" x14ac:dyDescent="0.45">
      <c r="W5802" s="320"/>
    </row>
    <row r="5803" spans="23:23" x14ac:dyDescent="0.45">
      <c r="W5803" s="320"/>
    </row>
    <row r="5804" spans="23:23" x14ac:dyDescent="0.45">
      <c r="W5804" s="320"/>
    </row>
    <row r="5805" spans="23:23" x14ac:dyDescent="0.45">
      <c r="W5805" s="320"/>
    </row>
    <row r="5806" spans="23:23" x14ac:dyDescent="0.45">
      <c r="W5806" s="320"/>
    </row>
    <row r="5807" spans="23:23" x14ac:dyDescent="0.45">
      <c r="W5807" s="320"/>
    </row>
    <row r="5808" spans="23:23" x14ac:dyDescent="0.45">
      <c r="W5808" s="320"/>
    </row>
    <row r="5809" spans="23:23" x14ac:dyDescent="0.45">
      <c r="W5809" s="320"/>
    </row>
    <row r="5810" spans="23:23" x14ac:dyDescent="0.45">
      <c r="W5810" s="320"/>
    </row>
    <row r="5811" spans="23:23" x14ac:dyDescent="0.45">
      <c r="W5811" s="320"/>
    </row>
    <row r="5812" spans="23:23" x14ac:dyDescent="0.45">
      <c r="W5812" s="320"/>
    </row>
    <row r="5813" spans="23:23" x14ac:dyDescent="0.45">
      <c r="W5813" s="320"/>
    </row>
    <row r="5814" spans="23:23" x14ac:dyDescent="0.45">
      <c r="W5814" s="320"/>
    </row>
    <row r="5815" spans="23:23" x14ac:dyDescent="0.45">
      <c r="W5815" s="320"/>
    </row>
    <row r="5816" spans="23:23" x14ac:dyDescent="0.45">
      <c r="W5816" s="320"/>
    </row>
    <row r="5817" spans="23:23" x14ac:dyDescent="0.45">
      <c r="W5817" s="320"/>
    </row>
    <row r="5818" spans="23:23" x14ac:dyDescent="0.45">
      <c r="W5818" s="320"/>
    </row>
    <row r="5819" spans="23:23" x14ac:dyDescent="0.45">
      <c r="W5819" s="320"/>
    </row>
    <row r="5820" spans="23:23" x14ac:dyDescent="0.45">
      <c r="W5820" s="320"/>
    </row>
    <row r="5821" spans="23:23" x14ac:dyDescent="0.45">
      <c r="W5821" s="320"/>
    </row>
    <row r="5822" spans="23:23" x14ac:dyDescent="0.45">
      <c r="W5822" s="320"/>
    </row>
    <row r="5823" spans="23:23" x14ac:dyDescent="0.45">
      <c r="W5823" s="320"/>
    </row>
    <row r="5824" spans="23:23" x14ac:dyDescent="0.45">
      <c r="W5824" s="320"/>
    </row>
    <row r="5825" spans="23:23" x14ac:dyDescent="0.45">
      <c r="W5825" s="320"/>
    </row>
    <row r="5826" spans="23:23" x14ac:dyDescent="0.45">
      <c r="W5826" s="320"/>
    </row>
    <row r="5827" spans="23:23" x14ac:dyDescent="0.45">
      <c r="W5827" s="320"/>
    </row>
    <row r="5828" spans="23:23" x14ac:dyDescent="0.45">
      <c r="W5828" s="320"/>
    </row>
    <row r="5829" spans="23:23" x14ac:dyDescent="0.45">
      <c r="W5829" s="320"/>
    </row>
    <row r="5830" spans="23:23" x14ac:dyDescent="0.45">
      <c r="W5830" s="320"/>
    </row>
    <row r="5831" spans="23:23" x14ac:dyDescent="0.45">
      <c r="W5831" s="320"/>
    </row>
    <row r="5832" spans="23:23" x14ac:dyDescent="0.45">
      <c r="W5832" s="320"/>
    </row>
    <row r="5833" spans="23:23" x14ac:dyDescent="0.45">
      <c r="W5833" s="320"/>
    </row>
    <row r="5834" spans="23:23" x14ac:dyDescent="0.45">
      <c r="W5834" s="320"/>
    </row>
    <row r="5835" spans="23:23" x14ac:dyDescent="0.45">
      <c r="W5835" s="320"/>
    </row>
    <row r="5836" spans="23:23" x14ac:dyDescent="0.45">
      <c r="W5836" s="320"/>
    </row>
    <row r="5837" spans="23:23" x14ac:dyDescent="0.45">
      <c r="W5837" s="320"/>
    </row>
    <row r="5838" spans="23:23" x14ac:dyDescent="0.45">
      <c r="W5838" s="320"/>
    </row>
    <row r="5839" spans="23:23" x14ac:dyDescent="0.45">
      <c r="W5839" s="320"/>
    </row>
    <row r="5840" spans="23:23" x14ac:dyDescent="0.45">
      <c r="W5840" s="320"/>
    </row>
    <row r="5841" spans="23:23" x14ac:dyDescent="0.45">
      <c r="W5841" s="320"/>
    </row>
    <row r="5842" spans="23:23" x14ac:dyDescent="0.45">
      <c r="W5842" s="320"/>
    </row>
    <row r="5843" spans="23:23" x14ac:dyDescent="0.45">
      <c r="W5843" s="320"/>
    </row>
    <row r="5844" spans="23:23" x14ac:dyDescent="0.45">
      <c r="W5844" s="320"/>
    </row>
    <row r="5845" spans="23:23" x14ac:dyDescent="0.45">
      <c r="W5845" s="320"/>
    </row>
    <row r="5846" spans="23:23" x14ac:dyDescent="0.45">
      <c r="W5846" s="320"/>
    </row>
    <row r="5847" spans="23:23" x14ac:dyDescent="0.45">
      <c r="W5847" s="320"/>
    </row>
    <row r="5848" spans="23:23" x14ac:dyDescent="0.45">
      <c r="W5848" s="320"/>
    </row>
    <row r="5849" spans="23:23" x14ac:dyDescent="0.45">
      <c r="W5849" s="320"/>
    </row>
    <row r="5850" spans="23:23" x14ac:dyDescent="0.45">
      <c r="W5850" s="320"/>
    </row>
    <row r="5851" spans="23:23" x14ac:dyDescent="0.45">
      <c r="W5851" s="320"/>
    </row>
    <row r="5852" spans="23:23" x14ac:dyDescent="0.45">
      <c r="W5852" s="320"/>
    </row>
    <row r="5853" spans="23:23" x14ac:dyDescent="0.45">
      <c r="W5853" s="320"/>
    </row>
    <row r="5854" spans="23:23" x14ac:dyDescent="0.45">
      <c r="W5854" s="320"/>
    </row>
    <row r="5855" spans="23:23" x14ac:dyDescent="0.45">
      <c r="W5855" s="320"/>
    </row>
    <row r="5856" spans="23:23" x14ac:dyDescent="0.45">
      <c r="W5856" s="320"/>
    </row>
    <row r="5857" spans="23:23" x14ac:dyDescent="0.45">
      <c r="W5857" s="320"/>
    </row>
    <row r="5858" spans="23:23" x14ac:dyDescent="0.45">
      <c r="W5858" s="320"/>
    </row>
    <row r="5859" spans="23:23" x14ac:dyDescent="0.45">
      <c r="W5859" s="320"/>
    </row>
    <row r="5860" spans="23:23" x14ac:dyDescent="0.45">
      <c r="W5860" s="320"/>
    </row>
    <row r="5861" spans="23:23" x14ac:dyDescent="0.45">
      <c r="W5861" s="320"/>
    </row>
    <row r="5862" spans="23:23" x14ac:dyDescent="0.45">
      <c r="W5862" s="320"/>
    </row>
    <row r="5863" spans="23:23" x14ac:dyDescent="0.45">
      <c r="W5863" s="320"/>
    </row>
    <row r="5864" spans="23:23" x14ac:dyDescent="0.45">
      <c r="W5864" s="320"/>
    </row>
    <row r="5865" spans="23:23" x14ac:dyDescent="0.45">
      <c r="W5865" s="320"/>
    </row>
    <row r="5866" spans="23:23" x14ac:dyDescent="0.45">
      <c r="W5866" s="320"/>
    </row>
    <row r="5867" spans="23:23" x14ac:dyDescent="0.45">
      <c r="W5867" s="320"/>
    </row>
    <row r="5868" spans="23:23" x14ac:dyDescent="0.45">
      <c r="W5868" s="320"/>
    </row>
    <row r="5869" spans="23:23" x14ac:dyDescent="0.45">
      <c r="W5869" s="320"/>
    </row>
    <row r="5870" spans="23:23" x14ac:dyDescent="0.45">
      <c r="W5870" s="320"/>
    </row>
    <row r="5871" spans="23:23" x14ac:dyDescent="0.45">
      <c r="W5871" s="320"/>
    </row>
    <row r="5872" spans="23:23" x14ac:dyDescent="0.45">
      <c r="W5872" s="320"/>
    </row>
    <row r="5873" spans="23:23" x14ac:dyDescent="0.45">
      <c r="W5873" s="320"/>
    </row>
    <row r="5874" spans="23:23" x14ac:dyDescent="0.45">
      <c r="W5874" s="320"/>
    </row>
    <row r="5875" spans="23:23" x14ac:dyDescent="0.45">
      <c r="W5875" s="320"/>
    </row>
    <row r="5876" spans="23:23" x14ac:dyDescent="0.45">
      <c r="W5876" s="320"/>
    </row>
    <row r="5877" spans="23:23" x14ac:dyDescent="0.45">
      <c r="W5877" s="320"/>
    </row>
    <row r="5878" spans="23:23" x14ac:dyDescent="0.45">
      <c r="W5878" s="320"/>
    </row>
    <row r="5879" spans="23:23" x14ac:dyDescent="0.45">
      <c r="W5879" s="320"/>
    </row>
    <row r="5880" spans="23:23" x14ac:dyDescent="0.45">
      <c r="W5880" s="320"/>
    </row>
    <row r="5881" spans="23:23" x14ac:dyDescent="0.45">
      <c r="W5881" s="320"/>
    </row>
    <row r="5882" spans="23:23" x14ac:dyDescent="0.45">
      <c r="W5882" s="320"/>
    </row>
    <row r="5883" spans="23:23" x14ac:dyDescent="0.45">
      <c r="W5883" s="320"/>
    </row>
    <row r="5884" spans="23:23" x14ac:dyDescent="0.45">
      <c r="W5884" s="320"/>
    </row>
    <row r="5885" spans="23:23" x14ac:dyDescent="0.45">
      <c r="W5885" s="320"/>
    </row>
    <row r="5886" spans="23:23" x14ac:dyDescent="0.45">
      <c r="W5886" s="320"/>
    </row>
    <row r="5887" spans="23:23" x14ac:dyDescent="0.45">
      <c r="W5887" s="320"/>
    </row>
    <row r="5888" spans="23:23" x14ac:dyDescent="0.45">
      <c r="W5888" s="320"/>
    </row>
    <row r="5889" spans="23:23" x14ac:dyDescent="0.45">
      <c r="W5889" s="320"/>
    </row>
    <row r="5890" spans="23:23" x14ac:dyDescent="0.45">
      <c r="W5890" s="320"/>
    </row>
    <row r="5891" spans="23:23" x14ac:dyDescent="0.45">
      <c r="W5891" s="320"/>
    </row>
    <row r="5892" spans="23:23" x14ac:dyDescent="0.45">
      <c r="W5892" s="320"/>
    </row>
    <row r="5893" spans="23:23" x14ac:dyDescent="0.45">
      <c r="W5893" s="320"/>
    </row>
    <row r="5894" spans="23:23" x14ac:dyDescent="0.45">
      <c r="W5894" s="320"/>
    </row>
    <row r="5895" spans="23:23" x14ac:dyDescent="0.45">
      <c r="W5895" s="320"/>
    </row>
    <row r="5896" spans="23:23" x14ac:dyDescent="0.45">
      <c r="W5896" s="320"/>
    </row>
    <row r="5897" spans="23:23" x14ac:dyDescent="0.45">
      <c r="W5897" s="320"/>
    </row>
    <row r="5898" spans="23:23" x14ac:dyDescent="0.45">
      <c r="W5898" s="320"/>
    </row>
    <row r="5899" spans="23:23" x14ac:dyDescent="0.45">
      <c r="W5899" s="320"/>
    </row>
    <row r="5900" spans="23:23" x14ac:dyDescent="0.45">
      <c r="W5900" s="320"/>
    </row>
    <row r="5901" spans="23:23" x14ac:dyDescent="0.45">
      <c r="W5901" s="320"/>
    </row>
    <row r="5902" spans="23:23" x14ac:dyDescent="0.45">
      <c r="W5902" s="320"/>
    </row>
    <row r="5903" spans="23:23" x14ac:dyDescent="0.45">
      <c r="W5903" s="320"/>
    </row>
    <row r="5904" spans="23:23" x14ac:dyDescent="0.45">
      <c r="W5904" s="320"/>
    </row>
    <row r="5905" spans="23:23" x14ac:dyDescent="0.45">
      <c r="W5905" s="320"/>
    </row>
    <row r="5906" spans="23:23" x14ac:dyDescent="0.45">
      <c r="W5906" s="320"/>
    </row>
    <row r="5907" spans="23:23" x14ac:dyDescent="0.45">
      <c r="W5907" s="320"/>
    </row>
    <row r="5908" spans="23:23" x14ac:dyDescent="0.45">
      <c r="W5908" s="320"/>
    </row>
    <row r="5909" spans="23:23" x14ac:dyDescent="0.45">
      <c r="W5909" s="320"/>
    </row>
    <row r="5910" spans="23:23" x14ac:dyDescent="0.45">
      <c r="W5910" s="320"/>
    </row>
    <row r="5911" spans="23:23" x14ac:dyDescent="0.45">
      <c r="W5911" s="320"/>
    </row>
    <row r="5912" spans="23:23" x14ac:dyDescent="0.45">
      <c r="W5912" s="320"/>
    </row>
    <row r="5913" spans="23:23" x14ac:dyDescent="0.45">
      <c r="W5913" s="320"/>
    </row>
    <row r="5914" spans="23:23" x14ac:dyDescent="0.45">
      <c r="W5914" s="320"/>
    </row>
    <row r="5915" spans="23:23" x14ac:dyDescent="0.45">
      <c r="W5915" s="320"/>
    </row>
    <row r="5916" spans="23:23" x14ac:dyDescent="0.45">
      <c r="W5916" s="320"/>
    </row>
    <row r="5917" spans="23:23" x14ac:dyDescent="0.45">
      <c r="W5917" s="320"/>
    </row>
    <row r="5918" spans="23:23" x14ac:dyDescent="0.45">
      <c r="W5918" s="320"/>
    </row>
    <row r="5919" spans="23:23" x14ac:dyDescent="0.45">
      <c r="W5919" s="320"/>
    </row>
    <row r="5920" spans="23:23" x14ac:dyDescent="0.45">
      <c r="W5920" s="320"/>
    </row>
    <row r="5921" spans="23:23" x14ac:dyDescent="0.45">
      <c r="W5921" s="320"/>
    </row>
    <row r="5922" spans="23:23" x14ac:dyDescent="0.45">
      <c r="W5922" s="320"/>
    </row>
    <row r="5923" spans="23:23" x14ac:dyDescent="0.45">
      <c r="W5923" s="320"/>
    </row>
    <row r="5924" spans="23:23" x14ac:dyDescent="0.45">
      <c r="W5924" s="320"/>
    </row>
    <row r="5925" spans="23:23" x14ac:dyDescent="0.45">
      <c r="W5925" s="320"/>
    </row>
    <row r="5926" spans="23:23" x14ac:dyDescent="0.45">
      <c r="W5926" s="320"/>
    </row>
    <row r="5927" spans="23:23" x14ac:dyDescent="0.45">
      <c r="W5927" s="320"/>
    </row>
    <row r="5928" spans="23:23" x14ac:dyDescent="0.45">
      <c r="W5928" s="320"/>
    </row>
    <row r="5929" spans="23:23" x14ac:dyDescent="0.45">
      <c r="W5929" s="320"/>
    </row>
    <row r="5930" spans="23:23" x14ac:dyDescent="0.45">
      <c r="W5930" s="320"/>
    </row>
    <row r="5931" spans="23:23" x14ac:dyDescent="0.45">
      <c r="W5931" s="320"/>
    </row>
    <row r="5932" spans="23:23" x14ac:dyDescent="0.45">
      <c r="W5932" s="320"/>
    </row>
    <row r="5933" spans="23:23" x14ac:dyDescent="0.45">
      <c r="W5933" s="320"/>
    </row>
    <row r="5934" spans="23:23" x14ac:dyDescent="0.45">
      <c r="W5934" s="320"/>
    </row>
    <row r="5935" spans="23:23" x14ac:dyDescent="0.45">
      <c r="W5935" s="320"/>
    </row>
    <row r="5936" spans="23:23" x14ac:dyDescent="0.45">
      <c r="W5936" s="320"/>
    </row>
    <row r="5937" spans="23:23" x14ac:dyDescent="0.45">
      <c r="W5937" s="320"/>
    </row>
    <row r="5938" spans="23:23" x14ac:dyDescent="0.45">
      <c r="W5938" s="320"/>
    </row>
    <row r="5939" spans="23:23" x14ac:dyDescent="0.45">
      <c r="W5939" s="320"/>
    </row>
    <row r="5940" spans="23:23" x14ac:dyDescent="0.45">
      <c r="W5940" s="320"/>
    </row>
    <row r="5941" spans="23:23" x14ac:dyDescent="0.45">
      <c r="W5941" s="320"/>
    </row>
    <row r="5942" spans="23:23" x14ac:dyDescent="0.45">
      <c r="W5942" s="320"/>
    </row>
    <row r="5943" spans="23:23" x14ac:dyDescent="0.45">
      <c r="W5943" s="320"/>
    </row>
    <row r="5944" spans="23:23" x14ac:dyDescent="0.45">
      <c r="W5944" s="320"/>
    </row>
    <row r="5945" spans="23:23" x14ac:dyDescent="0.45">
      <c r="W5945" s="320"/>
    </row>
    <row r="5946" spans="23:23" x14ac:dyDescent="0.45">
      <c r="W5946" s="320"/>
    </row>
    <row r="5947" spans="23:23" x14ac:dyDescent="0.45">
      <c r="W5947" s="320"/>
    </row>
    <row r="5948" spans="23:23" x14ac:dyDescent="0.45">
      <c r="W5948" s="320"/>
    </row>
    <row r="5949" spans="23:23" x14ac:dyDescent="0.45">
      <c r="W5949" s="320"/>
    </row>
    <row r="5950" spans="23:23" x14ac:dyDescent="0.45">
      <c r="W5950" s="320"/>
    </row>
    <row r="5951" spans="23:23" x14ac:dyDescent="0.45">
      <c r="W5951" s="320"/>
    </row>
    <row r="5952" spans="23:23" x14ac:dyDescent="0.45">
      <c r="W5952" s="320"/>
    </row>
    <row r="5953" spans="23:23" x14ac:dyDescent="0.45">
      <c r="W5953" s="320"/>
    </row>
    <row r="5954" spans="23:23" x14ac:dyDescent="0.45">
      <c r="W5954" s="320"/>
    </row>
    <row r="5955" spans="23:23" x14ac:dyDescent="0.45">
      <c r="W5955" s="320"/>
    </row>
    <row r="5956" spans="23:23" x14ac:dyDescent="0.45">
      <c r="W5956" s="320"/>
    </row>
    <row r="5957" spans="23:23" x14ac:dyDescent="0.45">
      <c r="W5957" s="320"/>
    </row>
    <row r="5958" spans="23:23" x14ac:dyDescent="0.45">
      <c r="W5958" s="320"/>
    </row>
    <row r="5959" spans="23:23" x14ac:dyDescent="0.45">
      <c r="W5959" s="320"/>
    </row>
    <row r="5960" spans="23:23" x14ac:dyDescent="0.45">
      <c r="W5960" s="320"/>
    </row>
    <row r="5961" spans="23:23" x14ac:dyDescent="0.45">
      <c r="W5961" s="320"/>
    </row>
    <row r="5962" spans="23:23" x14ac:dyDescent="0.45">
      <c r="W5962" s="320"/>
    </row>
    <row r="5963" spans="23:23" x14ac:dyDescent="0.45">
      <c r="W5963" s="320"/>
    </row>
    <row r="5964" spans="23:23" x14ac:dyDescent="0.45">
      <c r="W5964" s="320"/>
    </row>
    <row r="5965" spans="23:23" x14ac:dyDescent="0.45">
      <c r="W5965" s="320"/>
    </row>
    <row r="5966" spans="23:23" x14ac:dyDescent="0.45">
      <c r="W5966" s="320"/>
    </row>
    <row r="5967" spans="23:23" x14ac:dyDescent="0.45">
      <c r="W5967" s="320"/>
    </row>
    <row r="5968" spans="23:23" x14ac:dyDescent="0.45">
      <c r="W5968" s="320"/>
    </row>
    <row r="5969" spans="23:23" x14ac:dyDescent="0.45">
      <c r="W5969" s="320"/>
    </row>
    <row r="5970" spans="23:23" x14ac:dyDescent="0.45">
      <c r="W5970" s="320"/>
    </row>
    <row r="5971" spans="23:23" x14ac:dyDescent="0.45">
      <c r="W5971" s="320"/>
    </row>
    <row r="5972" spans="23:23" x14ac:dyDescent="0.45">
      <c r="W5972" s="320"/>
    </row>
    <row r="5973" spans="23:23" x14ac:dyDescent="0.45">
      <c r="W5973" s="320"/>
    </row>
    <row r="5974" spans="23:23" x14ac:dyDescent="0.45">
      <c r="W5974" s="320"/>
    </row>
    <row r="5975" spans="23:23" x14ac:dyDescent="0.45">
      <c r="W5975" s="320"/>
    </row>
    <row r="5976" spans="23:23" x14ac:dyDescent="0.45">
      <c r="W5976" s="320"/>
    </row>
    <row r="5977" spans="23:23" x14ac:dyDescent="0.45">
      <c r="W5977" s="320"/>
    </row>
    <row r="5978" spans="23:23" x14ac:dyDescent="0.45">
      <c r="W5978" s="320"/>
    </row>
    <row r="5979" spans="23:23" x14ac:dyDescent="0.45">
      <c r="W5979" s="320"/>
    </row>
    <row r="5980" spans="23:23" x14ac:dyDescent="0.45">
      <c r="W5980" s="320"/>
    </row>
    <row r="5981" spans="23:23" x14ac:dyDescent="0.45">
      <c r="W5981" s="320"/>
    </row>
    <row r="5982" spans="23:23" x14ac:dyDescent="0.45">
      <c r="W5982" s="320"/>
    </row>
    <row r="5983" spans="23:23" x14ac:dyDescent="0.45">
      <c r="W5983" s="320"/>
    </row>
    <row r="5984" spans="23:23" x14ac:dyDescent="0.45">
      <c r="W5984" s="320"/>
    </row>
    <row r="5985" spans="23:23" x14ac:dyDescent="0.45">
      <c r="W5985" s="320"/>
    </row>
    <row r="5986" spans="23:23" x14ac:dyDescent="0.45">
      <c r="W5986" s="320"/>
    </row>
    <row r="5987" spans="23:23" x14ac:dyDescent="0.45">
      <c r="W5987" s="320"/>
    </row>
    <row r="5988" spans="23:23" x14ac:dyDescent="0.45">
      <c r="W5988" s="320"/>
    </row>
    <row r="5989" spans="23:23" x14ac:dyDescent="0.45">
      <c r="W5989" s="320"/>
    </row>
    <row r="5990" spans="23:23" x14ac:dyDescent="0.45">
      <c r="W5990" s="320"/>
    </row>
    <row r="5991" spans="23:23" x14ac:dyDescent="0.45">
      <c r="W5991" s="320"/>
    </row>
    <row r="5992" spans="23:23" x14ac:dyDescent="0.45">
      <c r="W5992" s="320"/>
    </row>
    <row r="5993" spans="23:23" x14ac:dyDescent="0.45">
      <c r="W5993" s="320"/>
    </row>
    <row r="5994" spans="23:23" x14ac:dyDescent="0.45">
      <c r="W5994" s="320"/>
    </row>
    <row r="5995" spans="23:23" x14ac:dyDescent="0.45">
      <c r="W5995" s="320"/>
    </row>
    <row r="5996" spans="23:23" x14ac:dyDescent="0.45">
      <c r="W5996" s="320"/>
    </row>
    <row r="5997" spans="23:23" x14ac:dyDescent="0.45">
      <c r="W5997" s="320"/>
    </row>
    <row r="5998" spans="23:23" x14ac:dyDescent="0.45">
      <c r="W5998" s="320"/>
    </row>
    <row r="5999" spans="23:23" x14ac:dyDescent="0.45">
      <c r="W5999" s="320"/>
    </row>
    <row r="6000" spans="23:23" x14ac:dyDescent="0.45">
      <c r="W6000" s="320"/>
    </row>
    <row r="6001" spans="23:23" x14ac:dyDescent="0.45">
      <c r="W6001" s="320"/>
    </row>
    <row r="6002" spans="23:23" x14ac:dyDescent="0.45">
      <c r="W6002" s="320"/>
    </row>
    <row r="6003" spans="23:23" x14ac:dyDescent="0.45">
      <c r="W6003" s="320"/>
    </row>
    <row r="6004" spans="23:23" x14ac:dyDescent="0.45">
      <c r="W6004" s="320"/>
    </row>
    <row r="6005" spans="23:23" x14ac:dyDescent="0.45">
      <c r="W6005" s="320"/>
    </row>
    <row r="6006" spans="23:23" x14ac:dyDescent="0.45">
      <c r="W6006" s="320"/>
    </row>
    <row r="6007" spans="23:23" x14ac:dyDescent="0.45">
      <c r="W6007" s="320"/>
    </row>
    <row r="6008" spans="23:23" x14ac:dyDescent="0.45">
      <c r="W6008" s="320"/>
    </row>
    <row r="6009" spans="23:23" x14ac:dyDescent="0.45">
      <c r="W6009" s="320"/>
    </row>
    <row r="6010" spans="23:23" x14ac:dyDescent="0.45">
      <c r="W6010" s="320"/>
    </row>
    <row r="6011" spans="23:23" x14ac:dyDescent="0.45">
      <c r="W6011" s="320"/>
    </row>
    <row r="6012" spans="23:23" x14ac:dyDescent="0.45">
      <c r="W6012" s="320"/>
    </row>
    <row r="6013" spans="23:23" x14ac:dyDescent="0.45">
      <c r="W6013" s="320"/>
    </row>
    <row r="6014" spans="23:23" x14ac:dyDescent="0.45">
      <c r="W6014" s="320"/>
    </row>
    <row r="6015" spans="23:23" x14ac:dyDescent="0.45">
      <c r="W6015" s="320"/>
    </row>
    <row r="6016" spans="23:23" x14ac:dyDescent="0.45">
      <c r="W6016" s="320"/>
    </row>
    <row r="6017" spans="23:23" x14ac:dyDescent="0.45">
      <c r="W6017" s="320"/>
    </row>
    <row r="6018" spans="23:23" x14ac:dyDescent="0.45">
      <c r="W6018" s="320"/>
    </row>
    <row r="6019" spans="23:23" x14ac:dyDescent="0.45">
      <c r="W6019" s="320"/>
    </row>
    <row r="6020" spans="23:23" x14ac:dyDescent="0.45">
      <c r="W6020" s="320"/>
    </row>
    <row r="6021" spans="23:23" x14ac:dyDescent="0.45">
      <c r="W6021" s="320"/>
    </row>
    <row r="6022" spans="23:23" x14ac:dyDescent="0.45">
      <c r="W6022" s="320"/>
    </row>
    <row r="6023" spans="23:23" x14ac:dyDescent="0.45">
      <c r="W6023" s="320"/>
    </row>
    <row r="6024" spans="23:23" x14ac:dyDescent="0.45">
      <c r="W6024" s="320"/>
    </row>
    <row r="6025" spans="23:23" x14ac:dyDescent="0.45">
      <c r="W6025" s="320"/>
    </row>
    <row r="6026" spans="23:23" x14ac:dyDescent="0.45">
      <c r="W6026" s="320"/>
    </row>
    <row r="6027" spans="23:23" x14ac:dyDescent="0.45">
      <c r="W6027" s="320"/>
    </row>
    <row r="6028" spans="23:23" x14ac:dyDescent="0.45">
      <c r="W6028" s="320"/>
    </row>
    <row r="6029" spans="23:23" x14ac:dyDescent="0.45">
      <c r="W6029" s="320"/>
    </row>
    <row r="6030" spans="23:23" x14ac:dyDescent="0.45">
      <c r="W6030" s="320"/>
    </row>
    <row r="6031" spans="23:23" x14ac:dyDescent="0.45">
      <c r="W6031" s="320"/>
    </row>
    <row r="6032" spans="23:23" x14ac:dyDescent="0.45">
      <c r="W6032" s="320"/>
    </row>
    <row r="6033" spans="23:23" x14ac:dyDescent="0.45">
      <c r="W6033" s="320"/>
    </row>
    <row r="6034" spans="23:23" x14ac:dyDescent="0.45">
      <c r="W6034" s="320"/>
    </row>
    <row r="6035" spans="23:23" x14ac:dyDescent="0.45">
      <c r="W6035" s="320"/>
    </row>
    <row r="6036" spans="23:23" x14ac:dyDescent="0.45">
      <c r="W6036" s="320"/>
    </row>
    <row r="6037" spans="23:23" x14ac:dyDescent="0.45">
      <c r="W6037" s="320"/>
    </row>
    <row r="6038" spans="23:23" x14ac:dyDescent="0.45">
      <c r="W6038" s="320"/>
    </row>
    <row r="6039" spans="23:23" x14ac:dyDescent="0.45">
      <c r="W6039" s="320"/>
    </row>
    <row r="6040" spans="23:23" x14ac:dyDescent="0.45">
      <c r="W6040" s="320"/>
    </row>
    <row r="6041" spans="23:23" x14ac:dyDescent="0.45">
      <c r="W6041" s="320"/>
    </row>
    <row r="6042" spans="23:23" x14ac:dyDescent="0.45">
      <c r="W6042" s="320"/>
    </row>
    <row r="6043" spans="23:23" x14ac:dyDescent="0.45">
      <c r="W6043" s="320"/>
    </row>
    <row r="6044" spans="23:23" x14ac:dyDescent="0.45">
      <c r="W6044" s="320"/>
    </row>
    <row r="6045" spans="23:23" x14ac:dyDescent="0.45">
      <c r="W6045" s="320"/>
    </row>
    <row r="6046" spans="23:23" x14ac:dyDescent="0.45">
      <c r="W6046" s="320"/>
    </row>
    <row r="6047" spans="23:23" x14ac:dyDescent="0.45">
      <c r="W6047" s="320"/>
    </row>
    <row r="6048" spans="23:23" x14ac:dyDescent="0.45">
      <c r="W6048" s="320"/>
    </row>
    <row r="6049" spans="23:23" x14ac:dyDescent="0.45">
      <c r="W6049" s="320"/>
    </row>
    <row r="6050" spans="23:23" x14ac:dyDescent="0.45">
      <c r="W6050" s="320"/>
    </row>
    <row r="6051" spans="23:23" x14ac:dyDescent="0.45">
      <c r="W6051" s="320"/>
    </row>
    <row r="6052" spans="23:23" x14ac:dyDescent="0.45">
      <c r="W6052" s="320"/>
    </row>
    <row r="6053" spans="23:23" x14ac:dyDescent="0.45">
      <c r="W6053" s="320"/>
    </row>
    <row r="6054" spans="23:23" x14ac:dyDescent="0.45">
      <c r="W6054" s="320"/>
    </row>
    <row r="6055" spans="23:23" x14ac:dyDescent="0.45">
      <c r="W6055" s="320"/>
    </row>
    <row r="6056" spans="23:23" x14ac:dyDescent="0.45">
      <c r="W6056" s="320"/>
    </row>
    <row r="6057" spans="23:23" x14ac:dyDescent="0.45">
      <c r="W6057" s="320"/>
    </row>
    <row r="6058" spans="23:23" x14ac:dyDescent="0.45">
      <c r="W6058" s="320"/>
    </row>
    <row r="6059" spans="23:23" x14ac:dyDescent="0.45">
      <c r="W6059" s="320"/>
    </row>
    <row r="6060" spans="23:23" x14ac:dyDescent="0.45">
      <c r="W6060" s="320"/>
    </row>
    <row r="6061" spans="23:23" x14ac:dyDescent="0.45">
      <c r="W6061" s="320"/>
    </row>
    <row r="6062" spans="23:23" x14ac:dyDescent="0.45">
      <c r="W6062" s="320"/>
    </row>
    <row r="6063" spans="23:23" x14ac:dyDescent="0.45">
      <c r="W6063" s="320"/>
    </row>
    <row r="6064" spans="23:23" x14ac:dyDescent="0.45">
      <c r="W6064" s="320"/>
    </row>
    <row r="6065" spans="23:23" x14ac:dyDescent="0.45">
      <c r="W6065" s="320"/>
    </row>
    <row r="6066" spans="23:23" x14ac:dyDescent="0.45">
      <c r="W6066" s="320"/>
    </row>
    <row r="6067" spans="23:23" x14ac:dyDescent="0.45">
      <c r="W6067" s="320"/>
    </row>
    <row r="6068" spans="23:23" x14ac:dyDescent="0.45">
      <c r="W6068" s="320"/>
    </row>
    <row r="6069" spans="23:23" x14ac:dyDescent="0.45">
      <c r="W6069" s="320"/>
    </row>
    <row r="6070" spans="23:23" x14ac:dyDescent="0.45">
      <c r="W6070" s="320"/>
    </row>
    <row r="6071" spans="23:23" x14ac:dyDescent="0.45">
      <c r="W6071" s="320"/>
    </row>
    <row r="6072" spans="23:23" x14ac:dyDescent="0.45">
      <c r="W6072" s="320"/>
    </row>
    <row r="6073" spans="23:23" x14ac:dyDescent="0.45">
      <c r="W6073" s="320"/>
    </row>
    <row r="6074" spans="23:23" x14ac:dyDescent="0.45">
      <c r="W6074" s="320"/>
    </row>
    <row r="6075" spans="23:23" x14ac:dyDescent="0.45">
      <c r="W6075" s="320"/>
    </row>
    <row r="6076" spans="23:23" x14ac:dyDescent="0.45">
      <c r="W6076" s="320"/>
    </row>
    <row r="6077" spans="23:23" x14ac:dyDescent="0.45">
      <c r="W6077" s="320"/>
    </row>
    <row r="6078" spans="23:23" x14ac:dyDescent="0.45">
      <c r="W6078" s="320"/>
    </row>
    <row r="6079" spans="23:23" x14ac:dyDescent="0.45">
      <c r="W6079" s="320"/>
    </row>
    <row r="6080" spans="23:23" x14ac:dyDescent="0.45">
      <c r="W6080" s="320"/>
    </row>
    <row r="6081" spans="23:23" x14ac:dyDescent="0.45">
      <c r="W6081" s="320"/>
    </row>
    <row r="6082" spans="23:23" x14ac:dyDescent="0.45">
      <c r="W6082" s="320"/>
    </row>
    <row r="6083" spans="23:23" x14ac:dyDescent="0.45">
      <c r="W6083" s="320"/>
    </row>
    <row r="6084" spans="23:23" x14ac:dyDescent="0.45">
      <c r="W6084" s="320"/>
    </row>
    <row r="6085" spans="23:23" x14ac:dyDescent="0.45">
      <c r="W6085" s="320"/>
    </row>
    <row r="6086" spans="23:23" x14ac:dyDescent="0.45">
      <c r="W6086" s="320"/>
    </row>
    <row r="6087" spans="23:23" x14ac:dyDescent="0.45">
      <c r="W6087" s="320"/>
    </row>
    <row r="6088" spans="23:23" x14ac:dyDescent="0.45">
      <c r="W6088" s="320"/>
    </row>
    <row r="6089" spans="23:23" x14ac:dyDescent="0.45">
      <c r="W6089" s="320"/>
    </row>
    <row r="6090" spans="23:23" x14ac:dyDescent="0.45">
      <c r="W6090" s="320"/>
    </row>
    <row r="6091" spans="23:23" x14ac:dyDescent="0.45">
      <c r="W6091" s="320"/>
    </row>
    <row r="6092" spans="23:23" x14ac:dyDescent="0.45">
      <c r="W6092" s="320"/>
    </row>
    <row r="6093" spans="23:23" x14ac:dyDescent="0.45">
      <c r="W6093" s="320"/>
    </row>
    <row r="6094" spans="23:23" x14ac:dyDescent="0.45">
      <c r="W6094" s="320"/>
    </row>
    <row r="6095" spans="23:23" x14ac:dyDescent="0.45">
      <c r="W6095" s="320"/>
    </row>
    <row r="6096" spans="23:23" x14ac:dyDescent="0.45">
      <c r="W6096" s="320"/>
    </row>
    <row r="6097" spans="23:23" x14ac:dyDescent="0.45">
      <c r="W6097" s="320"/>
    </row>
    <row r="6098" spans="23:23" x14ac:dyDescent="0.45">
      <c r="W6098" s="320"/>
    </row>
    <row r="6099" spans="23:23" x14ac:dyDescent="0.45">
      <c r="W6099" s="320"/>
    </row>
    <row r="6100" spans="23:23" x14ac:dyDescent="0.45">
      <c r="W6100" s="320"/>
    </row>
    <row r="6101" spans="23:23" x14ac:dyDescent="0.45">
      <c r="W6101" s="320"/>
    </row>
    <row r="6102" spans="23:23" x14ac:dyDescent="0.45">
      <c r="W6102" s="320"/>
    </row>
    <row r="6103" spans="23:23" x14ac:dyDescent="0.45">
      <c r="W6103" s="320"/>
    </row>
    <row r="6104" spans="23:23" x14ac:dyDescent="0.45">
      <c r="W6104" s="320"/>
    </row>
    <row r="6105" spans="23:23" x14ac:dyDescent="0.45">
      <c r="W6105" s="320"/>
    </row>
    <row r="6106" spans="23:23" x14ac:dyDescent="0.45">
      <c r="W6106" s="320"/>
    </row>
    <row r="6107" spans="23:23" x14ac:dyDescent="0.45">
      <c r="W6107" s="320"/>
    </row>
    <row r="6108" spans="23:23" x14ac:dyDescent="0.45">
      <c r="W6108" s="320"/>
    </row>
    <row r="6109" spans="23:23" x14ac:dyDescent="0.45">
      <c r="W6109" s="320"/>
    </row>
    <row r="6110" spans="23:23" x14ac:dyDescent="0.45">
      <c r="W6110" s="320"/>
    </row>
    <row r="6111" spans="23:23" x14ac:dyDescent="0.45">
      <c r="W6111" s="320"/>
    </row>
    <row r="6112" spans="23:23" x14ac:dyDescent="0.45">
      <c r="W6112" s="320"/>
    </row>
    <row r="6113" spans="23:23" x14ac:dyDescent="0.45">
      <c r="W6113" s="320"/>
    </row>
    <row r="6114" spans="23:23" x14ac:dyDescent="0.45">
      <c r="W6114" s="320"/>
    </row>
    <row r="6115" spans="23:23" x14ac:dyDescent="0.45">
      <c r="W6115" s="320"/>
    </row>
    <row r="6116" spans="23:23" x14ac:dyDescent="0.45">
      <c r="W6116" s="320"/>
    </row>
    <row r="6117" spans="23:23" x14ac:dyDescent="0.45">
      <c r="W6117" s="320"/>
    </row>
    <row r="6118" spans="23:23" x14ac:dyDescent="0.45">
      <c r="W6118" s="320"/>
    </row>
    <row r="6119" spans="23:23" x14ac:dyDescent="0.45">
      <c r="W6119" s="320"/>
    </row>
    <row r="6120" spans="23:23" x14ac:dyDescent="0.45">
      <c r="W6120" s="320"/>
    </row>
    <row r="6121" spans="23:23" x14ac:dyDescent="0.45">
      <c r="W6121" s="320"/>
    </row>
    <row r="6122" spans="23:23" x14ac:dyDescent="0.45">
      <c r="W6122" s="320"/>
    </row>
    <row r="6123" spans="23:23" x14ac:dyDescent="0.45">
      <c r="W6123" s="320"/>
    </row>
    <row r="6124" spans="23:23" x14ac:dyDescent="0.45">
      <c r="W6124" s="320"/>
    </row>
    <row r="6125" spans="23:23" x14ac:dyDescent="0.45">
      <c r="W6125" s="320"/>
    </row>
    <row r="6126" spans="23:23" x14ac:dyDescent="0.45">
      <c r="W6126" s="320"/>
    </row>
    <row r="6127" spans="23:23" x14ac:dyDescent="0.45">
      <c r="W6127" s="320"/>
    </row>
    <row r="6128" spans="23:23" x14ac:dyDescent="0.45">
      <c r="W6128" s="320"/>
    </row>
    <row r="6129" spans="23:23" x14ac:dyDescent="0.45">
      <c r="W6129" s="320"/>
    </row>
    <row r="6130" spans="23:23" x14ac:dyDescent="0.45">
      <c r="W6130" s="320"/>
    </row>
    <row r="6131" spans="23:23" x14ac:dyDescent="0.45">
      <c r="W6131" s="320"/>
    </row>
    <row r="6132" spans="23:23" x14ac:dyDescent="0.45">
      <c r="W6132" s="320"/>
    </row>
    <row r="6133" spans="23:23" x14ac:dyDescent="0.45">
      <c r="W6133" s="320"/>
    </row>
    <row r="6134" spans="23:23" x14ac:dyDescent="0.45">
      <c r="W6134" s="320"/>
    </row>
    <row r="6135" spans="23:23" x14ac:dyDescent="0.45">
      <c r="W6135" s="320"/>
    </row>
    <row r="6136" spans="23:23" x14ac:dyDescent="0.45">
      <c r="W6136" s="320"/>
    </row>
    <row r="6137" spans="23:23" x14ac:dyDescent="0.45">
      <c r="W6137" s="320"/>
    </row>
    <row r="6138" spans="23:23" x14ac:dyDescent="0.45">
      <c r="W6138" s="320"/>
    </row>
    <row r="6139" spans="23:23" x14ac:dyDescent="0.45">
      <c r="W6139" s="320"/>
    </row>
    <row r="6140" spans="23:23" x14ac:dyDescent="0.45">
      <c r="W6140" s="320"/>
    </row>
    <row r="6141" spans="23:23" x14ac:dyDescent="0.45">
      <c r="W6141" s="320"/>
    </row>
    <row r="6142" spans="23:23" x14ac:dyDescent="0.45">
      <c r="W6142" s="320"/>
    </row>
    <row r="6143" spans="23:23" x14ac:dyDescent="0.45">
      <c r="W6143" s="320"/>
    </row>
    <row r="6144" spans="23:23" x14ac:dyDescent="0.45">
      <c r="W6144" s="320"/>
    </row>
    <row r="6145" spans="23:23" x14ac:dyDescent="0.45">
      <c r="W6145" s="320"/>
    </row>
    <row r="6146" spans="23:23" x14ac:dyDescent="0.45">
      <c r="W6146" s="320"/>
    </row>
    <row r="6147" spans="23:23" x14ac:dyDescent="0.45">
      <c r="W6147" s="320"/>
    </row>
    <row r="6148" spans="23:23" x14ac:dyDescent="0.45">
      <c r="W6148" s="320"/>
    </row>
    <row r="6149" spans="23:23" x14ac:dyDescent="0.45">
      <c r="W6149" s="320"/>
    </row>
    <row r="6150" spans="23:23" x14ac:dyDescent="0.45">
      <c r="W6150" s="320"/>
    </row>
    <row r="6151" spans="23:23" x14ac:dyDescent="0.45">
      <c r="W6151" s="320"/>
    </row>
    <row r="6152" spans="23:23" x14ac:dyDescent="0.45">
      <c r="W6152" s="320"/>
    </row>
    <row r="6153" spans="23:23" x14ac:dyDescent="0.45">
      <c r="W6153" s="320"/>
    </row>
    <row r="6154" spans="23:23" x14ac:dyDescent="0.45">
      <c r="W6154" s="320"/>
    </row>
    <row r="6155" spans="23:23" x14ac:dyDescent="0.45">
      <c r="W6155" s="320"/>
    </row>
    <row r="6156" spans="23:23" x14ac:dyDescent="0.45">
      <c r="W6156" s="320"/>
    </row>
    <row r="6157" spans="23:23" x14ac:dyDescent="0.45">
      <c r="W6157" s="320"/>
    </row>
    <row r="6158" spans="23:23" x14ac:dyDescent="0.45">
      <c r="W6158" s="320"/>
    </row>
    <row r="6159" spans="23:23" x14ac:dyDescent="0.45">
      <c r="W6159" s="320"/>
    </row>
    <row r="6160" spans="23:23" x14ac:dyDescent="0.45">
      <c r="W6160" s="320"/>
    </row>
    <row r="6161" spans="23:23" x14ac:dyDescent="0.45">
      <c r="W6161" s="320"/>
    </row>
    <row r="6162" spans="23:23" x14ac:dyDescent="0.45">
      <c r="W6162" s="320"/>
    </row>
    <row r="6163" spans="23:23" x14ac:dyDescent="0.45">
      <c r="W6163" s="320"/>
    </row>
    <row r="6164" spans="23:23" x14ac:dyDescent="0.45">
      <c r="W6164" s="320"/>
    </row>
    <row r="6165" spans="23:23" x14ac:dyDescent="0.45">
      <c r="W6165" s="320"/>
    </row>
    <row r="6166" spans="23:23" x14ac:dyDescent="0.45">
      <c r="W6166" s="320"/>
    </row>
    <row r="6167" spans="23:23" x14ac:dyDescent="0.45">
      <c r="W6167" s="320"/>
    </row>
    <row r="6168" spans="23:23" x14ac:dyDescent="0.45">
      <c r="W6168" s="320"/>
    </row>
    <row r="6169" spans="23:23" x14ac:dyDescent="0.45">
      <c r="W6169" s="320"/>
    </row>
    <row r="6170" spans="23:23" x14ac:dyDescent="0.45">
      <c r="W6170" s="320"/>
    </row>
    <row r="6171" spans="23:23" x14ac:dyDescent="0.45">
      <c r="W6171" s="320"/>
    </row>
    <row r="6172" spans="23:23" x14ac:dyDescent="0.45">
      <c r="W6172" s="320"/>
    </row>
    <row r="6173" spans="23:23" x14ac:dyDescent="0.45">
      <c r="W6173" s="320"/>
    </row>
    <row r="6174" spans="23:23" x14ac:dyDescent="0.45">
      <c r="W6174" s="320"/>
    </row>
    <row r="6175" spans="23:23" x14ac:dyDescent="0.45">
      <c r="W6175" s="320"/>
    </row>
    <row r="6176" spans="23:23" x14ac:dyDescent="0.45">
      <c r="W6176" s="320"/>
    </row>
    <row r="6177" spans="23:23" x14ac:dyDescent="0.45">
      <c r="W6177" s="320"/>
    </row>
    <row r="6178" spans="23:23" x14ac:dyDescent="0.45">
      <c r="W6178" s="320"/>
    </row>
    <row r="6179" spans="23:23" x14ac:dyDescent="0.45">
      <c r="W6179" s="320"/>
    </row>
    <row r="6180" spans="23:23" x14ac:dyDescent="0.45">
      <c r="W6180" s="320"/>
    </row>
    <row r="6181" spans="23:23" x14ac:dyDescent="0.45">
      <c r="W6181" s="320"/>
    </row>
    <row r="6182" spans="23:23" x14ac:dyDescent="0.45">
      <c r="W6182" s="320"/>
    </row>
    <row r="6183" spans="23:23" x14ac:dyDescent="0.45">
      <c r="W6183" s="320"/>
    </row>
    <row r="6184" spans="23:23" x14ac:dyDescent="0.45">
      <c r="W6184" s="320"/>
    </row>
    <row r="6185" spans="23:23" x14ac:dyDescent="0.45">
      <c r="W6185" s="320"/>
    </row>
    <row r="6186" spans="23:23" x14ac:dyDescent="0.45">
      <c r="W6186" s="320"/>
    </row>
    <row r="6187" spans="23:23" x14ac:dyDescent="0.45">
      <c r="W6187" s="320"/>
    </row>
    <row r="6188" spans="23:23" x14ac:dyDescent="0.45">
      <c r="W6188" s="320"/>
    </row>
    <row r="6189" spans="23:23" x14ac:dyDescent="0.45">
      <c r="W6189" s="320"/>
    </row>
    <row r="6190" spans="23:23" x14ac:dyDescent="0.45">
      <c r="W6190" s="320"/>
    </row>
    <row r="6191" spans="23:23" x14ac:dyDescent="0.45">
      <c r="W6191" s="320"/>
    </row>
    <row r="6192" spans="23:23" x14ac:dyDescent="0.45">
      <c r="W6192" s="320"/>
    </row>
    <row r="6193" spans="23:23" x14ac:dyDescent="0.45">
      <c r="W6193" s="320"/>
    </row>
    <row r="6194" spans="23:23" x14ac:dyDescent="0.45">
      <c r="W6194" s="320"/>
    </row>
    <row r="6195" spans="23:23" x14ac:dyDescent="0.45">
      <c r="W6195" s="320"/>
    </row>
    <row r="6196" spans="23:23" x14ac:dyDescent="0.45">
      <c r="W6196" s="320"/>
    </row>
    <row r="6197" spans="23:23" x14ac:dyDescent="0.45">
      <c r="W6197" s="320"/>
    </row>
    <row r="6198" spans="23:23" x14ac:dyDescent="0.45">
      <c r="W6198" s="320"/>
    </row>
    <row r="6199" spans="23:23" x14ac:dyDescent="0.45">
      <c r="W6199" s="320"/>
    </row>
    <row r="6200" spans="23:23" x14ac:dyDescent="0.45">
      <c r="W6200" s="320"/>
    </row>
    <row r="6201" spans="23:23" x14ac:dyDescent="0.45">
      <c r="W6201" s="320"/>
    </row>
    <row r="6202" spans="23:23" x14ac:dyDescent="0.45">
      <c r="W6202" s="320"/>
    </row>
    <row r="6203" spans="23:23" x14ac:dyDescent="0.45">
      <c r="W6203" s="320"/>
    </row>
    <row r="6204" spans="23:23" x14ac:dyDescent="0.45">
      <c r="W6204" s="320"/>
    </row>
    <row r="6205" spans="23:23" x14ac:dyDescent="0.45">
      <c r="W6205" s="320"/>
    </row>
    <row r="6206" spans="23:23" x14ac:dyDescent="0.45">
      <c r="W6206" s="320"/>
    </row>
    <row r="6207" spans="23:23" x14ac:dyDescent="0.45">
      <c r="W6207" s="320"/>
    </row>
    <row r="6208" spans="23:23" x14ac:dyDescent="0.45">
      <c r="W6208" s="320"/>
    </row>
    <row r="6209" spans="23:23" x14ac:dyDescent="0.45">
      <c r="W6209" s="320"/>
    </row>
    <row r="6210" spans="23:23" x14ac:dyDescent="0.45">
      <c r="W6210" s="320"/>
    </row>
    <row r="6211" spans="23:23" x14ac:dyDescent="0.45">
      <c r="W6211" s="320"/>
    </row>
    <row r="6212" spans="23:23" x14ac:dyDescent="0.45">
      <c r="W6212" s="320"/>
    </row>
    <row r="6213" spans="23:23" x14ac:dyDescent="0.45">
      <c r="W6213" s="320"/>
    </row>
    <row r="6214" spans="23:23" x14ac:dyDescent="0.45">
      <c r="W6214" s="320"/>
    </row>
    <row r="6215" spans="23:23" x14ac:dyDescent="0.45">
      <c r="W6215" s="320"/>
    </row>
    <row r="6216" spans="23:23" x14ac:dyDescent="0.45">
      <c r="W6216" s="320"/>
    </row>
    <row r="6217" spans="23:23" x14ac:dyDescent="0.45">
      <c r="W6217" s="320"/>
    </row>
    <row r="6218" spans="23:23" x14ac:dyDescent="0.45">
      <c r="W6218" s="320"/>
    </row>
    <row r="6219" spans="23:23" x14ac:dyDescent="0.45">
      <c r="W6219" s="320"/>
    </row>
    <row r="6220" spans="23:23" x14ac:dyDescent="0.45">
      <c r="W6220" s="320"/>
    </row>
    <row r="6221" spans="23:23" x14ac:dyDescent="0.45">
      <c r="W6221" s="320"/>
    </row>
    <row r="6222" spans="23:23" x14ac:dyDescent="0.45">
      <c r="W6222" s="320"/>
    </row>
    <row r="6223" spans="23:23" x14ac:dyDescent="0.45">
      <c r="W6223" s="320"/>
    </row>
    <row r="6224" spans="23:23" x14ac:dyDescent="0.45">
      <c r="W6224" s="320"/>
    </row>
    <row r="6225" spans="23:23" x14ac:dyDescent="0.45">
      <c r="W6225" s="320"/>
    </row>
    <row r="6226" spans="23:23" x14ac:dyDescent="0.45">
      <c r="W6226" s="320"/>
    </row>
    <row r="6227" spans="23:23" x14ac:dyDescent="0.45">
      <c r="W6227" s="320"/>
    </row>
    <row r="6228" spans="23:23" x14ac:dyDescent="0.45">
      <c r="W6228" s="320"/>
    </row>
    <row r="6229" spans="23:23" x14ac:dyDescent="0.45">
      <c r="W6229" s="320"/>
    </row>
    <row r="6230" spans="23:23" x14ac:dyDescent="0.45">
      <c r="W6230" s="320"/>
    </row>
    <row r="6231" spans="23:23" x14ac:dyDescent="0.45">
      <c r="W6231" s="320"/>
    </row>
    <row r="6232" spans="23:23" x14ac:dyDescent="0.45">
      <c r="W6232" s="320"/>
    </row>
    <row r="6233" spans="23:23" x14ac:dyDescent="0.45">
      <c r="W6233" s="320"/>
    </row>
    <row r="6234" spans="23:23" x14ac:dyDescent="0.45">
      <c r="W6234" s="320"/>
    </row>
    <row r="6235" spans="23:23" x14ac:dyDescent="0.45">
      <c r="W6235" s="320"/>
    </row>
    <row r="6236" spans="23:23" x14ac:dyDescent="0.45">
      <c r="W6236" s="320"/>
    </row>
    <row r="6237" spans="23:23" x14ac:dyDescent="0.45">
      <c r="W6237" s="320"/>
    </row>
    <row r="6238" spans="23:23" x14ac:dyDescent="0.45">
      <c r="W6238" s="320"/>
    </row>
    <row r="6239" spans="23:23" x14ac:dyDescent="0.45">
      <c r="W6239" s="320"/>
    </row>
    <row r="6240" spans="23:23" x14ac:dyDescent="0.45">
      <c r="W6240" s="320"/>
    </row>
    <row r="6241" spans="23:23" x14ac:dyDescent="0.45">
      <c r="W6241" s="320"/>
    </row>
    <row r="6242" spans="23:23" x14ac:dyDescent="0.45">
      <c r="W6242" s="320"/>
    </row>
    <row r="6243" spans="23:23" x14ac:dyDescent="0.45">
      <c r="W6243" s="320"/>
    </row>
    <row r="6244" spans="23:23" x14ac:dyDescent="0.45">
      <c r="W6244" s="320"/>
    </row>
    <row r="6245" spans="23:23" x14ac:dyDescent="0.45">
      <c r="W6245" s="320"/>
    </row>
    <row r="6246" spans="23:23" x14ac:dyDescent="0.45">
      <c r="W6246" s="320"/>
    </row>
    <row r="6247" spans="23:23" x14ac:dyDescent="0.45">
      <c r="W6247" s="320"/>
    </row>
    <row r="6248" spans="23:23" x14ac:dyDescent="0.45">
      <c r="W6248" s="320"/>
    </row>
    <row r="6249" spans="23:23" x14ac:dyDescent="0.45">
      <c r="W6249" s="320"/>
    </row>
    <row r="6250" spans="23:23" x14ac:dyDescent="0.45">
      <c r="W6250" s="320"/>
    </row>
    <row r="6251" spans="23:23" x14ac:dyDescent="0.45">
      <c r="W6251" s="320"/>
    </row>
    <row r="6252" spans="23:23" x14ac:dyDescent="0.45">
      <c r="W6252" s="320"/>
    </row>
    <row r="6253" spans="23:23" x14ac:dyDescent="0.45">
      <c r="W6253" s="320"/>
    </row>
    <row r="6254" spans="23:23" x14ac:dyDescent="0.45">
      <c r="W6254" s="320"/>
    </row>
    <row r="6255" spans="23:23" x14ac:dyDescent="0.45">
      <c r="W6255" s="320"/>
    </row>
    <row r="6256" spans="23:23" x14ac:dyDescent="0.45">
      <c r="W6256" s="320"/>
    </row>
    <row r="6257" spans="23:23" x14ac:dyDescent="0.45">
      <c r="W6257" s="320"/>
    </row>
    <row r="6258" spans="23:23" x14ac:dyDescent="0.45">
      <c r="W6258" s="320"/>
    </row>
    <row r="6259" spans="23:23" x14ac:dyDescent="0.45">
      <c r="W6259" s="320"/>
    </row>
    <row r="6260" spans="23:23" x14ac:dyDescent="0.45">
      <c r="W6260" s="320"/>
    </row>
    <row r="6261" spans="23:23" x14ac:dyDescent="0.45">
      <c r="W6261" s="320"/>
    </row>
    <row r="6262" spans="23:23" x14ac:dyDescent="0.45">
      <c r="W6262" s="320"/>
    </row>
    <row r="6263" spans="23:23" x14ac:dyDescent="0.45">
      <c r="W6263" s="320"/>
    </row>
    <row r="6264" spans="23:23" x14ac:dyDescent="0.45">
      <c r="W6264" s="320"/>
    </row>
    <row r="6265" spans="23:23" x14ac:dyDescent="0.45">
      <c r="W6265" s="320"/>
    </row>
    <row r="6266" spans="23:23" x14ac:dyDescent="0.45">
      <c r="W6266" s="320"/>
    </row>
    <row r="6267" spans="23:23" x14ac:dyDescent="0.45">
      <c r="W6267" s="320"/>
    </row>
    <row r="6268" spans="23:23" x14ac:dyDescent="0.45">
      <c r="W6268" s="320"/>
    </row>
    <row r="6269" spans="23:23" x14ac:dyDescent="0.45">
      <c r="W6269" s="320"/>
    </row>
    <row r="6270" spans="23:23" x14ac:dyDescent="0.45">
      <c r="W6270" s="320"/>
    </row>
    <row r="6271" spans="23:23" x14ac:dyDescent="0.45">
      <c r="W6271" s="320"/>
    </row>
    <row r="6272" spans="23:23" x14ac:dyDescent="0.45">
      <c r="W6272" s="320"/>
    </row>
    <row r="6273" spans="23:23" x14ac:dyDescent="0.45">
      <c r="W6273" s="320"/>
    </row>
    <row r="6274" spans="23:23" x14ac:dyDescent="0.45">
      <c r="W6274" s="320"/>
    </row>
    <row r="6275" spans="23:23" x14ac:dyDescent="0.45">
      <c r="W6275" s="320"/>
    </row>
    <row r="6276" spans="23:23" x14ac:dyDescent="0.45">
      <c r="W6276" s="320"/>
    </row>
    <row r="6277" spans="23:23" x14ac:dyDescent="0.45">
      <c r="W6277" s="320"/>
    </row>
    <row r="6278" spans="23:23" x14ac:dyDescent="0.45">
      <c r="W6278" s="320"/>
    </row>
    <row r="6279" spans="23:23" x14ac:dyDescent="0.45">
      <c r="W6279" s="320"/>
    </row>
    <row r="6280" spans="23:23" x14ac:dyDescent="0.45">
      <c r="W6280" s="320"/>
    </row>
    <row r="6281" spans="23:23" x14ac:dyDescent="0.45">
      <c r="W6281" s="320"/>
    </row>
    <row r="6282" spans="23:23" x14ac:dyDescent="0.45">
      <c r="W6282" s="320"/>
    </row>
    <row r="6283" spans="23:23" x14ac:dyDescent="0.45">
      <c r="W6283" s="320"/>
    </row>
    <row r="6284" spans="23:23" x14ac:dyDescent="0.45">
      <c r="W6284" s="320"/>
    </row>
    <row r="6285" spans="23:23" x14ac:dyDescent="0.45">
      <c r="W6285" s="320"/>
    </row>
    <row r="6286" spans="23:23" x14ac:dyDescent="0.45">
      <c r="W6286" s="320"/>
    </row>
    <row r="6287" spans="23:23" x14ac:dyDescent="0.45">
      <c r="W6287" s="320"/>
    </row>
    <row r="6288" spans="23:23" x14ac:dyDescent="0.45">
      <c r="W6288" s="320"/>
    </row>
    <row r="6289" spans="23:23" x14ac:dyDescent="0.45">
      <c r="W6289" s="320"/>
    </row>
    <row r="6290" spans="23:23" x14ac:dyDescent="0.45">
      <c r="W6290" s="320"/>
    </row>
    <row r="6291" spans="23:23" x14ac:dyDescent="0.45">
      <c r="W6291" s="320"/>
    </row>
    <row r="6292" spans="23:23" x14ac:dyDescent="0.45">
      <c r="W6292" s="320"/>
    </row>
    <row r="6293" spans="23:23" x14ac:dyDescent="0.45">
      <c r="W6293" s="320"/>
    </row>
    <row r="6294" spans="23:23" x14ac:dyDescent="0.45">
      <c r="W6294" s="320"/>
    </row>
    <row r="6295" spans="23:23" x14ac:dyDescent="0.45">
      <c r="W6295" s="320"/>
    </row>
    <row r="6296" spans="23:23" x14ac:dyDescent="0.45">
      <c r="W6296" s="320"/>
    </row>
    <row r="6297" spans="23:23" x14ac:dyDescent="0.45">
      <c r="W6297" s="320"/>
    </row>
    <row r="6298" spans="23:23" x14ac:dyDescent="0.45">
      <c r="W6298" s="320"/>
    </row>
    <row r="6299" spans="23:23" x14ac:dyDescent="0.45">
      <c r="W6299" s="320"/>
    </row>
    <row r="6300" spans="23:23" x14ac:dyDescent="0.45">
      <c r="W6300" s="320"/>
    </row>
    <row r="6301" spans="23:23" x14ac:dyDescent="0.45">
      <c r="W6301" s="320"/>
    </row>
    <row r="6302" spans="23:23" x14ac:dyDescent="0.45">
      <c r="W6302" s="320"/>
    </row>
    <row r="6303" spans="23:23" x14ac:dyDescent="0.45">
      <c r="W6303" s="320"/>
    </row>
    <row r="6304" spans="23:23" x14ac:dyDescent="0.45">
      <c r="W6304" s="320"/>
    </row>
    <row r="6305" spans="23:23" x14ac:dyDescent="0.45">
      <c r="W6305" s="320"/>
    </row>
    <row r="6306" spans="23:23" x14ac:dyDescent="0.45">
      <c r="W6306" s="320"/>
    </row>
    <row r="6307" spans="23:23" x14ac:dyDescent="0.45">
      <c r="W6307" s="320"/>
    </row>
    <row r="6308" spans="23:23" x14ac:dyDescent="0.45">
      <c r="W6308" s="320"/>
    </row>
    <row r="6309" spans="23:23" x14ac:dyDescent="0.45">
      <c r="W6309" s="320"/>
    </row>
    <row r="6310" spans="23:23" x14ac:dyDescent="0.45">
      <c r="W6310" s="320"/>
    </row>
    <row r="6311" spans="23:23" x14ac:dyDescent="0.45">
      <c r="W6311" s="320"/>
    </row>
    <row r="6312" spans="23:23" x14ac:dyDescent="0.45">
      <c r="W6312" s="320"/>
    </row>
    <row r="6313" spans="23:23" x14ac:dyDescent="0.45">
      <c r="W6313" s="320"/>
    </row>
    <row r="6314" spans="23:23" x14ac:dyDescent="0.45">
      <c r="W6314" s="320"/>
    </row>
    <row r="6315" spans="23:23" x14ac:dyDescent="0.45">
      <c r="W6315" s="320"/>
    </row>
    <row r="6316" spans="23:23" x14ac:dyDescent="0.45">
      <c r="W6316" s="320"/>
    </row>
    <row r="6317" spans="23:23" x14ac:dyDescent="0.45">
      <c r="W6317" s="320"/>
    </row>
    <row r="6318" spans="23:23" x14ac:dyDescent="0.45">
      <c r="W6318" s="320"/>
    </row>
    <row r="6319" spans="23:23" x14ac:dyDescent="0.45">
      <c r="W6319" s="320"/>
    </row>
    <row r="6320" spans="23:23" x14ac:dyDescent="0.45">
      <c r="W6320" s="320"/>
    </row>
    <row r="6321" spans="23:23" x14ac:dyDescent="0.45">
      <c r="W6321" s="320"/>
    </row>
    <row r="6322" spans="23:23" x14ac:dyDescent="0.45">
      <c r="W6322" s="320"/>
    </row>
    <row r="6323" spans="23:23" x14ac:dyDescent="0.45">
      <c r="W6323" s="320"/>
    </row>
    <row r="6324" spans="23:23" x14ac:dyDescent="0.45">
      <c r="W6324" s="320"/>
    </row>
    <row r="6325" spans="23:23" x14ac:dyDescent="0.45">
      <c r="W6325" s="320"/>
    </row>
    <row r="6326" spans="23:23" x14ac:dyDescent="0.45">
      <c r="W6326" s="320"/>
    </row>
    <row r="6327" spans="23:23" x14ac:dyDescent="0.45">
      <c r="W6327" s="320"/>
    </row>
    <row r="6328" spans="23:23" x14ac:dyDescent="0.45">
      <c r="W6328" s="320"/>
    </row>
    <row r="6329" spans="23:23" x14ac:dyDescent="0.45">
      <c r="W6329" s="320"/>
    </row>
    <row r="6330" spans="23:23" x14ac:dyDescent="0.45">
      <c r="W6330" s="320"/>
    </row>
    <row r="6331" spans="23:23" x14ac:dyDescent="0.45">
      <c r="W6331" s="320"/>
    </row>
    <row r="6332" spans="23:23" x14ac:dyDescent="0.45">
      <c r="W6332" s="320"/>
    </row>
    <row r="6333" spans="23:23" x14ac:dyDescent="0.45">
      <c r="W6333" s="320"/>
    </row>
    <row r="6334" spans="23:23" x14ac:dyDescent="0.45">
      <c r="W6334" s="320"/>
    </row>
    <row r="6335" spans="23:23" x14ac:dyDescent="0.45">
      <c r="W6335" s="320"/>
    </row>
    <row r="6336" spans="23:23" x14ac:dyDescent="0.45">
      <c r="W6336" s="320"/>
    </row>
    <row r="6337" spans="23:23" x14ac:dyDescent="0.45">
      <c r="W6337" s="320"/>
    </row>
    <row r="6338" spans="23:23" x14ac:dyDescent="0.45">
      <c r="W6338" s="320"/>
    </row>
    <row r="6339" spans="23:23" x14ac:dyDescent="0.45">
      <c r="W6339" s="320"/>
    </row>
    <row r="6340" spans="23:23" x14ac:dyDescent="0.45">
      <c r="W6340" s="320"/>
    </row>
    <row r="6341" spans="23:23" x14ac:dyDescent="0.45">
      <c r="W6341" s="320"/>
    </row>
    <row r="6342" spans="23:23" x14ac:dyDescent="0.45">
      <c r="W6342" s="320"/>
    </row>
    <row r="6343" spans="23:23" x14ac:dyDescent="0.45">
      <c r="W6343" s="320"/>
    </row>
    <row r="6344" spans="23:23" x14ac:dyDescent="0.45">
      <c r="W6344" s="320"/>
    </row>
    <row r="6345" spans="23:23" x14ac:dyDescent="0.45">
      <c r="W6345" s="320"/>
    </row>
    <row r="6346" spans="23:23" x14ac:dyDescent="0.45">
      <c r="W6346" s="320"/>
    </row>
    <row r="6347" spans="23:23" x14ac:dyDescent="0.45">
      <c r="W6347" s="320"/>
    </row>
    <row r="6348" spans="23:23" x14ac:dyDescent="0.45">
      <c r="W6348" s="320"/>
    </row>
    <row r="6349" spans="23:23" x14ac:dyDescent="0.45">
      <c r="W6349" s="320"/>
    </row>
    <row r="6350" spans="23:23" x14ac:dyDescent="0.45">
      <c r="W6350" s="320"/>
    </row>
    <row r="6351" spans="23:23" x14ac:dyDescent="0.45">
      <c r="W6351" s="320"/>
    </row>
    <row r="6352" spans="23:23" x14ac:dyDescent="0.45">
      <c r="W6352" s="320"/>
    </row>
    <row r="6353" spans="23:23" x14ac:dyDescent="0.45">
      <c r="W6353" s="320"/>
    </row>
    <row r="6354" spans="23:23" x14ac:dyDescent="0.45">
      <c r="W6354" s="320"/>
    </row>
    <row r="6355" spans="23:23" x14ac:dyDescent="0.45">
      <c r="W6355" s="320"/>
    </row>
    <row r="6356" spans="23:23" x14ac:dyDescent="0.45">
      <c r="W6356" s="320"/>
    </row>
    <row r="6357" spans="23:23" x14ac:dyDescent="0.45">
      <c r="W6357" s="320"/>
    </row>
    <row r="6358" spans="23:23" x14ac:dyDescent="0.45">
      <c r="W6358" s="320"/>
    </row>
    <row r="6359" spans="23:23" x14ac:dyDescent="0.45">
      <c r="W6359" s="320"/>
    </row>
    <row r="6360" spans="23:23" x14ac:dyDescent="0.45">
      <c r="W6360" s="320"/>
    </row>
    <row r="6361" spans="23:23" x14ac:dyDescent="0.45">
      <c r="W6361" s="320"/>
    </row>
    <row r="6362" spans="23:23" x14ac:dyDescent="0.45">
      <c r="W6362" s="320"/>
    </row>
    <row r="6363" spans="23:23" x14ac:dyDescent="0.45">
      <c r="W6363" s="320"/>
    </row>
    <row r="6364" spans="23:23" x14ac:dyDescent="0.45">
      <c r="W6364" s="320"/>
    </row>
    <row r="6365" spans="23:23" x14ac:dyDescent="0.45">
      <c r="W6365" s="320"/>
    </row>
    <row r="6366" spans="23:23" x14ac:dyDescent="0.45">
      <c r="W6366" s="320"/>
    </row>
    <row r="6367" spans="23:23" x14ac:dyDescent="0.45">
      <c r="W6367" s="320"/>
    </row>
    <row r="6368" spans="23:23" x14ac:dyDescent="0.45">
      <c r="W6368" s="320"/>
    </row>
    <row r="6369" spans="23:23" x14ac:dyDescent="0.45">
      <c r="W6369" s="320"/>
    </row>
    <row r="6370" spans="23:23" x14ac:dyDescent="0.45">
      <c r="W6370" s="320"/>
    </row>
    <row r="6371" spans="23:23" x14ac:dyDescent="0.45">
      <c r="W6371" s="320"/>
    </row>
    <row r="6372" spans="23:23" x14ac:dyDescent="0.45">
      <c r="W6372" s="320"/>
    </row>
    <row r="6373" spans="23:23" x14ac:dyDescent="0.45">
      <c r="W6373" s="320"/>
    </row>
    <row r="6374" spans="23:23" x14ac:dyDescent="0.45">
      <c r="W6374" s="320"/>
    </row>
    <row r="6375" spans="23:23" x14ac:dyDescent="0.45">
      <c r="W6375" s="320"/>
    </row>
    <row r="6376" spans="23:23" x14ac:dyDescent="0.45">
      <c r="W6376" s="320"/>
    </row>
    <row r="6377" spans="23:23" x14ac:dyDescent="0.45">
      <c r="W6377" s="320"/>
    </row>
    <row r="6378" spans="23:23" x14ac:dyDescent="0.45">
      <c r="W6378" s="320"/>
    </row>
    <row r="6379" spans="23:23" x14ac:dyDescent="0.45">
      <c r="W6379" s="320"/>
    </row>
    <row r="6380" spans="23:23" x14ac:dyDescent="0.45">
      <c r="W6380" s="320"/>
    </row>
    <row r="6381" spans="23:23" x14ac:dyDescent="0.45">
      <c r="W6381" s="320"/>
    </row>
    <row r="6382" spans="23:23" x14ac:dyDescent="0.45">
      <c r="W6382" s="320"/>
    </row>
    <row r="6383" spans="23:23" x14ac:dyDescent="0.45">
      <c r="W6383" s="320"/>
    </row>
    <row r="6384" spans="23:23" x14ac:dyDescent="0.45">
      <c r="W6384" s="320"/>
    </row>
    <row r="6385" spans="23:23" x14ac:dyDescent="0.45">
      <c r="W6385" s="320"/>
    </row>
    <row r="6386" spans="23:23" x14ac:dyDescent="0.45">
      <c r="W6386" s="320"/>
    </row>
    <row r="6387" spans="23:23" x14ac:dyDescent="0.45">
      <c r="W6387" s="320"/>
    </row>
    <row r="6388" spans="23:23" x14ac:dyDescent="0.45">
      <c r="W6388" s="320"/>
    </row>
    <row r="6389" spans="23:23" x14ac:dyDescent="0.45">
      <c r="W6389" s="320"/>
    </row>
    <row r="6390" spans="23:23" x14ac:dyDescent="0.45">
      <c r="W6390" s="320"/>
    </row>
    <row r="6391" spans="23:23" x14ac:dyDescent="0.45">
      <c r="W6391" s="320"/>
    </row>
    <row r="6392" spans="23:23" x14ac:dyDescent="0.45">
      <c r="W6392" s="320"/>
    </row>
    <row r="6393" spans="23:23" x14ac:dyDescent="0.45">
      <c r="W6393" s="320"/>
    </row>
    <row r="6394" spans="23:23" x14ac:dyDescent="0.45">
      <c r="W6394" s="320"/>
    </row>
    <row r="6395" spans="23:23" x14ac:dyDescent="0.45">
      <c r="W6395" s="320"/>
    </row>
    <row r="6396" spans="23:23" x14ac:dyDescent="0.45">
      <c r="W6396" s="320"/>
    </row>
    <row r="6397" spans="23:23" x14ac:dyDescent="0.45">
      <c r="W6397" s="320"/>
    </row>
    <row r="6398" spans="23:23" x14ac:dyDescent="0.45">
      <c r="W6398" s="320"/>
    </row>
    <row r="6399" spans="23:23" x14ac:dyDescent="0.45">
      <c r="W6399" s="320"/>
    </row>
    <row r="6400" spans="23:23" x14ac:dyDescent="0.45">
      <c r="W6400" s="320"/>
    </row>
    <row r="6401" spans="23:23" x14ac:dyDescent="0.45">
      <c r="W6401" s="320"/>
    </row>
    <row r="6402" spans="23:23" x14ac:dyDescent="0.45">
      <c r="W6402" s="320"/>
    </row>
    <row r="6403" spans="23:23" x14ac:dyDescent="0.45">
      <c r="W6403" s="320"/>
    </row>
    <row r="6404" spans="23:23" x14ac:dyDescent="0.45">
      <c r="W6404" s="320"/>
    </row>
    <row r="6405" spans="23:23" x14ac:dyDescent="0.45">
      <c r="W6405" s="320"/>
    </row>
    <row r="6406" spans="23:23" x14ac:dyDescent="0.45">
      <c r="W6406" s="320"/>
    </row>
    <row r="6407" spans="23:23" x14ac:dyDescent="0.45">
      <c r="W6407" s="320"/>
    </row>
    <row r="6408" spans="23:23" x14ac:dyDescent="0.45">
      <c r="W6408" s="320"/>
    </row>
    <row r="6409" spans="23:23" x14ac:dyDescent="0.45">
      <c r="W6409" s="320"/>
    </row>
    <row r="6410" spans="23:23" x14ac:dyDescent="0.45">
      <c r="W6410" s="320"/>
    </row>
    <row r="6411" spans="23:23" x14ac:dyDescent="0.45">
      <c r="W6411" s="320"/>
    </row>
    <row r="6412" spans="23:23" x14ac:dyDescent="0.45">
      <c r="W6412" s="320"/>
    </row>
    <row r="6413" spans="23:23" x14ac:dyDescent="0.45">
      <c r="W6413" s="320"/>
    </row>
    <row r="6414" spans="23:23" x14ac:dyDescent="0.45">
      <c r="W6414" s="320"/>
    </row>
    <row r="6415" spans="23:23" x14ac:dyDescent="0.45">
      <c r="W6415" s="320"/>
    </row>
    <row r="6416" spans="23:23" x14ac:dyDescent="0.45">
      <c r="W6416" s="320"/>
    </row>
    <row r="6417" spans="23:23" x14ac:dyDescent="0.45">
      <c r="W6417" s="320"/>
    </row>
    <row r="6418" spans="23:23" x14ac:dyDescent="0.45">
      <c r="W6418" s="320"/>
    </row>
    <row r="6419" spans="23:23" x14ac:dyDescent="0.45">
      <c r="W6419" s="320"/>
    </row>
    <row r="6420" spans="23:23" x14ac:dyDescent="0.45">
      <c r="W6420" s="320"/>
    </row>
    <row r="6421" spans="23:23" x14ac:dyDescent="0.45">
      <c r="W6421" s="320"/>
    </row>
    <row r="6422" spans="23:23" x14ac:dyDescent="0.45">
      <c r="W6422" s="320"/>
    </row>
    <row r="6423" spans="23:23" x14ac:dyDescent="0.45">
      <c r="W6423" s="320"/>
    </row>
    <row r="6424" spans="23:23" x14ac:dyDescent="0.45">
      <c r="W6424" s="320"/>
    </row>
    <row r="6425" spans="23:23" x14ac:dyDescent="0.45">
      <c r="W6425" s="320"/>
    </row>
    <row r="6426" spans="23:23" x14ac:dyDescent="0.45">
      <c r="W6426" s="320"/>
    </row>
    <row r="6427" spans="23:23" x14ac:dyDescent="0.45">
      <c r="W6427" s="320"/>
    </row>
    <row r="6428" spans="23:23" x14ac:dyDescent="0.45">
      <c r="W6428" s="320"/>
    </row>
    <row r="6429" spans="23:23" x14ac:dyDescent="0.45">
      <c r="W6429" s="320"/>
    </row>
    <row r="6430" spans="23:23" x14ac:dyDescent="0.45">
      <c r="W6430" s="320"/>
    </row>
    <row r="6431" spans="23:23" x14ac:dyDescent="0.45">
      <c r="W6431" s="320"/>
    </row>
    <row r="6432" spans="23:23" x14ac:dyDescent="0.45">
      <c r="W6432" s="320"/>
    </row>
    <row r="6433" spans="23:23" x14ac:dyDescent="0.45">
      <c r="W6433" s="320"/>
    </row>
    <row r="6434" spans="23:23" x14ac:dyDescent="0.45">
      <c r="W6434" s="320"/>
    </row>
    <row r="6435" spans="23:23" x14ac:dyDescent="0.45">
      <c r="W6435" s="320"/>
    </row>
    <row r="6436" spans="23:23" x14ac:dyDescent="0.45">
      <c r="W6436" s="320"/>
    </row>
    <row r="6437" spans="23:23" x14ac:dyDescent="0.45">
      <c r="W6437" s="320"/>
    </row>
    <row r="6438" spans="23:23" x14ac:dyDescent="0.45">
      <c r="W6438" s="320"/>
    </row>
    <row r="6439" spans="23:23" x14ac:dyDescent="0.45">
      <c r="W6439" s="320"/>
    </row>
    <row r="6440" spans="23:23" x14ac:dyDescent="0.45">
      <c r="W6440" s="320"/>
    </row>
    <row r="6441" spans="23:23" x14ac:dyDescent="0.45">
      <c r="W6441" s="320"/>
    </row>
    <row r="6442" spans="23:23" x14ac:dyDescent="0.45">
      <c r="W6442" s="320"/>
    </row>
    <row r="6443" spans="23:23" x14ac:dyDescent="0.45">
      <c r="W6443" s="320"/>
    </row>
    <row r="6444" spans="23:23" x14ac:dyDescent="0.45">
      <c r="W6444" s="320"/>
    </row>
    <row r="6445" spans="23:23" x14ac:dyDescent="0.45">
      <c r="W6445" s="320"/>
    </row>
    <row r="6446" spans="23:23" x14ac:dyDescent="0.45">
      <c r="W6446" s="320"/>
    </row>
    <row r="6447" spans="23:23" x14ac:dyDescent="0.45">
      <c r="W6447" s="320"/>
    </row>
    <row r="6448" spans="23:23" x14ac:dyDescent="0.45">
      <c r="W6448" s="320"/>
    </row>
    <row r="6449" spans="23:23" x14ac:dyDescent="0.45">
      <c r="W6449" s="320"/>
    </row>
    <row r="6450" spans="23:23" x14ac:dyDescent="0.45">
      <c r="W6450" s="320"/>
    </row>
    <row r="6451" spans="23:23" x14ac:dyDescent="0.45">
      <c r="W6451" s="320"/>
    </row>
    <row r="6452" spans="23:23" x14ac:dyDescent="0.45">
      <c r="W6452" s="320"/>
    </row>
    <row r="6453" spans="23:23" x14ac:dyDescent="0.45">
      <c r="W6453" s="320"/>
    </row>
    <row r="6454" spans="23:23" x14ac:dyDescent="0.45">
      <c r="W6454" s="320"/>
    </row>
    <row r="6455" spans="23:23" x14ac:dyDescent="0.45">
      <c r="W6455" s="320"/>
    </row>
    <row r="6456" spans="23:23" x14ac:dyDescent="0.45">
      <c r="W6456" s="320"/>
    </row>
    <row r="6457" spans="23:23" x14ac:dyDescent="0.45">
      <c r="W6457" s="320"/>
    </row>
    <row r="6458" spans="23:23" x14ac:dyDescent="0.45">
      <c r="W6458" s="320"/>
    </row>
    <row r="6459" spans="23:23" x14ac:dyDescent="0.45">
      <c r="W6459" s="320"/>
    </row>
    <row r="6460" spans="23:23" x14ac:dyDescent="0.45">
      <c r="W6460" s="320"/>
    </row>
    <row r="6461" spans="23:23" x14ac:dyDescent="0.45">
      <c r="W6461" s="320"/>
    </row>
    <row r="6462" spans="23:23" x14ac:dyDescent="0.45">
      <c r="W6462" s="320"/>
    </row>
    <row r="6463" spans="23:23" x14ac:dyDescent="0.45">
      <c r="W6463" s="320"/>
    </row>
    <row r="6464" spans="23:23" x14ac:dyDescent="0.45">
      <c r="W6464" s="320"/>
    </row>
    <row r="6465" spans="23:23" x14ac:dyDescent="0.45">
      <c r="W6465" s="320"/>
    </row>
    <row r="6466" spans="23:23" x14ac:dyDescent="0.45">
      <c r="W6466" s="320"/>
    </row>
    <row r="6467" spans="23:23" x14ac:dyDescent="0.45">
      <c r="W6467" s="320"/>
    </row>
    <row r="6468" spans="23:23" x14ac:dyDescent="0.45">
      <c r="W6468" s="320"/>
    </row>
    <row r="6469" spans="23:23" x14ac:dyDescent="0.45">
      <c r="W6469" s="320"/>
    </row>
    <row r="6470" spans="23:23" x14ac:dyDescent="0.45">
      <c r="W6470" s="320"/>
    </row>
    <row r="6471" spans="23:23" x14ac:dyDescent="0.45">
      <c r="W6471" s="320"/>
    </row>
    <row r="6472" spans="23:23" x14ac:dyDescent="0.45">
      <c r="W6472" s="320"/>
    </row>
    <row r="6473" spans="23:23" x14ac:dyDescent="0.45">
      <c r="W6473" s="320"/>
    </row>
    <row r="6474" spans="23:23" x14ac:dyDescent="0.45">
      <c r="W6474" s="320"/>
    </row>
    <row r="6475" spans="23:23" x14ac:dyDescent="0.45">
      <c r="W6475" s="320"/>
    </row>
    <row r="6476" spans="23:23" x14ac:dyDescent="0.45">
      <c r="W6476" s="320"/>
    </row>
    <row r="6477" spans="23:23" x14ac:dyDescent="0.45">
      <c r="W6477" s="320"/>
    </row>
    <row r="6478" spans="23:23" x14ac:dyDescent="0.45">
      <c r="W6478" s="320"/>
    </row>
    <row r="6479" spans="23:23" x14ac:dyDescent="0.45">
      <c r="W6479" s="320"/>
    </row>
    <row r="6480" spans="23:23" x14ac:dyDescent="0.45">
      <c r="W6480" s="320"/>
    </row>
    <row r="6481" spans="23:23" x14ac:dyDescent="0.45">
      <c r="W6481" s="320"/>
    </row>
    <row r="6482" spans="23:23" x14ac:dyDescent="0.45">
      <c r="W6482" s="320"/>
    </row>
    <row r="6483" spans="23:23" x14ac:dyDescent="0.45">
      <c r="W6483" s="320"/>
    </row>
    <row r="6484" spans="23:23" x14ac:dyDescent="0.45">
      <c r="W6484" s="320"/>
    </row>
    <row r="6485" spans="23:23" x14ac:dyDescent="0.45">
      <c r="W6485" s="320"/>
    </row>
    <row r="6486" spans="23:23" x14ac:dyDescent="0.45">
      <c r="W6486" s="320"/>
    </row>
    <row r="6487" spans="23:23" x14ac:dyDescent="0.45">
      <c r="W6487" s="320"/>
    </row>
    <row r="6488" spans="23:23" x14ac:dyDescent="0.45">
      <c r="W6488" s="320"/>
    </row>
    <row r="6489" spans="23:23" x14ac:dyDescent="0.45">
      <c r="W6489" s="320"/>
    </row>
    <row r="6490" spans="23:23" x14ac:dyDescent="0.45">
      <c r="W6490" s="320"/>
    </row>
    <row r="6491" spans="23:23" x14ac:dyDescent="0.45">
      <c r="W6491" s="320"/>
    </row>
    <row r="6492" spans="23:23" x14ac:dyDescent="0.45">
      <c r="W6492" s="320"/>
    </row>
    <row r="6493" spans="23:23" x14ac:dyDescent="0.45">
      <c r="W6493" s="320"/>
    </row>
    <row r="6494" spans="23:23" x14ac:dyDescent="0.45">
      <c r="W6494" s="320"/>
    </row>
    <row r="6495" spans="23:23" x14ac:dyDescent="0.45">
      <c r="W6495" s="320"/>
    </row>
    <row r="6496" spans="23:23" x14ac:dyDescent="0.45">
      <c r="W6496" s="320"/>
    </row>
    <row r="6497" spans="23:23" x14ac:dyDescent="0.45">
      <c r="W6497" s="320"/>
    </row>
    <row r="6498" spans="23:23" x14ac:dyDescent="0.45">
      <c r="W6498" s="320"/>
    </row>
    <row r="6499" spans="23:23" x14ac:dyDescent="0.45">
      <c r="W6499" s="320"/>
    </row>
    <row r="6500" spans="23:23" x14ac:dyDescent="0.45">
      <c r="W6500" s="320"/>
    </row>
    <row r="6501" spans="23:23" x14ac:dyDescent="0.45">
      <c r="W6501" s="320"/>
    </row>
    <row r="6502" spans="23:23" x14ac:dyDescent="0.45">
      <c r="W6502" s="320"/>
    </row>
    <row r="6503" spans="23:23" x14ac:dyDescent="0.45">
      <c r="W6503" s="320"/>
    </row>
    <row r="6504" spans="23:23" x14ac:dyDescent="0.45">
      <c r="W6504" s="320"/>
    </row>
    <row r="6505" spans="23:23" x14ac:dyDescent="0.45">
      <c r="W6505" s="320"/>
    </row>
    <row r="6506" spans="23:23" x14ac:dyDescent="0.45">
      <c r="W6506" s="320"/>
    </row>
    <row r="6507" spans="23:23" x14ac:dyDescent="0.45">
      <c r="W6507" s="320"/>
    </row>
    <row r="6508" spans="23:23" x14ac:dyDescent="0.45">
      <c r="W6508" s="320"/>
    </row>
    <row r="6509" spans="23:23" x14ac:dyDescent="0.45">
      <c r="W6509" s="320"/>
    </row>
    <row r="6510" spans="23:23" x14ac:dyDescent="0.45">
      <c r="W6510" s="320"/>
    </row>
    <row r="6511" spans="23:23" x14ac:dyDescent="0.45">
      <c r="W6511" s="320"/>
    </row>
    <row r="6512" spans="23:23" x14ac:dyDescent="0.45">
      <c r="W6512" s="320"/>
    </row>
    <row r="6513" spans="23:23" x14ac:dyDescent="0.45">
      <c r="W6513" s="320"/>
    </row>
    <row r="6514" spans="23:23" x14ac:dyDescent="0.45">
      <c r="W6514" s="320"/>
    </row>
    <row r="6515" spans="23:23" x14ac:dyDescent="0.45">
      <c r="W6515" s="320"/>
    </row>
    <row r="6516" spans="23:23" x14ac:dyDescent="0.45">
      <c r="W6516" s="320"/>
    </row>
    <row r="6517" spans="23:23" x14ac:dyDescent="0.45">
      <c r="W6517" s="320"/>
    </row>
    <row r="6518" spans="23:23" x14ac:dyDescent="0.45">
      <c r="W6518" s="320"/>
    </row>
    <row r="6519" spans="23:23" x14ac:dyDescent="0.45">
      <c r="W6519" s="320"/>
    </row>
    <row r="6520" spans="23:23" x14ac:dyDescent="0.45">
      <c r="W6520" s="320"/>
    </row>
    <row r="6521" spans="23:23" x14ac:dyDescent="0.45">
      <c r="W6521" s="320"/>
    </row>
    <row r="6522" spans="23:23" x14ac:dyDescent="0.45">
      <c r="W6522" s="320"/>
    </row>
    <row r="6523" spans="23:23" x14ac:dyDescent="0.45">
      <c r="W6523" s="320"/>
    </row>
    <row r="6524" spans="23:23" x14ac:dyDescent="0.45">
      <c r="W6524" s="320"/>
    </row>
    <row r="6525" spans="23:23" x14ac:dyDescent="0.45">
      <c r="W6525" s="320"/>
    </row>
    <row r="6526" spans="23:23" x14ac:dyDescent="0.45">
      <c r="W6526" s="320"/>
    </row>
    <row r="6527" spans="23:23" x14ac:dyDescent="0.45">
      <c r="W6527" s="320"/>
    </row>
    <row r="6528" spans="23:23" x14ac:dyDescent="0.45">
      <c r="W6528" s="320"/>
    </row>
    <row r="6529" spans="23:23" x14ac:dyDescent="0.45">
      <c r="W6529" s="320"/>
    </row>
    <row r="6530" spans="23:23" x14ac:dyDescent="0.45">
      <c r="W6530" s="320"/>
    </row>
    <row r="6531" spans="23:23" x14ac:dyDescent="0.45">
      <c r="W6531" s="320"/>
    </row>
    <row r="6532" spans="23:23" x14ac:dyDescent="0.45">
      <c r="W6532" s="320"/>
    </row>
    <row r="6533" spans="23:23" x14ac:dyDescent="0.45">
      <c r="W6533" s="320"/>
    </row>
    <row r="6534" spans="23:23" x14ac:dyDescent="0.45">
      <c r="W6534" s="320"/>
    </row>
    <row r="6535" spans="23:23" x14ac:dyDescent="0.45">
      <c r="W6535" s="320"/>
    </row>
    <row r="6536" spans="23:23" x14ac:dyDescent="0.45">
      <c r="W6536" s="320"/>
    </row>
    <row r="6537" spans="23:23" x14ac:dyDescent="0.45">
      <c r="W6537" s="320"/>
    </row>
    <row r="6538" spans="23:23" x14ac:dyDescent="0.45">
      <c r="W6538" s="320"/>
    </row>
    <row r="6539" spans="23:23" x14ac:dyDescent="0.45">
      <c r="W6539" s="320"/>
    </row>
    <row r="6540" spans="23:23" x14ac:dyDescent="0.45">
      <c r="W6540" s="320"/>
    </row>
    <row r="6541" spans="23:23" x14ac:dyDescent="0.45">
      <c r="W6541" s="320"/>
    </row>
    <row r="6542" spans="23:23" x14ac:dyDescent="0.45">
      <c r="W6542" s="320"/>
    </row>
    <row r="6543" spans="23:23" x14ac:dyDescent="0.45">
      <c r="W6543" s="320"/>
    </row>
    <row r="6544" spans="23:23" x14ac:dyDescent="0.45">
      <c r="W6544" s="320"/>
    </row>
    <row r="6545" spans="23:23" x14ac:dyDescent="0.45">
      <c r="W6545" s="320"/>
    </row>
    <row r="6546" spans="23:23" x14ac:dyDescent="0.45">
      <c r="W6546" s="320"/>
    </row>
    <row r="6547" spans="23:23" x14ac:dyDescent="0.45">
      <c r="W6547" s="320"/>
    </row>
    <row r="6548" spans="23:23" x14ac:dyDescent="0.45">
      <c r="W6548" s="320"/>
    </row>
    <row r="6549" spans="23:23" x14ac:dyDescent="0.45">
      <c r="W6549" s="320"/>
    </row>
    <row r="6550" spans="23:23" x14ac:dyDescent="0.45">
      <c r="W6550" s="320"/>
    </row>
    <row r="6551" spans="23:23" x14ac:dyDescent="0.45">
      <c r="W6551" s="320"/>
    </row>
    <row r="6552" spans="23:23" x14ac:dyDescent="0.45">
      <c r="W6552" s="320"/>
    </row>
    <row r="6553" spans="23:23" x14ac:dyDescent="0.45">
      <c r="W6553" s="320"/>
    </row>
    <row r="6554" spans="23:23" x14ac:dyDescent="0.45">
      <c r="W6554" s="320"/>
    </row>
    <row r="6555" spans="23:23" x14ac:dyDescent="0.45">
      <c r="W6555" s="320"/>
    </row>
    <row r="6556" spans="23:23" x14ac:dyDescent="0.45">
      <c r="W6556" s="320"/>
    </row>
    <row r="6557" spans="23:23" x14ac:dyDescent="0.45">
      <c r="W6557" s="320"/>
    </row>
    <row r="6558" spans="23:23" x14ac:dyDescent="0.45">
      <c r="W6558" s="320"/>
    </row>
    <row r="6559" spans="23:23" x14ac:dyDescent="0.45">
      <c r="W6559" s="320"/>
    </row>
    <row r="6560" spans="23:23" x14ac:dyDescent="0.45">
      <c r="W6560" s="320"/>
    </row>
    <row r="6561" spans="23:23" x14ac:dyDescent="0.45">
      <c r="W6561" s="320"/>
    </row>
    <row r="6562" spans="23:23" x14ac:dyDescent="0.45">
      <c r="W6562" s="320"/>
    </row>
    <row r="6563" spans="23:23" x14ac:dyDescent="0.45">
      <c r="W6563" s="320"/>
    </row>
    <row r="6564" spans="23:23" x14ac:dyDescent="0.45">
      <c r="W6564" s="320"/>
    </row>
    <row r="6565" spans="23:23" x14ac:dyDescent="0.45">
      <c r="W6565" s="320"/>
    </row>
    <row r="6566" spans="23:23" x14ac:dyDescent="0.45">
      <c r="W6566" s="320"/>
    </row>
    <row r="6567" spans="23:23" x14ac:dyDescent="0.45">
      <c r="W6567" s="320"/>
    </row>
    <row r="6568" spans="23:23" x14ac:dyDescent="0.45">
      <c r="W6568" s="320"/>
    </row>
    <row r="6569" spans="23:23" x14ac:dyDescent="0.45">
      <c r="W6569" s="320"/>
    </row>
    <row r="6570" spans="23:23" x14ac:dyDescent="0.45">
      <c r="W6570" s="320"/>
    </row>
    <row r="6571" spans="23:23" x14ac:dyDescent="0.45">
      <c r="W6571" s="320"/>
    </row>
    <row r="6572" spans="23:23" x14ac:dyDescent="0.45">
      <c r="W6572" s="320"/>
    </row>
    <row r="6573" spans="23:23" x14ac:dyDescent="0.45">
      <c r="W6573" s="320"/>
    </row>
    <row r="6574" spans="23:23" x14ac:dyDescent="0.45">
      <c r="W6574" s="320"/>
    </row>
    <row r="6575" spans="23:23" x14ac:dyDescent="0.45">
      <c r="W6575" s="320"/>
    </row>
    <row r="6576" spans="23:23" x14ac:dyDescent="0.45">
      <c r="W6576" s="320"/>
    </row>
    <row r="6577" spans="23:23" x14ac:dyDescent="0.45">
      <c r="W6577" s="320"/>
    </row>
    <row r="6578" spans="23:23" x14ac:dyDescent="0.45">
      <c r="W6578" s="320"/>
    </row>
    <row r="6579" spans="23:23" x14ac:dyDescent="0.45">
      <c r="W6579" s="320"/>
    </row>
    <row r="6580" spans="23:23" x14ac:dyDescent="0.45">
      <c r="W6580" s="320"/>
    </row>
    <row r="6581" spans="23:23" x14ac:dyDescent="0.45">
      <c r="W6581" s="320"/>
    </row>
    <row r="6582" spans="23:23" x14ac:dyDescent="0.45">
      <c r="W6582" s="320"/>
    </row>
    <row r="6583" spans="23:23" x14ac:dyDescent="0.45">
      <c r="W6583" s="320"/>
    </row>
    <row r="6584" spans="23:23" x14ac:dyDescent="0.45">
      <c r="W6584" s="320"/>
    </row>
    <row r="6585" spans="23:23" x14ac:dyDescent="0.45">
      <c r="W6585" s="320"/>
    </row>
    <row r="6586" spans="23:23" x14ac:dyDescent="0.45">
      <c r="W6586" s="320"/>
    </row>
    <row r="6587" spans="23:23" x14ac:dyDescent="0.45">
      <c r="W6587" s="320"/>
    </row>
    <row r="6588" spans="23:23" x14ac:dyDescent="0.45">
      <c r="W6588" s="320"/>
    </row>
    <row r="6589" spans="23:23" x14ac:dyDescent="0.45">
      <c r="W6589" s="320"/>
    </row>
    <row r="6590" spans="23:23" x14ac:dyDescent="0.45">
      <c r="W6590" s="320"/>
    </row>
    <row r="6591" spans="23:23" x14ac:dyDescent="0.45">
      <c r="W6591" s="320"/>
    </row>
    <row r="6592" spans="23:23" x14ac:dyDescent="0.45">
      <c r="W6592" s="320"/>
    </row>
    <row r="6593" spans="23:23" x14ac:dyDescent="0.45">
      <c r="W6593" s="320"/>
    </row>
    <row r="6594" spans="23:23" x14ac:dyDescent="0.45">
      <c r="W6594" s="320"/>
    </row>
    <row r="6595" spans="23:23" x14ac:dyDescent="0.45">
      <c r="W6595" s="320"/>
    </row>
    <row r="6596" spans="23:23" x14ac:dyDescent="0.45">
      <c r="W6596" s="320"/>
    </row>
    <row r="6597" spans="23:23" x14ac:dyDescent="0.45">
      <c r="W6597" s="320"/>
    </row>
    <row r="6598" spans="23:23" x14ac:dyDescent="0.45">
      <c r="W6598" s="320"/>
    </row>
    <row r="6599" spans="23:23" x14ac:dyDescent="0.45">
      <c r="W6599" s="320"/>
    </row>
    <row r="6600" spans="23:23" x14ac:dyDescent="0.45">
      <c r="W6600" s="320"/>
    </row>
    <row r="6601" spans="23:23" x14ac:dyDescent="0.45">
      <c r="W6601" s="320"/>
    </row>
    <row r="6602" spans="23:23" x14ac:dyDescent="0.45">
      <c r="W6602" s="320"/>
    </row>
    <row r="6603" spans="23:23" x14ac:dyDescent="0.45">
      <c r="W6603" s="320"/>
    </row>
    <row r="6604" spans="23:23" x14ac:dyDescent="0.45">
      <c r="W6604" s="320"/>
    </row>
    <row r="6605" spans="23:23" x14ac:dyDescent="0.45">
      <c r="W6605" s="320"/>
    </row>
    <row r="6606" spans="23:23" x14ac:dyDescent="0.45">
      <c r="W6606" s="320"/>
    </row>
    <row r="6607" spans="23:23" x14ac:dyDescent="0.45">
      <c r="W6607" s="320"/>
    </row>
    <row r="6608" spans="23:23" x14ac:dyDescent="0.45">
      <c r="W6608" s="320"/>
    </row>
    <row r="6609" spans="23:23" x14ac:dyDescent="0.45">
      <c r="W6609" s="320"/>
    </row>
    <row r="6610" spans="23:23" x14ac:dyDescent="0.45">
      <c r="W6610" s="320"/>
    </row>
    <row r="6611" spans="23:23" x14ac:dyDescent="0.45">
      <c r="W6611" s="320"/>
    </row>
    <row r="6612" spans="23:23" x14ac:dyDescent="0.45">
      <c r="W6612" s="320"/>
    </row>
    <row r="6613" spans="23:23" x14ac:dyDescent="0.45">
      <c r="W6613" s="320"/>
    </row>
    <row r="6614" spans="23:23" x14ac:dyDescent="0.45">
      <c r="W6614" s="320"/>
    </row>
    <row r="6615" spans="23:23" x14ac:dyDescent="0.45">
      <c r="W6615" s="320"/>
    </row>
    <row r="6616" spans="23:23" x14ac:dyDescent="0.45">
      <c r="W6616" s="320"/>
    </row>
    <row r="6617" spans="23:23" x14ac:dyDescent="0.45">
      <c r="W6617" s="320"/>
    </row>
    <row r="6618" spans="23:23" x14ac:dyDescent="0.45">
      <c r="W6618" s="320"/>
    </row>
    <row r="6619" spans="23:23" x14ac:dyDescent="0.45">
      <c r="W6619" s="320"/>
    </row>
    <row r="6620" spans="23:23" x14ac:dyDescent="0.45">
      <c r="W6620" s="320"/>
    </row>
    <row r="6621" spans="23:23" x14ac:dyDescent="0.45">
      <c r="W6621" s="320"/>
    </row>
    <row r="6622" spans="23:23" x14ac:dyDescent="0.45">
      <c r="W6622" s="320"/>
    </row>
    <row r="6623" spans="23:23" x14ac:dyDescent="0.45">
      <c r="W6623" s="320"/>
    </row>
    <row r="6624" spans="23:23" x14ac:dyDescent="0.45">
      <c r="W6624" s="320"/>
    </row>
    <row r="6625" spans="23:23" x14ac:dyDescent="0.45">
      <c r="W6625" s="320"/>
    </row>
    <row r="6626" spans="23:23" x14ac:dyDescent="0.45">
      <c r="W6626" s="320"/>
    </row>
    <row r="6627" spans="23:23" x14ac:dyDescent="0.45">
      <c r="W6627" s="320"/>
    </row>
    <row r="6628" spans="23:23" x14ac:dyDescent="0.45">
      <c r="W6628" s="320"/>
    </row>
    <row r="6629" spans="23:23" x14ac:dyDescent="0.45">
      <c r="W6629" s="320"/>
    </row>
    <row r="6630" spans="23:23" x14ac:dyDescent="0.45">
      <c r="W6630" s="320"/>
    </row>
    <row r="6631" spans="23:23" x14ac:dyDescent="0.45">
      <c r="W6631" s="320"/>
    </row>
    <row r="6632" spans="23:23" x14ac:dyDescent="0.45">
      <c r="W6632" s="320"/>
    </row>
    <row r="6633" spans="23:23" x14ac:dyDescent="0.45">
      <c r="W6633" s="320"/>
    </row>
    <row r="6634" spans="23:23" x14ac:dyDescent="0.45">
      <c r="W6634" s="320"/>
    </row>
    <row r="6635" spans="23:23" x14ac:dyDescent="0.45">
      <c r="W6635" s="320"/>
    </row>
    <row r="6636" spans="23:23" x14ac:dyDescent="0.45">
      <c r="W6636" s="320"/>
    </row>
    <row r="6637" spans="23:23" x14ac:dyDescent="0.45">
      <c r="W6637" s="320"/>
    </row>
    <row r="6638" spans="23:23" x14ac:dyDescent="0.45">
      <c r="W6638" s="320"/>
    </row>
    <row r="6639" spans="23:23" x14ac:dyDescent="0.45">
      <c r="W6639" s="320"/>
    </row>
    <row r="6640" spans="23:23" x14ac:dyDescent="0.45">
      <c r="W6640" s="320"/>
    </row>
    <row r="6641" spans="23:23" x14ac:dyDescent="0.45">
      <c r="W6641" s="320"/>
    </row>
    <row r="6642" spans="23:23" x14ac:dyDescent="0.45">
      <c r="W6642" s="320"/>
    </row>
    <row r="6643" spans="23:23" x14ac:dyDescent="0.45">
      <c r="W6643" s="320"/>
    </row>
    <row r="6644" spans="23:23" x14ac:dyDescent="0.45">
      <c r="W6644" s="320"/>
    </row>
    <row r="6645" spans="23:23" x14ac:dyDescent="0.45">
      <c r="W6645" s="320"/>
    </row>
    <row r="6646" spans="23:23" x14ac:dyDescent="0.45">
      <c r="W6646" s="320"/>
    </row>
    <row r="6647" spans="23:23" x14ac:dyDescent="0.45">
      <c r="W6647" s="320"/>
    </row>
    <row r="6648" spans="23:23" x14ac:dyDescent="0.45">
      <c r="W6648" s="320"/>
    </row>
    <row r="6649" spans="23:23" x14ac:dyDescent="0.45">
      <c r="W6649" s="320"/>
    </row>
    <row r="6650" spans="23:23" x14ac:dyDescent="0.45">
      <c r="W6650" s="320"/>
    </row>
    <row r="6651" spans="23:23" x14ac:dyDescent="0.45">
      <c r="W6651" s="320"/>
    </row>
    <row r="6652" spans="23:23" x14ac:dyDescent="0.45">
      <c r="W6652" s="320"/>
    </row>
    <row r="6653" spans="23:23" x14ac:dyDescent="0.45">
      <c r="W6653" s="320"/>
    </row>
    <row r="6654" spans="23:23" x14ac:dyDescent="0.45">
      <c r="W6654" s="320"/>
    </row>
    <row r="6655" spans="23:23" x14ac:dyDescent="0.45">
      <c r="W6655" s="320"/>
    </row>
    <row r="6656" spans="23:23" x14ac:dyDescent="0.45">
      <c r="W6656" s="320"/>
    </row>
    <row r="6657" spans="23:23" x14ac:dyDescent="0.45">
      <c r="W6657" s="320"/>
    </row>
    <row r="6658" spans="23:23" x14ac:dyDescent="0.45">
      <c r="W6658" s="320"/>
    </row>
    <row r="6659" spans="23:23" x14ac:dyDescent="0.45">
      <c r="W6659" s="320"/>
    </row>
    <row r="6660" spans="23:23" x14ac:dyDescent="0.45">
      <c r="W6660" s="320"/>
    </row>
    <row r="6661" spans="23:23" x14ac:dyDescent="0.45">
      <c r="W6661" s="320"/>
    </row>
    <row r="6662" spans="23:23" x14ac:dyDescent="0.45">
      <c r="W6662" s="320"/>
    </row>
    <row r="6663" spans="23:23" x14ac:dyDescent="0.45">
      <c r="W6663" s="320"/>
    </row>
    <row r="6664" spans="23:23" x14ac:dyDescent="0.45">
      <c r="W6664" s="320"/>
    </row>
    <row r="6665" spans="23:23" x14ac:dyDescent="0.45">
      <c r="W6665" s="320"/>
    </row>
    <row r="6666" spans="23:23" x14ac:dyDescent="0.45">
      <c r="W6666" s="320"/>
    </row>
    <row r="6667" spans="23:23" x14ac:dyDescent="0.45">
      <c r="W6667" s="320"/>
    </row>
    <row r="6668" spans="23:23" x14ac:dyDescent="0.45">
      <c r="W6668" s="320"/>
    </row>
    <row r="6669" spans="23:23" x14ac:dyDescent="0.45">
      <c r="W6669" s="320"/>
    </row>
    <row r="6670" spans="23:23" x14ac:dyDescent="0.45">
      <c r="W6670" s="320"/>
    </row>
    <row r="6671" spans="23:23" x14ac:dyDescent="0.45">
      <c r="W6671" s="320"/>
    </row>
    <row r="6672" spans="23:23" x14ac:dyDescent="0.45">
      <c r="W6672" s="320"/>
    </row>
    <row r="6673" spans="23:23" x14ac:dyDescent="0.45">
      <c r="W6673" s="320"/>
    </row>
    <row r="6674" spans="23:23" x14ac:dyDescent="0.45">
      <c r="W6674" s="320"/>
    </row>
    <row r="6675" spans="23:23" x14ac:dyDescent="0.45">
      <c r="W6675" s="320"/>
    </row>
    <row r="6676" spans="23:23" x14ac:dyDescent="0.45">
      <c r="W6676" s="320"/>
    </row>
    <row r="6677" spans="23:23" x14ac:dyDescent="0.45">
      <c r="W6677" s="320"/>
    </row>
    <row r="6678" spans="23:23" x14ac:dyDescent="0.45">
      <c r="W6678" s="320"/>
    </row>
    <row r="6679" spans="23:23" x14ac:dyDescent="0.45">
      <c r="W6679" s="320"/>
    </row>
    <row r="6680" spans="23:23" x14ac:dyDescent="0.45">
      <c r="W6680" s="320"/>
    </row>
    <row r="6681" spans="23:23" x14ac:dyDescent="0.45">
      <c r="W6681" s="320"/>
    </row>
    <row r="6682" spans="23:23" x14ac:dyDescent="0.45">
      <c r="W6682" s="320"/>
    </row>
    <row r="6683" spans="23:23" x14ac:dyDescent="0.45">
      <c r="W6683" s="320"/>
    </row>
    <row r="6684" spans="23:23" x14ac:dyDescent="0.45">
      <c r="W6684" s="320"/>
    </row>
    <row r="6685" spans="23:23" x14ac:dyDescent="0.45">
      <c r="W6685" s="320"/>
    </row>
    <row r="6686" spans="23:23" x14ac:dyDescent="0.45">
      <c r="W6686" s="320"/>
    </row>
    <row r="6687" spans="23:23" x14ac:dyDescent="0.45">
      <c r="W6687" s="320"/>
    </row>
    <row r="6688" spans="23:23" x14ac:dyDescent="0.45">
      <c r="W6688" s="320"/>
    </row>
    <row r="6689" spans="23:23" x14ac:dyDescent="0.45">
      <c r="W6689" s="320"/>
    </row>
    <row r="6690" spans="23:23" x14ac:dyDescent="0.45">
      <c r="W6690" s="320"/>
    </row>
    <row r="6691" spans="23:23" x14ac:dyDescent="0.45">
      <c r="W6691" s="320"/>
    </row>
    <row r="6692" spans="23:23" x14ac:dyDescent="0.45">
      <c r="W6692" s="320"/>
    </row>
    <row r="6693" spans="23:23" x14ac:dyDescent="0.45">
      <c r="W6693" s="320"/>
    </row>
    <row r="6694" spans="23:23" x14ac:dyDescent="0.45">
      <c r="W6694" s="320"/>
    </row>
    <row r="6695" spans="23:23" x14ac:dyDescent="0.45">
      <c r="W6695" s="320"/>
    </row>
    <row r="6696" spans="23:23" x14ac:dyDescent="0.45">
      <c r="W6696" s="320"/>
    </row>
    <row r="6697" spans="23:23" x14ac:dyDescent="0.45">
      <c r="W6697" s="320"/>
    </row>
    <row r="6698" spans="23:23" x14ac:dyDescent="0.45">
      <c r="W6698" s="320"/>
    </row>
    <row r="6699" spans="23:23" x14ac:dyDescent="0.45">
      <c r="W6699" s="320"/>
    </row>
    <row r="6700" spans="23:23" x14ac:dyDescent="0.45">
      <c r="W6700" s="320"/>
    </row>
    <row r="6701" spans="23:23" x14ac:dyDescent="0.45">
      <c r="W6701" s="320"/>
    </row>
    <row r="6702" spans="23:23" x14ac:dyDescent="0.45">
      <c r="W6702" s="320"/>
    </row>
    <row r="6703" spans="23:23" x14ac:dyDescent="0.45">
      <c r="W6703" s="320"/>
    </row>
    <row r="6704" spans="23:23" x14ac:dyDescent="0.45">
      <c r="W6704" s="320"/>
    </row>
    <row r="6705" spans="23:23" x14ac:dyDescent="0.45">
      <c r="W6705" s="320"/>
    </row>
    <row r="6706" spans="23:23" x14ac:dyDescent="0.45">
      <c r="W6706" s="320"/>
    </row>
    <row r="6707" spans="23:23" x14ac:dyDescent="0.45">
      <c r="W6707" s="320"/>
    </row>
    <row r="6708" spans="23:23" x14ac:dyDescent="0.45">
      <c r="W6708" s="320"/>
    </row>
    <row r="6709" spans="23:23" x14ac:dyDescent="0.45">
      <c r="W6709" s="320"/>
    </row>
    <row r="6710" spans="23:23" x14ac:dyDescent="0.45">
      <c r="W6710" s="320"/>
    </row>
    <row r="6711" spans="23:23" x14ac:dyDescent="0.45">
      <c r="W6711" s="320"/>
    </row>
    <row r="6712" spans="23:23" x14ac:dyDescent="0.45">
      <c r="W6712" s="320"/>
    </row>
    <row r="6713" spans="23:23" x14ac:dyDescent="0.45">
      <c r="W6713" s="320"/>
    </row>
    <row r="6714" spans="23:23" x14ac:dyDescent="0.45">
      <c r="W6714" s="320"/>
    </row>
    <row r="6715" spans="23:23" x14ac:dyDescent="0.45">
      <c r="W6715" s="320"/>
    </row>
    <row r="6716" spans="23:23" x14ac:dyDescent="0.45">
      <c r="W6716" s="320"/>
    </row>
    <row r="6717" spans="23:23" x14ac:dyDescent="0.45">
      <c r="W6717" s="320"/>
    </row>
    <row r="6718" spans="23:23" x14ac:dyDescent="0.45">
      <c r="W6718" s="320"/>
    </row>
    <row r="6719" spans="23:23" x14ac:dyDescent="0.45">
      <c r="W6719" s="320"/>
    </row>
    <row r="6720" spans="23:23" x14ac:dyDescent="0.45">
      <c r="W6720" s="320"/>
    </row>
    <row r="6721" spans="23:23" x14ac:dyDescent="0.45">
      <c r="W6721" s="320"/>
    </row>
    <row r="6722" spans="23:23" x14ac:dyDescent="0.45">
      <c r="W6722" s="320"/>
    </row>
    <row r="6723" spans="23:23" x14ac:dyDescent="0.45">
      <c r="W6723" s="320"/>
    </row>
    <row r="6724" spans="23:23" x14ac:dyDescent="0.45">
      <c r="W6724" s="320"/>
    </row>
    <row r="6725" spans="23:23" x14ac:dyDescent="0.45">
      <c r="W6725" s="320"/>
    </row>
    <row r="6726" spans="23:23" x14ac:dyDescent="0.45">
      <c r="W6726" s="320"/>
    </row>
    <row r="6727" spans="23:23" x14ac:dyDescent="0.45">
      <c r="W6727" s="320"/>
    </row>
    <row r="6728" spans="23:23" x14ac:dyDescent="0.45">
      <c r="W6728" s="320"/>
    </row>
    <row r="6729" spans="23:23" x14ac:dyDescent="0.45">
      <c r="W6729" s="320"/>
    </row>
    <row r="6730" spans="23:23" x14ac:dyDescent="0.45">
      <c r="W6730" s="320"/>
    </row>
    <row r="6731" spans="23:23" x14ac:dyDescent="0.45">
      <c r="W6731" s="320"/>
    </row>
    <row r="6732" spans="23:23" x14ac:dyDescent="0.45">
      <c r="W6732" s="320"/>
    </row>
    <row r="6733" spans="23:23" x14ac:dyDescent="0.45">
      <c r="W6733" s="320"/>
    </row>
    <row r="6734" spans="23:23" x14ac:dyDescent="0.45">
      <c r="W6734" s="320"/>
    </row>
    <row r="6735" spans="23:23" x14ac:dyDescent="0.45">
      <c r="W6735" s="320"/>
    </row>
    <row r="6736" spans="23:23" x14ac:dyDescent="0.45">
      <c r="W6736" s="320"/>
    </row>
    <row r="6737" spans="23:23" x14ac:dyDescent="0.45">
      <c r="W6737" s="320"/>
    </row>
    <row r="6738" spans="23:23" x14ac:dyDescent="0.45">
      <c r="W6738" s="320"/>
    </row>
    <row r="6739" spans="23:23" x14ac:dyDescent="0.45">
      <c r="W6739" s="320"/>
    </row>
    <row r="6740" spans="23:23" x14ac:dyDescent="0.45">
      <c r="W6740" s="320"/>
    </row>
    <row r="6741" spans="23:23" x14ac:dyDescent="0.45">
      <c r="W6741" s="320"/>
    </row>
    <row r="6742" spans="23:23" x14ac:dyDescent="0.45">
      <c r="W6742" s="320"/>
    </row>
    <row r="6743" spans="23:23" x14ac:dyDescent="0.45">
      <c r="W6743" s="320"/>
    </row>
    <row r="6744" spans="23:23" x14ac:dyDescent="0.45">
      <c r="W6744" s="320"/>
    </row>
    <row r="6745" spans="23:23" x14ac:dyDescent="0.45">
      <c r="W6745" s="320"/>
    </row>
    <row r="6746" spans="23:23" x14ac:dyDescent="0.45">
      <c r="W6746" s="320"/>
    </row>
    <row r="6747" spans="23:23" x14ac:dyDescent="0.45">
      <c r="W6747" s="320"/>
    </row>
    <row r="6748" spans="23:23" x14ac:dyDescent="0.45">
      <c r="W6748" s="320"/>
    </row>
    <row r="6749" spans="23:23" x14ac:dyDescent="0.45">
      <c r="W6749" s="320"/>
    </row>
    <row r="6750" spans="23:23" x14ac:dyDescent="0.45">
      <c r="W6750" s="320"/>
    </row>
    <row r="6751" spans="23:23" x14ac:dyDescent="0.45">
      <c r="W6751" s="320"/>
    </row>
    <row r="6752" spans="23:23" x14ac:dyDescent="0.45">
      <c r="W6752" s="320"/>
    </row>
    <row r="6753" spans="23:23" x14ac:dyDescent="0.45">
      <c r="W6753" s="320"/>
    </row>
    <row r="6754" spans="23:23" x14ac:dyDescent="0.45">
      <c r="W6754" s="320"/>
    </row>
    <row r="6755" spans="23:23" x14ac:dyDescent="0.45">
      <c r="W6755" s="320"/>
    </row>
    <row r="6756" spans="23:23" x14ac:dyDescent="0.45">
      <c r="W6756" s="320"/>
    </row>
    <row r="6757" spans="23:23" x14ac:dyDescent="0.45">
      <c r="W6757" s="320"/>
    </row>
    <row r="6758" spans="23:23" x14ac:dyDescent="0.45">
      <c r="W6758" s="320"/>
    </row>
    <row r="6759" spans="23:23" x14ac:dyDescent="0.45">
      <c r="W6759" s="320"/>
    </row>
    <row r="6760" spans="23:23" x14ac:dyDescent="0.45">
      <c r="W6760" s="320"/>
    </row>
    <row r="6761" spans="23:23" x14ac:dyDescent="0.45">
      <c r="W6761" s="320"/>
    </row>
    <row r="6762" spans="23:23" x14ac:dyDescent="0.45">
      <c r="W6762" s="320"/>
    </row>
    <row r="6763" spans="23:23" x14ac:dyDescent="0.45">
      <c r="W6763" s="320"/>
    </row>
    <row r="6764" spans="23:23" x14ac:dyDescent="0.45">
      <c r="W6764" s="320"/>
    </row>
    <row r="6765" spans="23:23" x14ac:dyDescent="0.45">
      <c r="W6765" s="320"/>
    </row>
    <row r="6766" spans="23:23" x14ac:dyDescent="0.45">
      <c r="W6766" s="320"/>
    </row>
    <row r="6767" spans="23:23" x14ac:dyDescent="0.45">
      <c r="W6767" s="320"/>
    </row>
    <row r="6768" spans="23:23" x14ac:dyDescent="0.45">
      <c r="W6768" s="320"/>
    </row>
    <row r="6769" spans="23:23" x14ac:dyDescent="0.45">
      <c r="W6769" s="320"/>
    </row>
    <row r="6770" spans="23:23" x14ac:dyDescent="0.45">
      <c r="W6770" s="320"/>
    </row>
    <row r="6771" spans="23:23" x14ac:dyDescent="0.45">
      <c r="W6771" s="320"/>
    </row>
    <row r="6772" spans="23:23" x14ac:dyDescent="0.45">
      <c r="W6772" s="320"/>
    </row>
    <row r="6773" spans="23:23" x14ac:dyDescent="0.45">
      <c r="W6773" s="320"/>
    </row>
    <row r="6774" spans="23:23" x14ac:dyDescent="0.45">
      <c r="W6774" s="320"/>
    </row>
    <row r="6775" spans="23:23" x14ac:dyDescent="0.45">
      <c r="W6775" s="320"/>
    </row>
    <row r="6776" spans="23:23" x14ac:dyDescent="0.45">
      <c r="W6776" s="320"/>
    </row>
    <row r="6777" spans="23:23" x14ac:dyDescent="0.45">
      <c r="W6777" s="320"/>
    </row>
    <row r="6778" spans="23:23" x14ac:dyDescent="0.45">
      <c r="W6778" s="320"/>
    </row>
    <row r="6779" spans="23:23" x14ac:dyDescent="0.45">
      <c r="W6779" s="320"/>
    </row>
    <row r="6780" spans="23:23" x14ac:dyDescent="0.45">
      <c r="W6780" s="320"/>
    </row>
    <row r="6781" spans="23:23" x14ac:dyDescent="0.45">
      <c r="W6781" s="320"/>
    </row>
    <row r="6782" spans="23:23" x14ac:dyDescent="0.45">
      <c r="W6782" s="320"/>
    </row>
    <row r="6783" spans="23:23" x14ac:dyDescent="0.45">
      <c r="W6783" s="320"/>
    </row>
    <row r="6784" spans="23:23" x14ac:dyDescent="0.45">
      <c r="W6784" s="320"/>
    </row>
    <row r="6785" spans="23:23" x14ac:dyDescent="0.45">
      <c r="W6785" s="320"/>
    </row>
    <row r="6786" spans="23:23" x14ac:dyDescent="0.45">
      <c r="W6786" s="320"/>
    </row>
    <row r="6787" spans="23:23" x14ac:dyDescent="0.45">
      <c r="W6787" s="320"/>
    </row>
    <row r="6788" spans="23:23" x14ac:dyDescent="0.45">
      <c r="W6788" s="320"/>
    </row>
    <row r="6789" spans="23:23" x14ac:dyDescent="0.45">
      <c r="W6789" s="320"/>
    </row>
    <row r="6790" spans="23:23" x14ac:dyDescent="0.45">
      <c r="W6790" s="320"/>
    </row>
    <row r="6791" spans="23:23" x14ac:dyDescent="0.45">
      <c r="W6791" s="320"/>
    </row>
    <row r="6792" spans="23:23" x14ac:dyDescent="0.45">
      <c r="W6792" s="320"/>
    </row>
    <row r="6793" spans="23:23" x14ac:dyDescent="0.45">
      <c r="W6793" s="320"/>
    </row>
    <row r="6794" spans="23:23" x14ac:dyDescent="0.45">
      <c r="W6794" s="320"/>
    </row>
    <row r="6795" spans="23:23" x14ac:dyDescent="0.45">
      <c r="W6795" s="320"/>
    </row>
    <row r="6796" spans="23:23" x14ac:dyDescent="0.45">
      <c r="W6796" s="320"/>
    </row>
    <row r="6797" spans="23:23" x14ac:dyDescent="0.45">
      <c r="W6797" s="320"/>
    </row>
    <row r="6798" spans="23:23" x14ac:dyDescent="0.45">
      <c r="W6798" s="320"/>
    </row>
    <row r="6799" spans="23:23" x14ac:dyDescent="0.45">
      <c r="W6799" s="320"/>
    </row>
    <row r="6800" spans="23:23" x14ac:dyDescent="0.45">
      <c r="W6800" s="320"/>
    </row>
    <row r="6801" spans="23:23" x14ac:dyDescent="0.45">
      <c r="W6801" s="320"/>
    </row>
    <row r="6802" spans="23:23" x14ac:dyDescent="0.45">
      <c r="W6802" s="320"/>
    </row>
    <row r="6803" spans="23:23" x14ac:dyDescent="0.45">
      <c r="W6803" s="320"/>
    </row>
    <row r="6804" spans="23:23" x14ac:dyDescent="0.45">
      <c r="W6804" s="320"/>
    </row>
    <row r="6805" spans="23:23" x14ac:dyDescent="0.45">
      <c r="W6805" s="320"/>
    </row>
    <row r="6806" spans="23:23" x14ac:dyDescent="0.45">
      <c r="W6806" s="320"/>
    </row>
    <row r="6807" spans="23:23" x14ac:dyDescent="0.45">
      <c r="W6807" s="320"/>
    </row>
    <row r="6808" spans="23:23" x14ac:dyDescent="0.45">
      <c r="W6808" s="320"/>
    </row>
    <row r="6809" spans="23:23" x14ac:dyDescent="0.45">
      <c r="W6809" s="320"/>
    </row>
    <row r="6810" spans="23:23" x14ac:dyDescent="0.45">
      <c r="W6810" s="320"/>
    </row>
    <row r="6811" spans="23:23" x14ac:dyDescent="0.45">
      <c r="W6811" s="320"/>
    </row>
    <row r="6812" spans="23:23" x14ac:dyDescent="0.45">
      <c r="W6812" s="320"/>
    </row>
    <row r="6813" spans="23:23" x14ac:dyDescent="0.45">
      <c r="W6813" s="320"/>
    </row>
    <row r="6814" spans="23:23" x14ac:dyDescent="0.45">
      <c r="W6814" s="320"/>
    </row>
    <row r="6815" spans="23:23" x14ac:dyDescent="0.45">
      <c r="W6815" s="320"/>
    </row>
    <row r="6816" spans="23:23" x14ac:dyDescent="0.45">
      <c r="W6816" s="320"/>
    </row>
    <row r="6817" spans="23:23" x14ac:dyDescent="0.45">
      <c r="W6817" s="320"/>
    </row>
    <row r="6818" spans="23:23" x14ac:dyDescent="0.45">
      <c r="W6818" s="320"/>
    </row>
    <row r="6819" spans="23:23" x14ac:dyDescent="0.45">
      <c r="W6819" s="320"/>
    </row>
    <row r="6820" spans="23:23" x14ac:dyDescent="0.45">
      <c r="W6820" s="320"/>
    </row>
    <row r="6821" spans="23:23" x14ac:dyDescent="0.45">
      <c r="W6821" s="320"/>
    </row>
    <row r="6822" spans="23:23" x14ac:dyDescent="0.45">
      <c r="W6822" s="320"/>
    </row>
    <row r="6823" spans="23:23" x14ac:dyDescent="0.45">
      <c r="W6823" s="320"/>
    </row>
    <row r="6824" spans="23:23" x14ac:dyDescent="0.45">
      <c r="W6824" s="320"/>
    </row>
    <row r="6825" spans="23:23" x14ac:dyDescent="0.45">
      <c r="W6825" s="320"/>
    </row>
    <row r="6826" spans="23:23" x14ac:dyDescent="0.45">
      <c r="W6826" s="320"/>
    </row>
    <row r="6827" spans="23:23" x14ac:dyDescent="0.45">
      <c r="W6827" s="320"/>
    </row>
    <row r="6828" spans="23:23" x14ac:dyDescent="0.45">
      <c r="W6828" s="320"/>
    </row>
    <row r="6829" spans="23:23" x14ac:dyDescent="0.45">
      <c r="W6829" s="320"/>
    </row>
    <row r="6830" spans="23:23" x14ac:dyDescent="0.45">
      <c r="W6830" s="320"/>
    </row>
    <row r="6831" spans="23:23" x14ac:dyDescent="0.45">
      <c r="W6831" s="320"/>
    </row>
    <row r="6832" spans="23:23" x14ac:dyDescent="0.45">
      <c r="W6832" s="320"/>
    </row>
    <row r="6833" spans="23:23" x14ac:dyDescent="0.45">
      <c r="W6833" s="320"/>
    </row>
    <row r="6834" spans="23:23" x14ac:dyDescent="0.45">
      <c r="W6834" s="320"/>
    </row>
    <row r="6835" spans="23:23" x14ac:dyDescent="0.45">
      <c r="W6835" s="320"/>
    </row>
    <row r="6836" spans="23:23" x14ac:dyDescent="0.45">
      <c r="W6836" s="320"/>
    </row>
    <row r="6837" spans="23:23" x14ac:dyDescent="0.45">
      <c r="W6837" s="320"/>
    </row>
    <row r="6838" spans="23:23" x14ac:dyDescent="0.45">
      <c r="W6838" s="320"/>
    </row>
    <row r="6839" spans="23:23" x14ac:dyDescent="0.45">
      <c r="W6839" s="320"/>
    </row>
    <row r="6840" spans="23:23" x14ac:dyDescent="0.45">
      <c r="W6840" s="320"/>
    </row>
    <row r="6841" spans="23:23" x14ac:dyDescent="0.45">
      <c r="W6841" s="320"/>
    </row>
    <row r="6842" spans="23:23" x14ac:dyDescent="0.45">
      <c r="W6842" s="320"/>
    </row>
    <row r="6843" spans="23:23" x14ac:dyDescent="0.45">
      <c r="W6843" s="320"/>
    </row>
    <row r="6844" spans="23:23" x14ac:dyDescent="0.45">
      <c r="W6844" s="320"/>
    </row>
    <row r="6845" spans="23:23" x14ac:dyDescent="0.45">
      <c r="W6845" s="320"/>
    </row>
    <row r="6846" spans="23:23" x14ac:dyDescent="0.45">
      <c r="W6846" s="320"/>
    </row>
    <row r="6847" spans="23:23" x14ac:dyDescent="0.45">
      <c r="W6847" s="320"/>
    </row>
    <row r="6848" spans="23:23" x14ac:dyDescent="0.45">
      <c r="W6848" s="320"/>
    </row>
    <row r="6849" spans="23:23" x14ac:dyDescent="0.45">
      <c r="W6849" s="320"/>
    </row>
    <row r="6850" spans="23:23" x14ac:dyDescent="0.45">
      <c r="W6850" s="320"/>
    </row>
    <row r="6851" spans="23:23" x14ac:dyDescent="0.45">
      <c r="W6851" s="320"/>
    </row>
    <row r="6852" spans="23:23" x14ac:dyDescent="0.45">
      <c r="W6852" s="320"/>
    </row>
    <row r="6853" spans="23:23" x14ac:dyDescent="0.45">
      <c r="W6853" s="320"/>
    </row>
    <row r="6854" spans="23:23" x14ac:dyDescent="0.45">
      <c r="W6854" s="320"/>
    </row>
    <row r="6855" spans="23:23" x14ac:dyDescent="0.45">
      <c r="W6855" s="320"/>
    </row>
    <row r="6856" spans="23:23" x14ac:dyDescent="0.45">
      <c r="W6856" s="320"/>
    </row>
    <row r="6857" spans="23:23" x14ac:dyDescent="0.45">
      <c r="W6857" s="320"/>
    </row>
    <row r="6858" spans="23:23" x14ac:dyDescent="0.45">
      <c r="W6858" s="320"/>
    </row>
    <row r="6859" spans="23:23" x14ac:dyDescent="0.45">
      <c r="W6859" s="320"/>
    </row>
    <row r="6860" spans="23:23" x14ac:dyDescent="0.45">
      <c r="W6860" s="320"/>
    </row>
    <row r="6861" spans="23:23" x14ac:dyDescent="0.45">
      <c r="W6861" s="320"/>
    </row>
    <row r="6862" spans="23:23" x14ac:dyDescent="0.45">
      <c r="W6862" s="320"/>
    </row>
    <row r="6863" spans="23:23" x14ac:dyDescent="0.45">
      <c r="W6863" s="320"/>
    </row>
    <row r="6864" spans="23:23" x14ac:dyDescent="0.45">
      <c r="W6864" s="320"/>
    </row>
    <row r="6865" spans="23:23" x14ac:dyDescent="0.45">
      <c r="W6865" s="320"/>
    </row>
    <row r="6866" spans="23:23" x14ac:dyDescent="0.45">
      <c r="W6866" s="320"/>
    </row>
    <row r="6867" spans="23:23" x14ac:dyDescent="0.45">
      <c r="W6867" s="320"/>
    </row>
    <row r="6868" spans="23:23" x14ac:dyDescent="0.45">
      <c r="W6868" s="320"/>
    </row>
    <row r="6869" spans="23:23" x14ac:dyDescent="0.45">
      <c r="W6869" s="320"/>
    </row>
    <row r="6870" spans="23:23" x14ac:dyDescent="0.45">
      <c r="W6870" s="320"/>
    </row>
    <row r="6871" spans="23:23" x14ac:dyDescent="0.45">
      <c r="W6871" s="320"/>
    </row>
    <row r="6872" spans="23:23" x14ac:dyDescent="0.45">
      <c r="W6872" s="320"/>
    </row>
    <row r="6873" spans="23:23" x14ac:dyDescent="0.45">
      <c r="W6873" s="320"/>
    </row>
    <row r="6874" spans="23:23" x14ac:dyDescent="0.45">
      <c r="W6874" s="320"/>
    </row>
    <row r="6875" spans="23:23" x14ac:dyDescent="0.45">
      <c r="W6875" s="320"/>
    </row>
    <row r="6876" spans="23:23" x14ac:dyDescent="0.45">
      <c r="W6876" s="320"/>
    </row>
    <row r="6877" spans="23:23" x14ac:dyDescent="0.45">
      <c r="W6877" s="320"/>
    </row>
    <row r="6878" spans="23:23" x14ac:dyDescent="0.45">
      <c r="W6878" s="320"/>
    </row>
    <row r="6879" spans="23:23" x14ac:dyDescent="0.45">
      <c r="W6879" s="320"/>
    </row>
    <row r="6880" spans="23:23" x14ac:dyDescent="0.45">
      <c r="W6880" s="320"/>
    </row>
    <row r="6881" spans="23:23" x14ac:dyDescent="0.45">
      <c r="W6881" s="320"/>
    </row>
    <row r="6882" spans="23:23" x14ac:dyDescent="0.45">
      <c r="W6882" s="320"/>
    </row>
    <row r="6883" spans="23:23" x14ac:dyDescent="0.45">
      <c r="W6883" s="320"/>
    </row>
    <row r="6884" spans="23:23" x14ac:dyDescent="0.45">
      <c r="W6884" s="320"/>
    </row>
    <row r="6885" spans="23:23" x14ac:dyDescent="0.45">
      <c r="W6885" s="320"/>
    </row>
    <row r="6886" spans="23:23" x14ac:dyDescent="0.45">
      <c r="W6886" s="320"/>
    </row>
    <row r="6887" spans="23:23" x14ac:dyDescent="0.45">
      <c r="W6887" s="320"/>
    </row>
    <row r="6888" spans="23:23" x14ac:dyDescent="0.45">
      <c r="W6888" s="320"/>
    </row>
    <row r="6889" spans="23:23" x14ac:dyDescent="0.45">
      <c r="W6889" s="320"/>
    </row>
    <row r="6890" spans="23:23" x14ac:dyDescent="0.45">
      <c r="W6890" s="320"/>
    </row>
    <row r="6891" spans="23:23" x14ac:dyDescent="0.45">
      <c r="W6891" s="320"/>
    </row>
    <row r="6892" spans="23:23" x14ac:dyDescent="0.45">
      <c r="W6892" s="320"/>
    </row>
    <row r="6893" spans="23:23" x14ac:dyDescent="0.45">
      <c r="W6893" s="320"/>
    </row>
    <row r="6894" spans="23:23" x14ac:dyDescent="0.45">
      <c r="W6894" s="320"/>
    </row>
    <row r="6895" spans="23:23" x14ac:dyDescent="0.45">
      <c r="W6895" s="320"/>
    </row>
    <row r="6896" spans="23:23" x14ac:dyDescent="0.45">
      <c r="W6896" s="320"/>
    </row>
    <row r="6897" spans="23:23" x14ac:dyDescent="0.45">
      <c r="W6897" s="320"/>
    </row>
    <row r="6898" spans="23:23" x14ac:dyDescent="0.45">
      <c r="W6898" s="320"/>
    </row>
    <row r="6899" spans="23:23" x14ac:dyDescent="0.45">
      <c r="W6899" s="320"/>
    </row>
    <row r="6900" spans="23:23" x14ac:dyDescent="0.45">
      <c r="W6900" s="320"/>
    </row>
    <row r="6901" spans="23:23" x14ac:dyDescent="0.45">
      <c r="W6901" s="320"/>
    </row>
    <row r="6902" spans="23:23" x14ac:dyDescent="0.45">
      <c r="W6902" s="320"/>
    </row>
    <row r="6903" spans="23:23" x14ac:dyDescent="0.45">
      <c r="W6903" s="320"/>
    </row>
    <row r="6904" spans="23:23" x14ac:dyDescent="0.45">
      <c r="W6904" s="320"/>
    </row>
    <row r="6905" spans="23:23" x14ac:dyDescent="0.45">
      <c r="W6905" s="320"/>
    </row>
    <row r="6906" spans="23:23" x14ac:dyDescent="0.45">
      <c r="W6906" s="320"/>
    </row>
    <row r="6907" spans="23:23" x14ac:dyDescent="0.45">
      <c r="W6907" s="320"/>
    </row>
    <row r="6908" spans="23:23" x14ac:dyDescent="0.45">
      <c r="W6908" s="320"/>
    </row>
    <row r="6909" spans="23:23" x14ac:dyDescent="0.45">
      <c r="W6909" s="320"/>
    </row>
    <row r="6910" spans="23:23" x14ac:dyDescent="0.45">
      <c r="W6910" s="320"/>
    </row>
    <row r="6911" spans="23:23" x14ac:dyDescent="0.45">
      <c r="W6911" s="320"/>
    </row>
    <row r="6912" spans="23:23" x14ac:dyDescent="0.45">
      <c r="W6912" s="320"/>
    </row>
    <row r="6913" spans="23:23" x14ac:dyDescent="0.45">
      <c r="W6913" s="320"/>
    </row>
    <row r="6914" spans="23:23" x14ac:dyDescent="0.45">
      <c r="W6914" s="320"/>
    </row>
    <row r="6915" spans="23:23" x14ac:dyDescent="0.45">
      <c r="W6915" s="320"/>
    </row>
    <row r="6916" spans="23:23" x14ac:dyDescent="0.45">
      <c r="W6916" s="320"/>
    </row>
    <row r="6917" spans="23:23" x14ac:dyDescent="0.45">
      <c r="W6917" s="320"/>
    </row>
    <row r="6918" spans="23:23" x14ac:dyDescent="0.45">
      <c r="W6918" s="320"/>
    </row>
    <row r="6919" spans="23:23" x14ac:dyDescent="0.45">
      <c r="W6919" s="320"/>
    </row>
    <row r="6920" spans="23:23" x14ac:dyDescent="0.45">
      <c r="W6920" s="320"/>
    </row>
    <row r="6921" spans="23:23" x14ac:dyDescent="0.45">
      <c r="W6921" s="320"/>
    </row>
    <row r="6922" spans="23:23" x14ac:dyDescent="0.45">
      <c r="W6922" s="320"/>
    </row>
    <row r="6923" spans="23:23" x14ac:dyDescent="0.45">
      <c r="W6923" s="320"/>
    </row>
    <row r="6924" spans="23:23" x14ac:dyDescent="0.45">
      <c r="W6924" s="320"/>
    </row>
    <row r="6925" spans="23:23" x14ac:dyDescent="0.45">
      <c r="W6925" s="320"/>
    </row>
    <row r="6926" spans="23:23" x14ac:dyDescent="0.45">
      <c r="W6926" s="320"/>
    </row>
    <row r="6927" spans="23:23" x14ac:dyDescent="0.45">
      <c r="W6927" s="320"/>
    </row>
    <row r="6928" spans="23:23" x14ac:dyDescent="0.45">
      <c r="W6928" s="320"/>
    </row>
    <row r="6929" spans="23:23" x14ac:dyDescent="0.45">
      <c r="W6929" s="320"/>
    </row>
    <row r="6930" spans="23:23" x14ac:dyDescent="0.45">
      <c r="W6930" s="320"/>
    </row>
    <row r="6931" spans="23:23" x14ac:dyDescent="0.45">
      <c r="W6931" s="320"/>
    </row>
    <row r="6932" spans="23:23" x14ac:dyDescent="0.45">
      <c r="W6932" s="320"/>
    </row>
    <row r="6933" spans="23:23" x14ac:dyDescent="0.45">
      <c r="W6933" s="320"/>
    </row>
    <row r="6934" spans="23:23" x14ac:dyDescent="0.45">
      <c r="W6934" s="320"/>
    </row>
    <row r="6935" spans="23:23" x14ac:dyDescent="0.45">
      <c r="W6935" s="320"/>
    </row>
    <row r="6936" spans="23:23" x14ac:dyDescent="0.45">
      <c r="W6936" s="320"/>
    </row>
    <row r="6937" spans="23:23" x14ac:dyDescent="0.45">
      <c r="W6937" s="320"/>
    </row>
    <row r="6938" spans="23:23" x14ac:dyDescent="0.45">
      <c r="W6938" s="320"/>
    </row>
    <row r="6939" spans="23:23" x14ac:dyDescent="0.45">
      <c r="W6939" s="320"/>
    </row>
    <row r="6940" spans="23:23" x14ac:dyDescent="0.45">
      <c r="W6940" s="320"/>
    </row>
    <row r="6941" spans="23:23" x14ac:dyDescent="0.45">
      <c r="W6941" s="320"/>
    </row>
    <row r="6942" spans="23:23" x14ac:dyDescent="0.45">
      <c r="W6942" s="320"/>
    </row>
    <row r="6943" spans="23:23" x14ac:dyDescent="0.45">
      <c r="W6943" s="320"/>
    </row>
    <row r="6944" spans="23:23" x14ac:dyDescent="0.45">
      <c r="W6944" s="320"/>
    </row>
    <row r="6945" spans="23:23" x14ac:dyDescent="0.45">
      <c r="W6945" s="320"/>
    </row>
    <row r="6946" spans="23:23" x14ac:dyDescent="0.45">
      <c r="W6946" s="320"/>
    </row>
    <row r="6947" spans="23:23" x14ac:dyDescent="0.45">
      <c r="W6947" s="320"/>
    </row>
    <row r="6948" spans="23:23" x14ac:dyDescent="0.45">
      <c r="W6948" s="320"/>
    </row>
    <row r="6949" spans="23:23" x14ac:dyDescent="0.45">
      <c r="W6949" s="320"/>
    </row>
    <row r="6950" spans="23:23" x14ac:dyDescent="0.45">
      <c r="W6950" s="320"/>
    </row>
    <row r="6951" spans="23:23" x14ac:dyDescent="0.45">
      <c r="W6951" s="320"/>
    </row>
    <row r="6952" spans="23:23" x14ac:dyDescent="0.45">
      <c r="W6952" s="320"/>
    </row>
    <row r="6953" spans="23:23" x14ac:dyDescent="0.45">
      <c r="W6953" s="320"/>
    </row>
    <row r="6954" spans="23:23" x14ac:dyDescent="0.45">
      <c r="W6954" s="320"/>
    </row>
    <row r="6955" spans="23:23" x14ac:dyDescent="0.45">
      <c r="W6955" s="320"/>
    </row>
    <row r="6956" spans="23:23" x14ac:dyDescent="0.45">
      <c r="W6956" s="320"/>
    </row>
    <row r="6957" spans="23:23" x14ac:dyDescent="0.45">
      <c r="W6957" s="320"/>
    </row>
    <row r="6958" spans="23:23" x14ac:dyDescent="0.45">
      <c r="W6958" s="320"/>
    </row>
    <row r="6959" spans="23:23" x14ac:dyDescent="0.45">
      <c r="W6959" s="320"/>
    </row>
    <row r="6960" spans="23:23" x14ac:dyDescent="0.45">
      <c r="W6960" s="320"/>
    </row>
    <row r="6961" spans="23:23" x14ac:dyDescent="0.45">
      <c r="W6961" s="320"/>
    </row>
    <row r="6962" spans="23:23" x14ac:dyDescent="0.45">
      <c r="W6962" s="320"/>
    </row>
    <row r="6963" spans="23:23" x14ac:dyDescent="0.45">
      <c r="W6963" s="320"/>
    </row>
    <row r="6964" spans="23:23" x14ac:dyDescent="0.45">
      <c r="W6964" s="320"/>
    </row>
    <row r="6965" spans="23:23" x14ac:dyDescent="0.45">
      <c r="W6965" s="320"/>
    </row>
    <row r="6966" spans="23:23" x14ac:dyDescent="0.45">
      <c r="W6966" s="320"/>
    </row>
    <row r="6967" spans="23:23" x14ac:dyDescent="0.45">
      <c r="W6967" s="320"/>
    </row>
    <row r="6968" spans="23:23" x14ac:dyDescent="0.45">
      <c r="W6968" s="320"/>
    </row>
    <row r="6969" spans="23:23" x14ac:dyDescent="0.45">
      <c r="W6969" s="320"/>
    </row>
    <row r="6970" spans="23:23" x14ac:dyDescent="0.45">
      <c r="W6970" s="320"/>
    </row>
    <row r="6971" spans="23:23" x14ac:dyDescent="0.45">
      <c r="W6971" s="320"/>
    </row>
    <row r="6972" spans="23:23" x14ac:dyDescent="0.45">
      <c r="W6972" s="320"/>
    </row>
    <row r="6973" spans="23:23" x14ac:dyDescent="0.45">
      <c r="W6973" s="320"/>
    </row>
    <row r="6974" spans="23:23" x14ac:dyDescent="0.45">
      <c r="W6974" s="320"/>
    </row>
    <row r="6975" spans="23:23" x14ac:dyDescent="0.45">
      <c r="W6975" s="320"/>
    </row>
    <row r="6976" spans="23:23" x14ac:dyDescent="0.45">
      <c r="W6976" s="320"/>
    </row>
    <row r="6977" spans="23:23" x14ac:dyDescent="0.45">
      <c r="W6977" s="320"/>
    </row>
    <row r="6978" spans="23:23" x14ac:dyDescent="0.45">
      <c r="W6978" s="320"/>
    </row>
    <row r="6979" spans="23:23" x14ac:dyDescent="0.45">
      <c r="W6979" s="320"/>
    </row>
    <row r="6980" spans="23:23" x14ac:dyDescent="0.45">
      <c r="W6980" s="320"/>
    </row>
    <row r="6981" spans="23:23" x14ac:dyDescent="0.45">
      <c r="W6981" s="320"/>
    </row>
    <row r="6982" spans="23:23" x14ac:dyDescent="0.45">
      <c r="W6982" s="320"/>
    </row>
    <row r="6983" spans="23:23" x14ac:dyDescent="0.45">
      <c r="W6983" s="320"/>
    </row>
    <row r="6984" spans="23:23" x14ac:dyDescent="0.45">
      <c r="W6984" s="320"/>
    </row>
    <row r="6985" spans="23:23" x14ac:dyDescent="0.45">
      <c r="W6985" s="320"/>
    </row>
    <row r="6986" spans="23:23" x14ac:dyDescent="0.45">
      <c r="W6986" s="320"/>
    </row>
    <row r="6987" spans="23:23" x14ac:dyDescent="0.45">
      <c r="W6987" s="320"/>
    </row>
    <row r="6988" spans="23:23" x14ac:dyDescent="0.45">
      <c r="W6988" s="320"/>
    </row>
    <row r="6989" spans="23:23" x14ac:dyDescent="0.45">
      <c r="W6989" s="320"/>
    </row>
    <row r="6990" spans="23:23" x14ac:dyDescent="0.45">
      <c r="W6990" s="320"/>
    </row>
    <row r="6991" spans="23:23" x14ac:dyDescent="0.45">
      <c r="W6991" s="320"/>
    </row>
    <row r="6992" spans="23:23" x14ac:dyDescent="0.45">
      <c r="W6992" s="320"/>
    </row>
    <row r="6993" spans="23:23" x14ac:dyDescent="0.45">
      <c r="W6993" s="320"/>
    </row>
    <row r="6994" spans="23:23" x14ac:dyDescent="0.45">
      <c r="W6994" s="320"/>
    </row>
    <row r="6995" spans="23:23" x14ac:dyDescent="0.45">
      <c r="W6995" s="320"/>
    </row>
    <row r="6996" spans="23:23" x14ac:dyDescent="0.45">
      <c r="W6996" s="320"/>
    </row>
    <row r="6997" spans="23:23" x14ac:dyDescent="0.45">
      <c r="W6997" s="320"/>
    </row>
    <row r="6998" spans="23:23" x14ac:dyDescent="0.45">
      <c r="W6998" s="320"/>
    </row>
    <row r="6999" spans="23:23" x14ac:dyDescent="0.45">
      <c r="W6999" s="320"/>
    </row>
    <row r="7000" spans="23:23" x14ac:dyDescent="0.45">
      <c r="W7000" s="320"/>
    </row>
    <row r="7001" spans="23:23" x14ac:dyDescent="0.45">
      <c r="W7001" s="320"/>
    </row>
    <row r="7002" spans="23:23" x14ac:dyDescent="0.45">
      <c r="W7002" s="320"/>
    </row>
    <row r="7003" spans="23:23" x14ac:dyDescent="0.45">
      <c r="W7003" s="320"/>
    </row>
    <row r="7004" spans="23:23" x14ac:dyDescent="0.45">
      <c r="W7004" s="320"/>
    </row>
    <row r="7005" spans="23:23" x14ac:dyDescent="0.45">
      <c r="W7005" s="320"/>
    </row>
    <row r="7006" spans="23:23" x14ac:dyDescent="0.45">
      <c r="W7006" s="320"/>
    </row>
    <row r="7007" spans="23:23" x14ac:dyDescent="0.45">
      <c r="W7007" s="320"/>
    </row>
    <row r="7008" spans="23:23" x14ac:dyDescent="0.45">
      <c r="W7008" s="320"/>
    </row>
    <row r="7009" spans="23:23" x14ac:dyDescent="0.45">
      <c r="W7009" s="320"/>
    </row>
    <row r="7010" spans="23:23" x14ac:dyDescent="0.45">
      <c r="W7010" s="320"/>
    </row>
    <row r="7011" spans="23:23" x14ac:dyDescent="0.45">
      <c r="W7011" s="320"/>
    </row>
    <row r="7012" spans="23:23" x14ac:dyDescent="0.45">
      <c r="W7012" s="320"/>
    </row>
    <row r="7013" spans="23:23" x14ac:dyDescent="0.45">
      <c r="W7013" s="320"/>
    </row>
    <row r="7014" spans="23:23" x14ac:dyDescent="0.45">
      <c r="W7014" s="320"/>
    </row>
    <row r="7015" spans="23:23" x14ac:dyDescent="0.45">
      <c r="W7015" s="320"/>
    </row>
    <row r="7016" spans="23:23" x14ac:dyDescent="0.45">
      <c r="W7016" s="320"/>
    </row>
    <row r="7017" spans="23:23" x14ac:dyDescent="0.45">
      <c r="W7017" s="320"/>
    </row>
    <row r="7018" spans="23:23" x14ac:dyDescent="0.45">
      <c r="W7018" s="320"/>
    </row>
    <row r="7019" spans="23:23" x14ac:dyDescent="0.45">
      <c r="W7019" s="320"/>
    </row>
    <row r="7020" spans="23:23" x14ac:dyDescent="0.45">
      <c r="W7020" s="320"/>
    </row>
    <row r="7021" spans="23:23" x14ac:dyDescent="0.45">
      <c r="W7021" s="320"/>
    </row>
    <row r="7022" spans="23:23" x14ac:dyDescent="0.45">
      <c r="W7022" s="320"/>
    </row>
    <row r="7023" spans="23:23" x14ac:dyDescent="0.45">
      <c r="W7023" s="320"/>
    </row>
    <row r="7024" spans="23:23" x14ac:dyDescent="0.45">
      <c r="W7024" s="320"/>
    </row>
    <row r="7025" spans="23:23" x14ac:dyDescent="0.45">
      <c r="W7025" s="320"/>
    </row>
    <row r="7026" spans="23:23" x14ac:dyDescent="0.45">
      <c r="W7026" s="320"/>
    </row>
    <row r="7027" spans="23:23" x14ac:dyDescent="0.45">
      <c r="W7027" s="320"/>
    </row>
    <row r="7028" spans="23:23" x14ac:dyDescent="0.45">
      <c r="W7028" s="320"/>
    </row>
    <row r="7029" spans="23:23" x14ac:dyDescent="0.45">
      <c r="W7029" s="320"/>
    </row>
    <row r="7030" spans="23:23" x14ac:dyDescent="0.45">
      <c r="W7030" s="320"/>
    </row>
    <row r="7031" spans="23:23" x14ac:dyDescent="0.45">
      <c r="W7031" s="320"/>
    </row>
    <row r="7032" spans="23:23" x14ac:dyDescent="0.45">
      <c r="W7032" s="320"/>
    </row>
    <row r="7033" spans="23:23" x14ac:dyDescent="0.45">
      <c r="W7033" s="320"/>
    </row>
    <row r="7034" spans="23:23" x14ac:dyDescent="0.45">
      <c r="W7034" s="320"/>
    </row>
    <row r="7035" spans="23:23" x14ac:dyDescent="0.45">
      <c r="W7035" s="320"/>
    </row>
    <row r="7036" spans="23:23" x14ac:dyDescent="0.45">
      <c r="W7036" s="320"/>
    </row>
    <row r="7037" spans="23:23" x14ac:dyDescent="0.45">
      <c r="W7037" s="320"/>
    </row>
    <row r="7038" spans="23:23" x14ac:dyDescent="0.45">
      <c r="W7038" s="320"/>
    </row>
    <row r="7039" spans="23:23" x14ac:dyDescent="0.45">
      <c r="W7039" s="320"/>
    </row>
    <row r="7040" spans="23:23" x14ac:dyDescent="0.45">
      <c r="W7040" s="320"/>
    </row>
    <row r="7041" spans="23:23" x14ac:dyDescent="0.45">
      <c r="W7041" s="320"/>
    </row>
    <row r="7042" spans="23:23" x14ac:dyDescent="0.45">
      <c r="W7042" s="320"/>
    </row>
    <row r="7043" spans="23:23" x14ac:dyDescent="0.45">
      <c r="W7043" s="320"/>
    </row>
    <row r="7044" spans="23:23" x14ac:dyDescent="0.45">
      <c r="W7044" s="320"/>
    </row>
    <row r="7045" spans="23:23" x14ac:dyDescent="0.45">
      <c r="W7045" s="320"/>
    </row>
    <row r="7046" spans="23:23" x14ac:dyDescent="0.45">
      <c r="W7046" s="320"/>
    </row>
    <row r="7047" spans="23:23" x14ac:dyDescent="0.45">
      <c r="W7047" s="320"/>
    </row>
    <row r="7048" spans="23:23" x14ac:dyDescent="0.45">
      <c r="W7048" s="320"/>
    </row>
    <row r="7049" spans="23:23" x14ac:dyDescent="0.45">
      <c r="W7049" s="320"/>
    </row>
    <row r="7050" spans="23:23" x14ac:dyDescent="0.45">
      <c r="W7050" s="320"/>
    </row>
    <row r="7051" spans="23:23" x14ac:dyDescent="0.45">
      <c r="W7051" s="320"/>
    </row>
    <row r="7052" spans="23:23" x14ac:dyDescent="0.45">
      <c r="W7052" s="320"/>
    </row>
    <row r="7053" spans="23:23" x14ac:dyDescent="0.45">
      <c r="W7053" s="320"/>
    </row>
    <row r="7054" spans="23:23" x14ac:dyDescent="0.45">
      <c r="W7054" s="320"/>
    </row>
    <row r="7055" spans="23:23" x14ac:dyDescent="0.45">
      <c r="W7055" s="320"/>
    </row>
    <row r="7056" spans="23:23" x14ac:dyDescent="0.45">
      <c r="W7056" s="320"/>
    </row>
    <row r="7057" spans="23:23" x14ac:dyDescent="0.45">
      <c r="W7057" s="320"/>
    </row>
    <row r="7058" spans="23:23" x14ac:dyDescent="0.45">
      <c r="W7058" s="320"/>
    </row>
    <row r="7059" spans="23:23" x14ac:dyDescent="0.45">
      <c r="W7059" s="320"/>
    </row>
    <row r="7060" spans="23:23" x14ac:dyDescent="0.45">
      <c r="W7060" s="320"/>
    </row>
    <row r="7061" spans="23:23" x14ac:dyDescent="0.45">
      <c r="W7061" s="320"/>
    </row>
    <row r="7062" spans="23:23" x14ac:dyDescent="0.45">
      <c r="W7062" s="320"/>
    </row>
    <row r="7063" spans="23:23" x14ac:dyDescent="0.45">
      <c r="W7063" s="320"/>
    </row>
    <row r="7064" spans="23:23" x14ac:dyDescent="0.45">
      <c r="W7064" s="320"/>
    </row>
    <row r="7065" spans="23:23" x14ac:dyDescent="0.45">
      <c r="W7065" s="320"/>
    </row>
    <row r="7066" spans="23:23" x14ac:dyDescent="0.45">
      <c r="W7066" s="320"/>
    </row>
    <row r="7067" spans="23:23" x14ac:dyDescent="0.45">
      <c r="W7067" s="320"/>
    </row>
    <row r="7068" spans="23:23" x14ac:dyDescent="0.45">
      <c r="W7068" s="320"/>
    </row>
    <row r="7069" spans="23:23" x14ac:dyDescent="0.45">
      <c r="W7069" s="320"/>
    </row>
    <row r="7070" spans="23:23" x14ac:dyDescent="0.45">
      <c r="W7070" s="320"/>
    </row>
    <row r="7071" spans="23:23" x14ac:dyDescent="0.45">
      <c r="W7071" s="320"/>
    </row>
    <row r="7072" spans="23:23" x14ac:dyDescent="0.45">
      <c r="W7072" s="320"/>
    </row>
    <row r="7073" spans="23:23" x14ac:dyDescent="0.45">
      <c r="W7073" s="320"/>
    </row>
    <row r="7074" spans="23:23" x14ac:dyDescent="0.45">
      <c r="W7074" s="320"/>
    </row>
    <row r="7075" spans="23:23" x14ac:dyDescent="0.45">
      <c r="W7075" s="320"/>
    </row>
    <row r="7076" spans="23:23" x14ac:dyDescent="0.45">
      <c r="W7076" s="320"/>
    </row>
    <row r="7077" spans="23:23" x14ac:dyDescent="0.45">
      <c r="W7077" s="320"/>
    </row>
    <row r="7078" spans="23:23" x14ac:dyDescent="0.45">
      <c r="W7078" s="320"/>
    </row>
    <row r="7079" spans="23:23" x14ac:dyDescent="0.45">
      <c r="W7079" s="320"/>
    </row>
    <row r="7080" spans="23:23" x14ac:dyDescent="0.45">
      <c r="W7080" s="320"/>
    </row>
    <row r="7081" spans="23:23" x14ac:dyDescent="0.45">
      <c r="W7081" s="320"/>
    </row>
    <row r="7082" spans="23:23" x14ac:dyDescent="0.45">
      <c r="W7082" s="320"/>
    </row>
    <row r="7083" spans="23:23" x14ac:dyDescent="0.45">
      <c r="W7083" s="320"/>
    </row>
    <row r="7084" spans="23:23" x14ac:dyDescent="0.45">
      <c r="W7084" s="320"/>
    </row>
    <row r="7085" spans="23:23" x14ac:dyDescent="0.45">
      <c r="W7085" s="320"/>
    </row>
    <row r="7086" spans="23:23" x14ac:dyDescent="0.45">
      <c r="W7086" s="320"/>
    </row>
    <row r="7087" spans="23:23" x14ac:dyDescent="0.45">
      <c r="W7087" s="320"/>
    </row>
    <row r="7088" spans="23:23" x14ac:dyDescent="0.45">
      <c r="W7088" s="320"/>
    </row>
    <row r="7089" spans="23:23" x14ac:dyDescent="0.45">
      <c r="W7089" s="320"/>
    </row>
    <row r="7090" spans="23:23" x14ac:dyDescent="0.45">
      <c r="W7090" s="320"/>
    </row>
    <row r="7091" spans="23:23" x14ac:dyDescent="0.45">
      <c r="W7091" s="320"/>
    </row>
    <row r="7092" spans="23:23" x14ac:dyDescent="0.45">
      <c r="W7092" s="320"/>
    </row>
    <row r="7093" spans="23:23" x14ac:dyDescent="0.45">
      <c r="W7093" s="320"/>
    </row>
    <row r="7094" spans="23:23" x14ac:dyDescent="0.45">
      <c r="W7094" s="320"/>
    </row>
    <row r="7095" spans="23:23" x14ac:dyDescent="0.45">
      <c r="W7095" s="320"/>
    </row>
    <row r="7096" spans="23:23" x14ac:dyDescent="0.45">
      <c r="W7096" s="320"/>
    </row>
    <row r="7097" spans="23:23" x14ac:dyDescent="0.45">
      <c r="W7097" s="320"/>
    </row>
    <row r="7098" spans="23:23" x14ac:dyDescent="0.45">
      <c r="W7098" s="320"/>
    </row>
    <row r="7099" spans="23:23" x14ac:dyDescent="0.45">
      <c r="W7099" s="320"/>
    </row>
    <row r="7100" spans="23:23" x14ac:dyDescent="0.45">
      <c r="W7100" s="320"/>
    </row>
    <row r="7101" spans="23:23" x14ac:dyDescent="0.45">
      <c r="W7101" s="320"/>
    </row>
    <row r="7102" spans="23:23" x14ac:dyDescent="0.45">
      <c r="W7102" s="320"/>
    </row>
    <row r="7103" spans="23:23" x14ac:dyDescent="0.45">
      <c r="W7103" s="320"/>
    </row>
    <row r="7104" spans="23:23" x14ac:dyDescent="0.45">
      <c r="W7104" s="320"/>
    </row>
    <row r="7105" spans="23:23" x14ac:dyDescent="0.45">
      <c r="W7105" s="320"/>
    </row>
    <row r="7106" spans="23:23" x14ac:dyDescent="0.45">
      <c r="W7106" s="320"/>
    </row>
    <row r="7107" spans="23:23" x14ac:dyDescent="0.45">
      <c r="W7107" s="320"/>
    </row>
    <row r="7108" spans="23:23" x14ac:dyDescent="0.45">
      <c r="W7108" s="320"/>
    </row>
    <row r="7109" spans="23:23" x14ac:dyDescent="0.45">
      <c r="W7109" s="320"/>
    </row>
    <row r="7110" spans="23:23" x14ac:dyDescent="0.45">
      <c r="W7110" s="320"/>
    </row>
    <row r="7111" spans="23:23" x14ac:dyDescent="0.45">
      <c r="W7111" s="320"/>
    </row>
    <row r="7112" spans="23:23" x14ac:dyDescent="0.45">
      <c r="W7112" s="320"/>
    </row>
    <row r="7113" spans="23:23" x14ac:dyDescent="0.45">
      <c r="W7113" s="320"/>
    </row>
    <row r="7114" spans="23:23" x14ac:dyDescent="0.45">
      <c r="W7114" s="320"/>
    </row>
    <row r="7115" spans="23:23" x14ac:dyDescent="0.45">
      <c r="W7115" s="320"/>
    </row>
    <row r="7116" spans="23:23" x14ac:dyDescent="0.45">
      <c r="W7116" s="320"/>
    </row>
    <row r="7117" spans="23:23" x14ac:dyDescent="0.45">
      <c r="W7117" s="320"/>
    </row>
    <row r="7118" spans="23:23" x14ac:dyDescent="0.45">
      <c r="W7118" s="320"/>
    </row>
    <row r="7119" spans="23:23" x14ac:dyDescent="0.45">
      <c r="W7119" s="320"/>
    </row>
    <row r="7120" spans="23:23" x14ac:dyDescent="0.45">
      <c r="W7120" s="320"/>
    </row>
    <row r="7121" spans="23:23" x14ac:dyDescent="0.45">
      <c r="W7121" s="320"/>
    </row>
    <row r="7122" spans="23:23" x14ac:dyDescent="0.45">
      <c r="W7122" s="320"/>
    </row>
    <row r="7123" spans="23:23" x14ac:dyDescent="0.45">
      <c r="W7123" s="320"/>
    </row>
    <row r="7124" spans="23:23" x14ac:dyDescent="0.45">
      <c r="W7124" s="320"/>
    </row>
    <row r="7125" spans="23:23" x14ac:dyDescent="0.45">
      <c r="W7125" s="320"/>
    </row>
    <row r="7126" spans="23:23" x14ac:dyDescent="0.45">
      <c r="W7126" s="320"/>
    </row>
    <row r="7127" spans="23:23" x14ac:dyDescent="0.45">
      <c r="W7127" s="320"/>
    </row>
    <row r="7128" spans="23:23" x14ac:dyDescent="0.45">
      <c r="W7128" s="320"/>
    </row>
    <row r="7129" spans="23:23" x14ac:dyDescent="0.45">
      <c r="W7129" s="320"/>
    </row>
    <row r="7130" spans="23:23" x14ac:dyDescent="0.45">
      <c r="W7130" s="320"/>
    </row>
    <row r="7131" spans="23:23" x14ac:dyDescent="0.45">
      <c r="W7131" s="320"/>
    </row>
    <row r="7132" spans="23:23" x14ac:dyDescent="0.45">
      <c r="W7132" s="320"/>
    </row>
    <row r="7133" spans="23:23" x14ac:dyDescent="0.45">
      <c r="W7133" s="320"/>
    </row>
    <row r="7134" spans="23:23" x14ac:dyDescent="0.45">
      <c r="W7134" s="320"/>
    </row>
    <row r="7135" spans="23:23" x14ac:dyDescent="0.45">
      <c r="W7135" s="320"/>
    </row>
    <row r="7136" spans="23:23" x14ac:dyDescent="0.45">
      <c r="W7136" s="320"/>
    </row>
    <row r="7137" spans="23:23" x14ac:dyDescent="0.45">
      <c r="W7137" s="320"/>
    </row>
    <row r="7138" spans="23:23" x14ac:dyDescent="0.45">
      <c r="W7138" s="320"/>
    </row>
    <row r="7139" spans="23:23" x14ac:dyDescent="0.45">
      <c r="W7139" s="320"/>
    </row>
    <row r="7140" spans="23:23" x14ac:dyDescent="0.45">
      <c r="W7140" s="320"/>
    </row>
    <row r="7141" spans="23:23" x14ac:dyDescent="0.45">
      <c r="W7141" s="320"/>
    </row>
    <row r="7142" spans="23:23" x14ac:dyDescent="0.45">
      <c r="W7142" s="320"/>
    </row>
    <row r="7143" spans="23:23" x14ac:dyDescent="0.45">
      <c r="W7143" s="320"/>
    </row>
    <row r="7144" spans="23:23" x14ac:dyDescent="0.45">
      <c r="W7144" s="320"/>
    </row>
    <row r="7145" spans="23:23" x14ac:dyDescent="0.45">
      <c r="W7145" s="320"/>
    </row>
    <row r="7146" spans="23:23" x14ac:dyDescent="0.45">
      <c r="W7146" s="320"/>
    </row>
    <row r="7147" spans="23:23" x14ac:dyDescent="0.45">
      <c r="W7147" s="320"/>
    </row>
    <row r="7148" spans="23:23" x14ac:dyDescent="0.45">
      <c r="W7148" s="320"/>
    </row>
    <row r="7149" spans="23:23" x14ac:dyDescent="0.45">
      <c r="W7149" s="320"/>
    </row>
    <row r="7150" spans="23:23" x14ac:dyDescent="0.45">
      <c r="W7150" s="320"/>
    </row>
    <row r="7151" spans="23:23" x14ac:dyDescent="0.45">
      <c r="W7151" s="320"/>
    </row>
    <row r="7152" spans="23:23" x14ac:dyDescent="0.45">
      <c r="W7152" s="320"/>
    </row>
    <row r="7153" spans="23:23" x14ac:dyDescent="0.45">
      <c r="W7153" s="320"/>
    </row>
    <row r="7154" spans="23:23" x14ac:dyDescent="0.45">
      <c r="W7154" s="320"/>
    </row>
    <row r="7155" spans="23:23" x14ac:dyDescent="0.45">
      <c r="W7155" s="320"/>
    </row>
    <row r="7156" spans="23:23" x14ac:dyDescent="0.45">
      <c r="W7156" s="320"/>
    </row>
    <row r="7157" spans="23:23" x14ac:dyDescent="0.45">
      <c r="W7157" s="320"/>
    </row>
    <row r="7158" spans="23:23" x14ac:dyDescent="0.45">
      <c r="W7158" s="320"/>
    </row>
    <row r="7159" spans="23:23" x14ac:dyDescent="0.45">
      <c r="W7159" s="320"/>
    </row>
    <row r="7160" spans="23:23" x14ac:dyDescent="0.45">
      <c r="W7160" s="320"/>
    </row>
    <row r="7161" spans="23:23" x14ac:dyDescent="0.45">
      <c r="W7161" s="320"/>
    </row>
    <row r="7162" spans="23:23" x14ac:dyDescent="0.45">
      <c r="W7162" s="320"/>
    </row>
    <row r="7163" spans="23:23" x14ac:dyDescent="0.45">
      <c r="W7163" s="320"/>
    </row>
    <row r="7164" spans="23:23" x14ac:dyDescent="0.45">
      <c r="W7164" s="320"/>
    </row>
    <row r="7165" spans="23:23" x14ac:dyDescent="0.45">
      <c r="W7165" s="320"/>
    </row>
    <row r="7166" spans="23:23" x14ac:dyDescent="0.45">
      <c r="W7166" s="320"/>
    </row>
    <row r="7167" spans="23:23" x14ac:dyDescent="0.45">
      <c r="W7167" s="320"/>
    </row>
    <row r="7168" spans="23:23" x14ac:dyDescent="0.45">
      <c r="W7168" s="320"/>
    </row>
    <row r="7169" spans="23:23" x14ac:dyDescent="0.45">
      <c r="W7169" s="320"/>
    </row>
    <row r="7170" spans="23:23" x14ac:dyDescent="0.45">
      <c r="W7170" s="320"/>
    </row>
    <row r="7171" spans="23:23" x14ac:dyDescent="0.45">
      <c r="W7171" s="320"/>
    </row>
    <row r="7172" spans="23:23" x14ac:dyDescent="0.45">
      <c r="W7172" s="320"/>
    </row>
    <row r="7173" spans="23:23" x14ac:dyDescent="0.45">
      <c r="W7173" s="320"/>
    </row>
    <row r="7174" spans="23:23" x14ac:dyDescent="0.45">
      <c r="W7174" s="320"/>
    </row>
    <row r="7175" spans="23:23" x14ac:dyDescent="0.45">
      <c r="W7175" s="320"/>
    </row>
    <row r="7176" spans="23:23" x14ac:dyDescent="0.45">
      <c r="W7176" s="320"/>
    </row>
    <row r="7177" spans="23:23" x14ac:dyDescent="0.45">
      <c r="W7177" s="320"/>
    </row>
    <row r="7178" spans="23:23" x14ac:dyDescent="0.45">
      <c r="W7178" s="320"/>
    </row>
    <row r="7179" spans="23:23" x14ac:dyDescent="0.45">
      <c r="W7179" s="320"/>
    </row>
    <row r="7180" spans="23:23" x14ac:dyDescent="0.45">
      <c r="W7180" s="320"/>
    </row>
    <row r="7181" spans="23:23" x14ac:dyDescent="0.45">
      <c r="W7181" s="320"/>
    </row>
    <row r="7182" spans="23:23" x14ac:dyDescent="0.45">
      <c r="W7182" s="320"/>
    </row>
    <row r="7183" spans="23:23" x14ac:dyDescent="0.45">
      <c r="W7183" s="320"/>
    </row>
    <row r="7184" spans="23:23" x14ac:dyDescent="0.45">
      <c r="W7184" s="320"/>
    </row>
    <row r="7185" spans="23:23" x14ac:dyDescent="0.45">
      <c r="W7185" s="320"/>
    </row>
    <row r="7186" spans="23:23" x14ac:dyDescent="0.45">
      <c r="W7186" s="320"/>
    </row>
    <row r="7187" spans="23:23" x14ac:dyDescent="0.45">
      <c r="W7187" s="320"/>
    </row>
    <row r="7188" spans="23:23" x14ac:dyDescent="0.45">
      <c r="W7188" s="320"/>
    </row>
    <row r="7189" spans="23:23" x14ac:dyDescent="0.45">
      <c r="W7189" s="320"/>
    </row>
    <row r="7190" spans="23:23" x14ac:dyDescent="0.45">
      <c r="W7190" s="320"/>
    </row>
    <row r="7191" spans="23:23" x14ac:dyDescent="0.45">
      <c r="W7191" s="320"/>
    </row>
    <row r="7192" spans="23:23" x14ac:dyDescent="0.45">
      <c r="W7192" s="320"/>
    </row>
    <row r="7193" spans="23:23" x14ac:dyDescent="0.45">
      <c r="W7193" s="320"/>
    </row>
    <row r="7194" spans="23:23" x14ac:dyDescent="0.45">
      <c r="W7194" s="320"/>
    </row>
    <row r="7195" spans="23:23" x14ac:dyDescent="0.45">
      <c r="W7195" s="320"/>
    </row>
    <row r="7196" spans="23:23" x14ac:dyDescent="0.45">
      <c r="W7196" s="320"/>
    </row>
    <row r="7197" spans="23:23" x14ac:dyDescent="0.45">
      <c r="W7197" s="320"/>
    </row>
    <row r="7198" spans="23:23" x14ac:dyDescent="0.45">
      <c r="W7198" s="320"/>
    </row>
    <row r="7199" spans="23:23" x14ac:dyDescent="0.45">
      <c r="W7199" s="320"/>
    </row>
    <row r="7200" spans="23:23" x14ac:dyDescent="0.45">
      <c r="W7200" s="320"/>
    </row>
    <row r="7201" spans="23:23" x14ac:dyDescent="0.45">
      <c r="W7201" s="320"/>
    </row>
    <row r="7202" spans="23:23" x14ac:dyDescent="0.45">
      <c r="W7202" s="320"/>
    </row>
    <row r="7203" spans="23:23" x14ac:dyDescent="0.45">
      <c r="W7203" s="320"/>
    </row>
    <row r="7204" spans="23:23" x14ac:dyDescent="0.45">
      <c r="W7204" s="320"/>
    </row>
    <row r="7205" spans="23:23" x14ac:dyDescent="0.45">
      <c r="W7205" s="320"/>
    </row>
    <row r="7206" spans="23:23" x14ac:dyDescent="0.45">
      <c r="W7206" s="320"/>
    </row>
    <row r="7207" spans="23:23" x14ac:dyDescent="0.45">
      <c r="W7207" s="320"/>
    </row>
    <row r="7208" spans="23:23" x14ac:dyDescent="0.45">
      <c r="W7208" s="320"/>
    </row>
    <row r="7209" spans="23:23" x14ac:dyDescent="0.45">
      <c r="W7209" s="320"/>
    </row>
    <row r="7210" spans="23:23" x14ac:dyDescent="0.45">
      <c r="W7210" s="320"/>
    </row>
    <row r="7211" spans="23:23" x14ac:dyDescent="0.45">
      <c r="W7211" s="320"/>
    </row>
    <row r="7212" spans="23:23" x14ac:dyDescent="0.45">
      <c r="W7212" s="320"/>
    </row>
    <row r="7213" spans="23:23" x14ac:dyDescent="0.45">
      <c r="W7213" s="320"/>
    </row>
    <row r="7214" spans="23:23" x14ac:dyDescent="0.45">
      <c r="W7214" s="320"/>
    </row>
    <row r="7215" spans="23:23" x14ac:dyDescent="0.45">
      <c r="W7215" s="320"/>
    </row>
    <row r="7216" spans="23:23" x14ac:dyDescent="0.45">
      <c r="W7216" s="320"/>
    </row>
    <row r="7217" spans="23:23" x14ac:dyDescent="0.45">
      <c r="W7217" s="320"/>
    </row>
    <row r="7218" spans="23:23" x14ac:dyDescent="0.45">
      <c r="W7218" s="320"/>
    </row>
    <row r="7219" spans="23:23" x14ac:dyDescent="0.45">
      <c r="W7219" s="320"/>
    </row>
    <row r="7220" spans="23:23" x14ac:dyDescent="0.45">
      <c r="W7220" s="320"/>
    </row>
    <row r="7221" spans="23:23" x14ac:dyDescent="0.45">
      <c r="W7221" s="320"/>
    </row>
    <row r="7222" spans="23:23" x14ac:dyDescent="0.45">
      <c r="W7222" s="320"/>
    </row>
    <row r="7223" spans="23:23" x14ac:dyDescent="0.45">
      <c r="W7223" s="320"/>
    </row>
    <row r="7224" spans="23:23" x14ac:dyDescent="0.45">
      <c r="W7224" s="320"/>
    </row>
    <row r="7225" spans="23:23" x14ac:dyDescent="0.45">
      <c r="W7225" s="320"/>
    </row>
    <row r="7226" spans="23:23" x14ac:dyDescent="0.45">
      <c r="W7226" s="320"/>
    </row>
    <row r="7227" spans="23:23" x14ac:dyDescent="0.45">
      <c r="W7227" s="320"/>
    </row>
    <row r="7228" spans="23:23" x14ac:dyDescent="0.45">
      <c r="W7228" s="320"/>
    </row>
    <row r="7229" spans="23:23" x14ac:dyDescent="0.45">
      <c r="W7229" s="320"/>
    </row>
    <row r="7230" spans="23:23" x14ac:dyDescent="0.45">
      <c r="W7230" s="320"/>
    </row>
    <row r="7231" spans="23:23" x14ac:dyDescent="0.45">
      <c r="W7231" s="320"/>
    </row>
    <row r="7232" spans="23:23" x14ac:dyDescent="0.45">
      <c r="W7232" s="320"/>
    </row>
    <row r="7233" spans="23:23" x14ac:dyDescent="0.45">
      <c r="W7233" s="320"/>
    </row>
    <row r="7234" spans="23:23" x14ac:dyDescent="0.45">
      <c r="W7234" s="320"/>
    </row>
    <row r="7235" spans="23:23" x14ac:dyDescent="0.45">
      <c r="W7235" s="320"/>
    </row>
    <row r="7236" spans="23:23" x14ac:dyDescent="0.45">
      <c r="W7236" s="320"/>
    </row>
    <row r="7237" spans="23:23" x14ac:dyDescent="0.45">
      <c r="W7237" s="320"/>
    </row>
    <row r="7238" spans="23:23" x14ac:dyDescent="0.45">
      <c r="W7238" s="320"/>
    </row>
    <row r="7239" spans="23:23" x14ac:dyDescent="0.45">
      <c r="W7239" s="320"/>
    </row>
    <row r="7240" spans="23:23" x14ac:dyDescent="0.45">
      <c r="W7240" s="320"/>
    </row>
    <row r="7241" spans="23:23" x14ac:dyDescent="0.45">
      <c r="W7241" s="320"/>
    </row>
    <row r="7242" spans="23:23" x14ac:dyDescent="0.45">
      <c r="W7242" s="320"/>
    </row>
    <row r="7243" spans="23:23" x14ac:dyDescent="0.45">
      <c r="W7243" s="320"/>
    </row>
    <row r="7244" spans="23:23" x14ac:dyDescent="0.45">
      <c r="W7244" s="320"/>
    </row>
    <row r="7245" spans="23:23" x14ac:dyDescent="0.45">
      <c r="W7245" s="320"/>
    </row>
    <row r="7246" spans="23:23" x14ac:dyDescent="0.45">
      <c r="W7246" s="320"/>
    </row>
    <row r="7247" spans="23:23" x14ac:dyDescent="0.45">
      <c r="W7247" s="320"/>
    </row>
    <row r="7248" spans="23:23" x14ac:dyDescent="0.45">
      <c r="W7248" s="320"/>
    </row>
    <row r="7249" spans="23:23" x14ac:dyDescent="0.45">
      <c r="W7249" s="320"/>
    </row>
    <row r="7250" spans="23:23" x14ac:dyDescent="0.45">
      <c r="W7250" s="320"/>
    </row>
    <row r="7251" spans="23:23" x14ac:dyDescent="0.45">
      <c r="W7251" s="320"/>
    </row>
    <row r="7252" spans="23:23" x14ac:dyDescent="0.45">
      <c r="W7252" s="320"/>
    </row>
    <row r="7253" spans="23:23" x14ac:dyDescent="0.45">
      <c r="W7253" s="320"/>
    </row>
    <row r="7254" spans="23:23" x14ac:dyDescent="0.45">
      <c r="W7254" s="320"/>
    </row>
    <row r="7255" spans="23:23" x14ac:dyDescent="0.45">
      <c r="W7255" s="320"/>
    </row>
    <row r="7256" spans="23:23" x14ac:dyDescent="0.45">
      <c r="W7256" s="320"/>
    </row>
    <row r="7257" spans="23:23" x14ac:dyDescent="0.45">
      <c r="W7257" s="320"/>
    </row>
    <row r="7258" spans="23:23" x14ac:dyDescent="0.45">
      <c r="W7258" s="320"/>
    </row>
    <row r="7259" spans="23:23" x14ac:dyDescent="0.45">
      <c r="W7259" s="320"/>
    </row>
    <row r="7260" spans="23:23" x14ac:dyDescent="0.45">
      <c r="W7260" s="320"/>
    </row>
    <row r="7261" spans="23:23" x14ac:dyDescent="0.45">
      <c r="W7261" s="320"/>
    </row>
    <row r="7262" spans="23:23" x14ac:dyDescent="0.45">
      <c r="W7262" s="320"/>
    </row>
    <row r="7263" spans="23:23" x14ac:dyDescent="0.45">
      <c r="W7263" s="320"/>
    </row>
    <row r="7264" spans="23:23" x14ac:dyDescent="0.45">
      <c r="W7264" s="320"/>
    </row>
    <row r="7265" spans="23:23" x14ac:dyDescent="0.45">
      <c r="W7265" s="320"/>
    </row>
    <row r="7266" spans="23:23" x14ac:dyDescent="0.45">
      <c r="W7266" s="320"/>
    </row>
    <row r="7267" spans="23:23" x14ac:dyDescent="0.45">
      <c r="W7267" s="320"/>
    </row>
    <row r="7268" spans="23:23" x14ac:dyDescent="0.45">
      <c r="W7268" s="320"/>
    </row>
    <row r="7269" spans="23:23" x14ac:dyDescent="0.45">
      <c r="W7269" s="320"/>
    </row>
    <row r="7270" spans="23:23" x14ac:dyDescent="0.45">
      <c r="W7270" s="320"/>
    </row>
    <row r="7271" spans="23:23" x14ac:dyDescent="0.45">
      <c r="W7271" s="320"/>
    </row>
    <row r="7272" spans="23:23" x14ac:dyDescent="0.45">
      <c r="W7272" s="320"/>
    </row>
    <row r="7273" spans="23:23" x14ac:dyDescent="0.45">
      <c r="W7273" s="320"/>
    </row>
    <row r="7274" spans="23:23" x14ac:dyDescent="0.45">
      <c r="W7274" s="320"/>
    </row>
    <row r="7275" spans="23:23" x14ac:dyDescent="0.45">
      <c r="W7275" s="320"/>
    </row>
    <row r="7276" spans="23:23" x14ac:dyDescent="0.45">
      <c r="W7276" s="320"/>
    </row>
    <row r="7277" spans="23:23" x14ac:dyDescent="0.45">
      <c r="W7277" s="320"/>
    </row>
    <row r="7278" spans="23:23" x14ac:dyDescent="0.45">
      <c r="W7278" s="320"/>
    </row>
    <row r="7279" spans="23:23" x14ac:dyDescent="0.45">
      <c r="W7279" s="320"/>
    </row>
    <row r="7280" spans="23:23" x14ac:dyDescent="0.45">
      <c r="W7280" s="320"/>
    </row>
    <row r="7281" spans="23:23" x14ac:dyDescent="0.45">
      <c r="W7281" s="320"/>
    </row>
    <row r="7282" spans="23:23" x14ac:dyDescent="0.45">
      <c r="W7282" s="320"/>
    </row>
    <row r="7283" spans="23:23" x14ac:dyDescent="0.45">
      <c r="W7283" s="320"/>
    </row>
    <row r="7284" spans="23:23" x14ac:dyDescent="0.45">
      <c r="W7284" s="320"/>
    </row>
    <row r="7285" spans="23:23" x14ac:dyDescent="0.45">
      <c r="W7285" s="320"/>
    </row>
    <row r="7286" spans="23:23" x14ac:dyDescent="0.45">
      <c r="W7286" s="320"/>
    </row>
    <row r="7287" spans="23:23" x14ac:dyDescent="0.45">
      <c r="W7287" s="320"/>
    </row>
    <row r="7288" spans="23:23" x14ac:dyDescent="0.45">
      <c r="W7288" s="320"/>
    </row>
    <row r="7289" spans="23:23" x14ac:dyDescent="0.45">
      <c r="W7289" s="320"/>
    </row>
    <row r="7290" spans="23:23" x14ac:dyDescent="0.45">
      <c r="W7290" s="320"/>
    </row>
    <row r="7291" spans="23:23" x14ac:dyDescent="0.45">
      <c r="W7291" s="320"/>
    </row>
    <row r="7292" spans="23:23" x14ac:dyDescent="0.45">
      <c r="W7292" s="320"/>
    </row>
    <row r="7293" spans="23:23" x14ac:dyDescent="0.45">
      <c r="W7293" s="320"/>
    </row>
    <row r="7294" spans="23:23" x14ac:dyDescent="0.45">
      <c r="W7294" s="320"/>
    </row>
    <row r="7295" spans="23:23" x14ac:dyDescent="0.45">
      <c r="W7295" s="320"/>
    </row>
    <row r="7296" spans="23:23" x14ac:dyDescent="0.45">
      <c r="W7296" s="320"/>
    </row>
    <row r="7297" spans="23:23" x14ac:dyDescent="0.45">
      <c r="W7297" s="320"/>
    </row>
    <row r="7298" spans="23:23" x14ac:dyDescent="0.45">
      <c r="W7298" s="320"/>
    </row>
    <row r="7299" spans="23:23" x14ac:dyDescent="0.45">
      <c r="W7299" s="320"/>
    </row>
    <row r="7300" spans="23:23" x14ac:dyDescent="0.45">
      <c r="W7300" s="320"/>
    </row>
    <row r="7301" spans="23:23" x14ac:dyDescent="0.45">
      <c r="W7301" s="320"/>
    </row>
    <row r="7302" spans="23:23" x14ac:dyDescent="0.45">
      <c r="W7302" s="320"/>
    </row>
    <row r="7303" spans="23:23" x14ac:dyDescent="0.45">
      <c r="W7303" s="320"/>
    </row>
    <row r="7304" spans="23:23" x14ac:dyDescent="0.45">
      <c r="W7304" s="320"/>
    </row>
    <row r="7305" spans="23:23" x14ac:dyDescent="0.45">
      <c r="W7305" s="320"/>
    </row>
    <row r="7306" spans="23:23" x14ac:dyDescent="0.45">
      <c r="W7306" s="320"/>
    </row>
    <row r="7307" spans="23:23" x14ac:dyDescent="0.45">
      <c r="W7307" s="320"/>
    </row>
    <row r="7308" spans="23:23" x14ac:dyDescent="0.45">
      <c r="W7308" s="320"/>
    </row>
    <row r="7309" spans="23:23" x14ac:dyDescent="0.45">
      <c r="W7309" s="320"/>
    </row>
    <row r="7310" spans="23:23" x14ac:dyDescent="0.45">
      <c r="W7310" s="320"/>
    </row>
    <row r="7311" spans="23:23" x14ac:dyDescent="0.45">
      <c r="W7311" s="320"/>
    </row>
    <row r="7312" spans="23:23" x14ac:dyDescent="0.45">
      <c r="W7312" s="320"/>
    </row>
    <row r="7313" spans="23:23" x14ac:dyDescent="0.45">
      <c r="W7313" s="320"/>
    </row>
    <row r="7314" spans="23:23" x14ac:dyDescent="0.45">
      <c r="W7314" s="320"/>
    </row>
    <row r="7315" spans="23:23" x14ac:dyDescent="0.45">
      <c r="W7315" s="320"/>
    </row>
    <row r="7316" spans="23:23" x14ac:dyDescent="0.45">
      <c r="W7316" s="320"/>
    </row>
    <row r="7317" spans="23:23" x14ac:dyDescent="0.45">
      <c r="W7317" s="320"/>
    </row>
    <row r="7318" spans="23:23" x14ac:dyDescent="0.45">
      <c r="W7318" s="320"/>
    </row>
    <row r="7319" spans="23:23" x14ac:dyDescent="0.45">
      <c r="W7319" s="320"/>
    </row>
    <row r="7320" spans="23:23" x14ac:dyDescent="0.45">
      <c r="W7320" s="320"/>
    </row>
    <row r="7321" spans="23:23" x14ac:dyDescent="0.45">
      <c r="W7321" s="320"/>
    </row>
    <row r="7322" spans="23:23" x14ac:dyDescent="0.45">
      <c r="W7322" s="320"/>
    </row>
    <row r="7323" spans="23:23" x14ac:dyDescent="0.45">
      <c r="W7323" s="320"/>
    </row>
    <row r="7324" spans="23:23" x14ac:dyDescent="0.45">
      <c r="W7324" s="320"/>
    </row>
    <row r="7325" spans="23:23" x14ac:dyDescent="0.45">
      <c r="W7325" s="320"/>
    </row>
    <row r="7326" spans="23:23" x14ac:dyDescent="0.45">
      <c r="W7326" s="320"/>
    </row>
    <row r="7327" spans="23:23" x14ac:dyDescent="0.45">
      <c r="W7327" s="320"/>
    </row>
    <row r="7328" spans="23:23" x14ac:dyDescent="0.45">
      <c r="W7328" s="320"/>
    </row>
    <row r="7329" spans="23:23" x14ac:dyDescent="0.45">
      <c r="W7329" s="320"/>
    </row>
    <row r="7330" spans="23:23" x14ac:dyDescent="0.45">
      <c r="W7330" s="320"/>
    </row>
    <row r="7331" spans="23:23" x14ac:dyDescent="0.45">
      <c r="W7331" s="320"/>
    </row>
    <row r="7332" spans="23:23" x14ac:dyDescent="0.45">
      <c r="W7332" s="320"/>
    </row>
    <row r="7333" spans="23:23" x14ac:dyDescent="0.45">
      <c r="W7333" s="320"/>
    </row>
    <row r="7334" spans="23:23" x14ac:dyDescent="0.45">
      <c r="W7334" s="320"/>
    </row>
    <row r="7335" spans="23:23" x14ac:dyDescent="0.45">
      <c r="W7335" s="320"/>
    </row>
    <row r="7336" spans="23:23" x14ac:dyDescent="0.45">
      <c r="W7336" s="320"/>
    </row>
    <row r="7337" spans="23:23" x14ac:dyDescent="0.45">
      <c r="W7337" s="320"/>
    </row>
    <row r="7338" spans="23:23" x14ac:dyDescent="0.45">
      <c r="W7338" s="320"/>
    </row>
    <row r="7339" spans="23:23" x14ac:dyDescent="0.45">
      <c r="W7339" s="320"/>
    </row>
    <row r="7340" spans="23:23" x14ac:dyDescent="0.45">
      <c r="W7340" s="320"/>
    </row>
    <row r="7341" spans="23:23" x14ac:dyDescent="0.45">
      <c r="W7341" s="320"/>
    </row>
    <row r="7342" spans="23:23" x14ac:dyDescent="0.45">
      <c r="W7342" s="320"/>
    </row>
    <row r="7343" spans="23:23" x14ac:dyDescent="0.45">
      <c r="W7343" s="320"/>
    </row>
    <row r="7344" spans="23:23" x14ac:dyDescent="0.45">
      <c r="W7344" s="320"/>
    </row>
    <row r="7345" spans="23:23" x14ac:dyDescent="0.45">
      <c r="W7345" s="320"/>
    </row>
    <row r="7346" spans="23:23" x14ac:dyDescent="0.45">
      <c r="W7346" s="320"/>
    </row>
    <row r="7347" spans="23:23" x14ac:dyDescent="0.45">
      <c r="W7347" s="320"/>
    </row>
    <row r="7348" spans="23:23" x14ac:dyDescent="0.45">
      <c r="W7348" s="320"/>
    </row>
    <row r="7349" spans="23:23" x14ac:dyDescent="0.45">
      <c r="W7349" s="320"/>
    </row>
    <row r="7350" spans="23:23" x14ac:dyDescent="0.45">
      <c r="W7350" s="320"/>
    </row>
    <row r="7351" spans="23:23" x14ac:dyDescent="0.45">
      <c r="W7351" s="320"/>
    </row>
    <row r="7352" spans="23:23" x14ac:dyDescent="0.45">
      <c r="W7352" s="320"/>
    </row>
    <row r="7353" spans="23:23" x14ac:dyDescent="0.45">
      <c r="W7353" s="320"/>
    </row>
    <row r="7354" spans="23:23" x14ac:dyDescent="0.45">
      <c r="W7354" s="320"/>
    </row>
    <row r="7355" spans="23:23" x14ac:dyDescent="0.45">
      <c r="W7355" s="320"/>
    </row>
    <row r="7356" spans="23:23" x14ac:dyDescent="0.45">
      <c r="W7356" s="320"/>
    </row>
    <row r="7357" spans="23:23" x14ac:dyDescent="0.45">
      <c r="W7357" s="320"/>
    </row>
    <row r="7358" spans="23:23" x14ac:dyDescent="0.45">
      <c r="W7358" s="320"/>
    </row>
    <row r="7359" spans="23:23" x14ac:dyDescent="0.45">
      <c r="W7359" s="320"/>
    </row>
    <row r="7360" spans="23:23" x14ac:dyDescent="0.45">
      <c r="W7360" s="320"/>
    </row>
    <row r="7361" spans="23:23" x14ac:dyDescent="0.45">
      <c r="W7361" s="320"/>
    </row>
    <row r="7362" spans="23:23" x14ac:dyDescent="0.45">
      <c r="W7362" s="320"/>
    </row>
    <row r="7363" spans="23:23" x14ac:dyDescent="0.45">
      <c r="W7363" s="320"/>
    </row>
    <row r="7364" spans="23:23" x14ac:dyDescent="0.45">
      <c r="W7364" s="320"/>
    </row>
    <row r="7365" spans="23:23" x14ac:dyDescent="0.45">
      <c r="W7365" s="320"/>
    </row>
    <row r="7366" spans="23:23" x14ac:dyDescent="0.45">
      <c r="W7366" s="320"/>
    </row>
    <row r="7367" spans="23:23" x14ac:dyDescent="0.45">
      <c r="W7367" s="320"/>
    </row>
    <row r="7368" spans="23:23" x14ac:dyDescent="0.45">
      <c r="W7368" s="320"/>
    </row>
    <row r="7369" spans="23:23" x14ac:dyDescent="0.45">
      <c r="W7369" s="320"/>
    </row>
    <row r="7370" spans="23:23" x14ac:dyDescent="0.45">
      <c r="W7370" s="320"/>
    </row>
    <row r="7371" spans="23:23" x14ac:dyDescent="0.45">
      <c r="W7371" s="320"/>
    </row>
    <row r="7372" spans="23:23" x14ac:dyDescent="0.45">
      <c r="W7372" s="320"/>
    </row>
    <row r="7373" spans="23:23" x14ac:dyDescent="0.45">
      <c r="W7373" s="320"/>
    </row>
    <row r="7374" spans="23:23" x14ac:dyDescent="0.45">
      <c r="W7374" s="320"/>
    </row>
    <row r="7375" spans="23:23" x14ac:dyDescent="0.45">
      <c r="W7375" s="320"/>
    </row>
    <row r="7376" spans="23:23" x14ac:dyDescent="0.45">
      <c r="W7376" s="320"/>
    </row>
    <row r="7377" spans="23:23" x14ac:dyDescent="0.45">
      <c r="W7377" s="320"/>
    </row>
    <row r="7378" spans="23:23" x14ac:dyDescent="0.45">
      <c r="W7378" s="320"/>
    </row>
    <row r="7379" spans="23:23" x14ac:dyDescent="0.45">
      <c r="W7379" s="320"/>
    </row>
    <row r="7380" spans="23:23" x14ac:dyDescent="0.45">
      <c r="W7380" s="320"/>
    </row>
    <row r="7381" spans="23:23" x14ac:dyDescent="0.45">
      <c r="W7381" s="320"/>
    </row>
    <row r="7382" spans="23:23" x14ac:dyDescent="0.45">
      <c r="W7382" s="320"/>
    </row>
    <row r="7383" spans="23:23" x14ac:dyDescent="0.45">
      <c r="W7383" s="320"/>
    </row>
    <row r="7384" spans="23:23" x14ac:dyDescent="0.45">
      <c r="W7384" s="320"/>
    </row>
    <row r="7385" spans="23:23" x14ac:dyDescent="0.45">
      <c r="W7385" s="320"/>
    </row>
    <row r="7386" spans="23:23" x14ac:dyDescent="0.45">
      <c r="W7386" s="320"/>
    </row>
    <row r="7387" spans="23:23" x14ac:dyDescent="0.45">
      <c r="W7387" s="320"/>
    </row>
    <row r="7388" spans="23:23" x14ac:dyDescent="0.45">
      <c r="W7388" s="320"/>
    </row>
    <row r="7389" spans="23:23" x14ac:dyDescent="0.45">
      <c r="W7389" s="320"/>
    </row>
    <row r="7390" spans="23:23" x14ac:dyDescent="0.45">
      <c r="W7390" s="320"/>
    </row>
    <row r="7391" spans="23:23" x14ac:dyDescent="0.45">
      <c r="W7391" s="320"/>
    </row>
    <row r="7392" spans="23:23" x14ac:dyDescent="0.45">
      <c r="W7392" s="320"/>
    </row>
    <row r="7393" spans="23:23" x14ac:dyDescent="0.45">
      <c r="W7393" s="320"/>
    </row>
    <row r="7394" spans="23:23" x14ac:dyDescent="0.45">
      <c r="W7394" s="320"/>
    </row>
    <row r="7395" spans="23:23" x14ac:dyDescent="0.45">
      <c r="W7395" s="320"/>
    </row>
    <row r="7396" spans="23:23" x14ac:dyDescent="0.45">
      <c r="W7396" s="320"/>
    </row>
    <row r="7397" spans="23:23" x14ac:dyDescent="0.45">
      <c r="W7397" s="320"/>
    </row>
    <row r="7398" spans="23:23" x14ac:dyDescent="0.45">
      <c r="W7398" s="320"/>
    </row>
    <row r="7399" spans="23:23" x14ac:dyDescent="0.45">
      <c r="W7399" s="320"/>
    </row>
    <row r="7400" spans="23:23" x14ac:dyDescent="0.45">
      <c r="W7400" s="320"/>
    </row>
    <row r="7401" spans="23:23" x14ac:dyDescent="0.45">
      <c r="W7401" s="320"/>
    </row>
    <row r="7402" spans="23:23" x14ac:dyDescent="0.45">
      <c r="W7402" s="320"/>
    </row>
    <row r="7403" spans="23:23" x14ac:dyDescent="0.45">
      <c r="W7403" s="320"/>
    </row>
    <row r="7404" spans="23:23" x14ac:dyDescent="0.45">
      <c r="W7404" s="320"/>
    </row>
    <row r="7405" spans="23:23" x14ac:dyDescent="0.45">
      <c r="W7405" s="320"/>
    </row>
    <row r="7406" spans="23:23" x14ac:dyDescent="0.45">
      <c r="W7406" s="320"/>
    </row>
    <row r="7407" spans="23:23" x14ac:dyDescent="0.45">
      <c r="W7407" s="320"/>
    </row>
    <row r="7408" spans="23:23" x14ac:dyDescent="0.45">
      <c r="W7408" s="320"/>
    </row>
    <row r="7409" spans="23:23" x14ac:dyDescent="0.45">
      <c r="W7409" s="320"/>
    </row>
    <row r="7410" spans="23:23" x14ac:dyDescent="0.45">
      <c r="W7410" s="320"/>
    </row>
    <row r="7411" spans="23:23" x14ac:dyDescent="0.45">
      <c r="W7411" s="320"/>
    </row>
    <row r="7412" spans="23:23" x14ac:dyDescent="0.45">
      <c r="W7412" s="320"/>
    </row>
    <row r="7413" spans="23:23" x14ac:dyDescent="0.45">
      <c r="W7413" s="320"/>
    </row>
    <row r="7414" spans="23:23" x14ac:dyDescent="0.45">
      <c r="W7414" s="320"/>
    </row>
    <row r="7415" spans="23:23" x14ac:dyDescent="0.45">
      <c r="W7415" s="320"/>
    </row>
    <row r="7416" spans="23:23" x14ac:dyDescent="0.45">
      <c r="W7416" s="320"/>
    </row>
    <row r="7417" spans="23:23" x14ac:dyDescent="0.45">
      <c r="W7417" s="320"/>
    </row>
    <row r="7418" spans="23:23" x14ac:dyDescent="0.45">
      <c r="W7418" s="320"/>
    </row>
    <row r="7419" spans="23:23" x14ac:dyDescent="0.45">
      <c r="W7419" s="320"/>
    </row>
    <row r="7420" spans="23:23" x14ac:dyDescent="0.45">
      <c r="W7420" s="320"/>
    </row>
    <row r="7421" spans="23:23" x14ac:dyDescent="0.45">
      <c r="W7421" s="320"/>
    </row>
    <row r="7422" spans="23:23" x14ac:dyDescent="0.45">
      <c r="W7422" s="320"/>
    </row>
    <row r="7423" spans="23:23" x14ac:dyDescent="0.45">
      <c r="W7423" s="320"/>
    </row>
    <row r="7424" spans="23:23" x14ac:dyDescent="0.45">
      <c r="W7424" s="320"/>
    </row>
    <row r="7425" spans="23:23" x14ac:dyDescent="0.45">
      <c r="W7425" s="320"/>
    </row>
    <row r="7426" spans="23:23" x14ac:dyDescent="0.45">
      <c r="W7426" s="320"/>
    </row>
    <row r="7427" spans="23:23" x14ac:dyDescent="0.45">
      <c r="W7427" s="320"/>
    </row>
    <row r="7428" spans="23:23" x14ac:dyDescent="0.45">
      <c r="W7428" s="320"/>
    </row>
    <row r="7429" spans="23:23" x14ac:dyDescent="0.45">
      <c r="W7429" s="320"/>
    </row>
    <row r="7430" spans="23:23" x14ac:dyDescent="0.45">
      <c r="W7430" s="320"/>
    </row>
    <row r="7431" spans="23:23" x14ac:dyDescent="0.45">
      <c r="W7431" s="320"/>
    </row>
    <row r="7432" spans="23:23" x14ac:dyDescent="0.45">
      <c r="W7432" s="320"/>
    </row>
    <row r="7433" spans="23:23" x14ac:dyDescent="0.45">
      <c r="W7433" s="320"/>
    </row>
    <row r="7434" spans="23:23" x14ac:dyDescent="0.45">
      <c r="W7434" s="320"/>
    </row>
    <row r="7435" spans="23:23" x14ac:dyDescent="0.45">
      <c r="W7435" s="320"/>
    </row>
    <row r="7436" spans="23:23" x14ac:dyDescent="0.45">
      <c r="W7436" s="320"/>
    </row>
    <row r="7437" spans="23:23" x14ac:dyDescent="0.45">
      <c r="W7437" s="320"/>
    </row>
    <row r="7438" spans="23:23" x14ac:dyDescent="0.45">
      <c r="W7438" s="320"/>
    </row>
    <row r="7439" spans="23:23" x14ac:dyDescent="0.45">
      <c r="W7439" s="320"/>
    </row>
    <row r="7440" spans="23:23" x14ac:dyDescent="0.45">
      <c r="W7440" s="320"/>
    </row>
    <row r="7441" spans="23:23" x14ac:dyDescent="0.45">
      <c r="W7441" s="320"/>
    </row>
    <row r="7442" spans="23:23" x14ac:dyDescent="0.45">
      <c r="W7442" s="320"/>
    </row>
    <row r="7443" spans="23:23" x14ac:dyDescent="0.45">
      <c r="W7443" s="320"/>
    </row>
    <row r="7444" spans="23:23" x14ac:dyDescent="0.45">
      <c r="W7444" s="320"/>
    </row>
    <row r="7445" spans="23:23" x14ac:dyDescent="0.45">
      <c r="W7445" s="320"/>
    </row>
    <row r="7446" spans="23:23" x14ac:dyDescent="0.45">
      <c r="W7446" s="320"/>
    </row>
    <row r="7447" spans="23:23" x14ac:dyDescent="0.45">
      <c r="W7447" s="320"/>
    </row>
    <row r="7448" spans="23:23" x14ac:dyDescent="0.45">
      <c r="W7448" s="320"/>
    </row>
    <row r="7449" spans="23:23" x14ac:dyDescent="0.45">
      <c r="W7449" s="320"/>
    </row>
    <row r="7450" spans="23:23" x14ac:dyDescent="0.45">
      <c r="W7450" s="320"/>
    </row>
    <row r="7451" spans="23:23" x14ac:dyDescent="0.45">
      <c r="W7451" s="320"/>
    </row>
    <row r="7452" spans="23:23" x14ac:dyDescent="0.45">
      <c r="W7452" s="320"/>
    </row>
    <row r="7453" spans="23:23" x14ac:dyDescent="0.45">
      <c r="W7453" s="320"/>
    </row>
    <row r="7454" spans="23:23" x14ac:dyDescent="0.45">
      <c r="W7454" s="320"/>
    </row>
    <row r="7455" spans="23:23" x14ac:dyDescent="0.45">
      <c r="W7455" s="320"/>
    </row>
    <row r="7456" spans="23:23" x14ac:dyDescent="0.45">
      <c r="W7456" s="320"/>
    </row>
    <row r="7457" spans="23:23" x14ac:dyDescent="0.45">
      <c r="W7457" s="320"/>
    </row>
    <row r="7458" spans="23:23" x14ac:dyDescent="0.45">
      <c r="W7458" s="320"/>
    </row>
    <row r="7459" spans="23:23" x14ac:dyDescent="0.45">
      <c r="W7459" s="320"/>
    </row>
    <row r="7460" spans="23:23" x14ac:dyDescent="0.45">
      <c r="W7460" s="320"/>
    </row>
    <row r="7461" spans="23:23" x14ac:dyDescent="0.45">
      <c r="W7461" s="320"/>
    </row>
    <row r="7462" spans="23:23" x14ac:dyDescent="0.45">
      <c r="W7462" s="320"/>
    </row>
    <row r="7463" spans="23:23" x14ac:dyDescent="0.45">
      <c r="W7463" s="320"/>
    </row>
    <row r="7464" spans="23:23" x14ac:dyDescent="0.45">
      <c r="W7464" s="320"/>
    </row>
    <row r="7465" spans="23:23" x14ac:dyDescent="0.45">
      <c r="W7465" s="320"/>
    </row>
    <row r="7466" spans="23:23" x14ac:dyDescent="0.45">
      <c r="W7466" s="320"/>
    </row>
    <row r="7467" spans="23:23" x14ac:dyDescent="0.45">
      <c r="W7467" s="320"/>
    </row>
    <row r="7468" spans="23:23" x14ac:dyDescent="0.45">
      <c r="W7468" s="320"/>
    </row>
    <row r="7469" spans="23:23" x14ac:dyDescent="0.45">
      <c r="W7469" s="320"/>
    </row>
    <row r="7470" spans="23:23" x14ac:dyDescent="0.45">
      <c r="W7470" s="320"/>
    </row>
    <row r="7471" spans="23:23" x14ac:dyDescent="0.45">
      <c r="W7471" s="320"/>
    </row>
    <row r="7472" spans="23:23" x14ac:dyDescent="0.45">
      <c r="W7472" s="320"/>
    </row>
    <row r="7473" spans="23:23" x14ac:dyDescent="0.45">
      <c r="W7473" s="320"/>
    </row>
    <row r="7474" spans="23:23" x14ac:dyDescent="0.45">
      <c r="W7474" s="320"/>
    </row>
    <row r="7475" spans="23:23" x14ac:dyDescent="0.45">
      <c r="W7475" s="320"/>
    </row>
    <row r="7476" spans="23:23" x14ac:dyDescent="0.45">
      <c r="W7476" s="320"/>
    </row>
    <row r="7477" spans="23:23" x14ac:dyDescent="0.45">
      <c r="W7477" s="320"/>
    </row>
    <row r="7478" spans="23:23" x14ac:dyDescent="0.45">
      <c r="W7478" s="320"/>
    </row>
    <row r="7479" spans="23:23" x14ac:dyDescent="0.45">
      <c r="W7479" s="320"/>
    </row>
    <row r="7480" spans="23:23" x14ac:dyDescent="0.45">
      <c r="W7480" s="320"/>
    </row>
    <row r="7481" spans="23:23" x14ac:dyDescent="0.45">
      <c r="W7481" s="320"/>
    </row>
    <row r="7482" spans="23:23" x14ac:dyDescent="0.45">
      <c r="W7482" s="320"/>
    </row>
    <row r="7483" spans="23:23" x14ac:dyDescent="0.45">
      <c r="W7483" s="320"/>
    </row>
    <row r="7484" spans="23:23" x14ac:dyDescent="0.45">
      <c r="W7484" s="320"/>
    </row>
    <row r="7485" spans="23:23" x14ac:dyDescent="0.45">
      <c r="W7485" s="320"/>
    </row>
    <row r="7486" spans="23:23" x14ac:dyDescent="0.45">
      <c r="W7486" s="320"/>
    </row>
    <row r="7487" spans="23:23" x14ac:dyDescent="0.45">
      <c r="W7487" s="320"/>
    </row>
    <row r="7488" spans="23:23" x14ac:dyDescent="0.45">
      <c r="W7488" s="320"/>
    </row>
    <row r="7489" spans="23:23" x14ac:dyDescent="0.45">
      <c r="W7489" s="320"/>
    </row>
    <row r="7490" spans="23:23" x14ac:dyDescent="0.45">
      <c r="W7490" s="320"/>
    </row>
    <row r="7491" spans="23:23" x14ac:dyDescent="0.45">
      <c r="W7491" s="320"/>
    </row>
    <row r="7492" spans="23:23" x14ac:dyDescent="0.45">
      <c r="W7492" s="320"/>
    </row>
    <row r="7493" spans="23:23" x14ac:dyDescent="0.45">
      <c r="W7493" s="320"/>
    </row>
    <row r="7494" spans="23:23" x14ac:dyDescent="0.45">
      <c r="W7494" s="320"/>
    </row>
    <row r="7495" spans="23:23" x14ac:dyDescent="0.45">
      <c r="W7495" s="320"/>
    </row>
    <row r="7496" spans="23:23" x14ac:dyDescent="0.45">
      <c r="W7496" s="320"/>
    </row>
    <row r="7497" spans="23:23" x14ac:dyDescent="0.45">
      <c r="W7497" s="320"/>
    </row>
    <row r="7498" spans="23:23" x14ac:dyDescent="0.45">
      <c r="W7498" s="320"/>
    </row>
    <row r="7499" spans="23:23" x14ac:dyDescent="0.45">
      <c r="W7499" s="320"/>
    </row>
    <row r="7500" spans="23:23" x14ac:dyDescent="0.45">
      <c r="W7500" s="320"/>
    </row>
    <row r="7501" spans="23:23" x14ac:dyDescent="0.45">
      <c r="W7501" s="320"/>
    </row>
    <row r="7502" spans="23:23" x14ac:dyDescent="0.45">
      <c r="W7502" s="320"/>
    </row>
    <row r="7503" spans="23:23" x14ac:dyDescent="0.45">
      <c r="W7503" s="320"/>
    </row>
    <row r="7504" spans="23:23" x14ac:dyDescent="0.45">
      <c r="W7504" s="320"/>
    </row>
    <row r="7505" spans="23:23" x14ac:dyDescent="0.45">
      <c r="W7505" s="320"/>
    </row>
    <row r="7506" spans="23:23" x14ac:dyDescent="0.45">
      <c r="W7506" s="320"/>
    </row>
    <row r="7507" spans="23:23" x14ac:dyDescent="0.45">
      <c r="W7507" s="320"/>
    </row>
    <row r="7508" spans="23:23" x14ac:dyDescent="0.45">
      <c r="W7508" s="320"/>
    </row>
    <row r="7509" spans="23:23" x14ac:dyDescent="0.45">
      <c r="W7509" s="320"/>
    </row>
    <row r="7510" spans="23:23" x14ac:dyDescent="0.45">
      <c r="W7510" s="320"/>
    </row>
    <row r="7511" spans="23:23" x14ac:dyDescent="0.45">
      <c r="W7511" s="320"/>
    </row>
    <row r="7512" spans="23:23" x14ac:dyDescent="0.45">
      <c r="W7512" s="320"/>
    </row>
    <row r="7513" spans="23:23" x14ac:dyDescent="0.45">
      <c r="W7513" s="320"/>
    </row>
    <row r="7514" spans="23:23" x14ac:dyDescent="0.45">
      <c r="W7514" s="320"/>
    </row>
    <row r="7515" spans="23:23" x14ac:dyDescent="0.45">
      <c r="W7515" s="320"/>
    </row>
    <row r="7516" spans="23:23" x14ac:dyDescent="0.45">
      <c r="W7516" s="320"/>
    </row>
    <row r="7517" spans="23:23" x14ac:dyDescent="0.45">
      <c r="W7517" s="320"/>
    </row>
    <row r="7518" spans="23:23" x14ac:dyDescent="0.45">
      <c r="W7518" s="320"/>
    </row>
    <row r="7519" spans="23:23" x14ac:dyDescent="0.45">
      <c r="W7519" s="320"/>
    </row>
    <row r="7520" spans="23:23" x14ac:dyDescent="0.45">
      <c r="W7520" s="320"/>
    </row>
    <row r="7521" spans="23:23" x14ac:dyDescent="0.45">
      <c r="W7521" s="320"/>
    </row>
    <row r="7522" spans="23:23" x14ac:dyDescent="0.45">
      <c r="W7522" s="320"/>
    </row>
    <row r="7523" spans="23:23" x14ac:dyDescent="0.45">
      <c r="W7523" s="320"/>
    </row>
    <row r="7524" spans="23:23" x14ac:dyDescent="0.45">
      <c r="W7524" s="320"/>
    </row>
    <row r="7525" spans="23:23" x14ac:dyDescent="0.45">
      <c r="W7525" s="320"/>
    </row>
    <row r="7526" spans="23:23" x14ac:dyDescent="0.45">
      <c r="W7526" s="320"/>
    </row>
    <row r="7527" spans="23:23" x14ac:dyDescent="0.45">
      <c r="W7527" s="320"/>
    </row>
    <row r="7528" spans="23:23" x14ac:dyDescent="0.45">
      <c r="W7528" s="320"/>
    </row>
    <row r="7529" spans="23:23" x14ac:dyDescent="0.45">
      <c r="W7529" s="320"/>
    </row>
    <row r="7530" spans="23:23" x14ac:dyDescent="0.45">
      <c r="W7530" s="320"/>
    </row>
    <row r="7531" spans="23:23" x14ac:dyDescent="0.45">
      <c r="W7531" s="320"/>
    </row>
    <row r="7532" spans="23:23" x14ac:dyDescent="0.45">
      <c r="W7532" s="320"/>
    </row>
    <row r="7533" spans="23:23" x14ac:dyDescent="0.45">
      <c r="W7533" s="320"/>
    </row>
    <row r="7534" spans="23:23" x14ac:dyDescent="0.45">
      <c r="W7534" s="320"/>
    </row>
    <row r="7535" spans="23:23" x14ac:dyDescent="0.45">
      <c r="W7535" s="320"/>
    </row>
    <row r="7536" spans="23:23" x14ac:dyDescent="0.45">
      <c r="W7536" s="320"/>
    </row>
    <row r="7537" spans="23:23" x14ac:dyDescent="0.45">
      <c r="W7537" s="320"/>
    </row>
    <row r="7538" spans="23:23" x14ac:dyDescent="0.45">
      <c r="W7538" s="320"/>
    </row>
    <row r="7539" spans="23:23" x14ac:dyDescent="0.45">
      <c r="W7539" s="320"/>
    </row>
    <row r="7540" spans="23:23" x14ac:dyDescent="0.45">
      <c r="W7540" s="320"/>
    </row>
    <row r="7541" spans="23:23" x14ac:dyDescent="0.45">
      <c r="W7541" s="320"/>
    </row>
    <row r="7542" spans="23:23" x14ac:dyDescent="0.45">
      <c r="W7542" s="320"/>
    </row>
    <row r="7543" spans="23:23" x14ac:dyDescent="0.45">
      <c r="W7543" s="320"/>
    </row>
    <row r="7544" spans="23:23" x14ac:dyDescent="0.45">
      <c r="W7544" s="320"/>
    </row>
    <row r="7545" spans="23:23" x14ac:dyDescent="0.45">
      <c r="W7545" s="320"/>
    </row>
    <row r="7546" spans="23:23" x14ac:dyDescent="0.45">
      <c r="W7546" s="320"/>
    </row>
    <row r="7547" spans="23:23" x14ac:dyDescent="0.45">
      <c r="W7547" s="320"/>
    </row>
    <row r="7548" spans="23:23" x14ac:dyDescent="0.45">
      <c r="W7548" s="320"/>
    </row>
    <row r="7549" spans="23:23" x14ac:dyDescent="0.45">
      <c r="W7549" s="320"/>
    </row>
    <row r="7550" spans="23:23" x14ac:dyDescent="0.45">
      <c r="W7550" s="320"/>
    </row>
    <row r="7551" spans="23:23" x14ac:dyDescent="0.45">
      <c r="W7551" s="320"/>
    </row>
    <row r="7552" spans="23:23" x14ac:dyDescent="0.45">
      <c r="W7552" s="320"/>
    </row>
    <row r="7553" spans="23:23" x14ac:dyDescent="0.45">
      <c r="W7553" s="320"/>
    </row>
    <row r="7554" spans="23:23" x14ac:dyDescent="0.45">
      <c r="W7554" s="320"/>
    </row>
    <row r="7555" spans="23:23" x14ac:dyDescent="0.45">
      <c r="W7555" s="320"/>
    </row>
    <row r="7556" spans="23:23" x14ac:dyDescent="0.45">
      <c r="W7556" s="320"/>
    </row>
    <row r="7557" spans="23:23" x14ac:dyDescent="0.45">
      <c r="W7557" s="320"/>
    </row>
    <row r="7558" spans="23:23" x14ac:dyDescent="0.45">
      <c r="W7558" s="320"/>
    </row>
    <row r="7559" spans="23:23" x14ac:dyDescent="0.45">
      <c r="W7559" s="320"/>
    </row>
    <row r="7560" spans="23:23" x14ac:dyDescent="0.45">
      <c r="W7560" s="320"/>
    </row>
    <row r="7561" spans="23:23" x14ac:dyDescent="0.45">
      <c r="W7561" s="320"/>
    </row>
    <row r="7562" spans="23:23" x14ac:dyDescent="0.45">
      <c r="W7562" s="320"/>
    </row>
    <row r="7563" spans="23:23" x14ac:dyDescent="0.45">
      <c r="W7563" s="320"/>
    </row>
    <row r="7564" spans="23:23" x14ac:dyDescent="0.45">
      <c r="W7564" s="320"/>
    </row>
    <row r="7565" spans="23:23" x14ac:dyDescent="0.45">
      <c r="W7565" s="320"/>
    </row>
    <row r="7566" spans="23:23" x14ac:dyDescent="0.45">
      <c r="W7566" s="320"/>
    </row>
    <row r="7567" spans="23:23" x14ac:dyDescent="0.45">
      <c r="W7567" s="320"/>
    </row>
    <row r="7568" spans="23:23" x14ac:dyDescent="0.45">
      <c r="W7568" s="320"/>
    </row>
    <row r="7569" spans="23:23" x14ac:dyDescent="0.45">
      <c r="W7569" s="320"/>
    </row>
    <row r="7570" spans="23:23" x14ac:dyDescent="0.45">
      <c r="W7570" s="320"/>
    </row>
    <row r="7571" spans="23:23" x14ac:dyDescent="0.45">
      <c r="W7571" s="320"/>
    </row>
    <row r="7572" spans="23:23" x14ac:dyDescent="0.45">
      <c r="W7572" s="320"/>
    </row>
    <row r="7573" spans="23:23" x14ac:dyDescent="0.45">
      <c r="W7573" s="320"/>
    </row>
    <row r="7574" spans="23:23" x14ac:dyDescent="0.45">
      <c r="W7574" s="320"/>
    </row>
    <row r="7575" spans="23:23" x14ac:dyDescent="0.45">
      <c r="W7575" s="320"/>
    </row>
    <row r="7576" spans="23:23" x14ac:dyDescent="0.45">
      <c r="W7576" s="320"/>
    </row>
    <row r="7577" spans="23:23" x14ac:dyDescent="0.45">
      <c r="W7577" s="320"/>
    </row>
    <row r="7578" spans="23:23" x14ac:dyDescent="0.45">
      <c r="W7578" s="320"/>
    </row>
    <row r="7579" spans="23:23" x14ac:dyDescent="0.45">
      <c r="W7579" s="320"/>
    </row>
    <row r="7580" spans="23:23" x14ac:dyDescent="0.45">
      <c r="W7580" s="320"/>
    </row>
    <row r="7581" spans="23:23" x14ac:dyDescent="0.45">
      <c r="W7581" s="320"/>
    </row>
    <row r="7582" spans="23:23" x14ac:dyDescent="0.45">
      <c r="W7582" s="320"/>
    </row>
    <row r="7583" spans="23:23" x14ac:dyDescent="0.45">
      <c r="W7583" s="320"/>
    </row>
    <row r="7584" spans="23:23" x14ac:dyDescent="0.45">
      <c r="W7584" s="320"/>
    </row>
    <row r="7585" spans="23:23" x14ac:dyDescent="0.45">
      <c r="W7585" s="320"/>
    </row>
    <row r="7586" spans="23:23" x14ac:dyDescent="0.45">
      <c r="W7586" s="320"/>
    </row>
    <row r="7587" spans="23:23" x14ac:dyDescent="0.45">
      <c r="W7587" s="320"/>
    </row>
    <row r="7588" spans="23:23" x14ac:dyDescent="0.45">
      <c r="W7588" s="320"/>
    </row>
    <row r="7589" spans="23:23" x14ac:dyDescent="0.45">
      <c r="W7589" s="320"/>
    </row>
    <row r="7590" spans="23:23" x14ac:dyDescent="0.45">
      <c r="W7590" s="320"/>
    </row>
    <row r="7591" spans="23:23" x14ac:dyDescent="0.45">
      <c r="W7591" s="320"/>
    </row>
    <row r="7592" spans="23:23" x14ac:dyDescent="0.45">
      <c r="W7592" s="320"/>
    </row>
    <row r="7593" spans="23:23" x14ac:dyDescent="0.45">
      <c r="W7593" s="320"/>
    </row>
    <row r="7594" spans="23:23" x14ac:dyDescent="0.45">
      <c r="W7594" s="320"/>
    </row>
    <row r="7595" spans="23:23" x14ac:dyDescent="0.45">
      <c r="W7595" s="320"/>
    </row>
    <row r="7596" spans="23:23" x14ac:dyDescent="0.45">
      <c r="W7596" s="320"/>
    </row>
    <row r="7597" spans="23:23" x14ac:dyDescent="0.45">
      <c r="W7597" s="320"/>
    </row>
    <row r="7598" spans="23:23" x14ac:dyDescent="0.45">
      <c r="W7598" s="320"/>
    </row>
    <row r="7599" spans="23:23" x14ac:dyDescent="0.45">
      <c r="W7599" s="320"/>
    </row>
    <row r="7600" spans="23:23" x14ac:dyDescent="0.45">
      <c r="W7600" s="320"/>
    </row>
    <row r="7601" spans="23:23" x14ac:dyDescent="0.45">
      <c r="W7601" s="320"/>
    </row>
    <row r="7602" spans="23:23" x14ac:dyDescent="0.45">
      <c r="W7602" s="320"/>
    </row>
    <row r="7603" spans="23:23" x14ac:dyDescent="0.45">
      <c r="W7603" s="320"/>
    </row>
    <row r="7604" spans="23:23" x14ac:dyDescent="0.45">
      <c r="W7604" s="320"/>
    </row>
    <row r="7605" spans="23:23" x14ac:dyDescent="0.45">
      <c r="W7605" s="320"/>
    </row>
    <row r="7606" spans="23:23" x14ac:dyDescent="0.45">
      <c r="W7606" s="320"/>
    </row>
    <row r="7607" spans="23:23" x14ac:dyDescent="0.45">
      <c r="W7607" s="320"/>
    </row>
    <row r="7608" spans="23:23" x14ac:dyDescent="0.45">
      <c r="W7608" s="320"/>
    </row>
    <row r="7609" spans="23:23" x14ac:dyDescent="0.45">
      <c r="W7609" s="320"/>
    </row>
    <row r="7610" spans="23:23" x14ac:dyDescent="0.45">
      <c r="W7610" s="320"/>
    </row>
    <row r="7611" spans="23:23" x14ac:dyDescent="0.45">
      <c r="W7611" s="320"/>
    </row>
    <row r="7612" spans="23:23" x14ac:dyDescent="0.45">
      <c r="W7612" s="320"/>
    </row>
    <row r="7613" spans="23:23" x14ac:dyDescent="0.45">
      <c r="W7613" s="320"/>
    </row>
    <row r="7614" spans="23:23" x14ac:dyDescent="0.45">
      <c r="W7614" s="320"/>
    </row>
    <row r="7615" spans="23:23" x14ac:dyDescent="0.45">
      <c r="W7615" s="320"/>
    </row>
    <row r="7616" spans="23:23" x14ac:dyDescent="0.45">
      <c r="W7616" s="320"/>
    </row>
    <row r="7617" spans="23:23" x14ac:dyDescent="0.45">
      <c r="W7617" s="320"/>
    </row>
    <row r="7618" spans="23:23" x14ac:dyDescent="0.45">
      <c r="W7618" s="320"/>
    </row>
    <row r="7619" spans="23:23" x14ac:dyDescent="0.45">
      <c r="W7619" s="320"/>
    </row>
    <row r="7620" spans="23:23" x14ac:dyDescent="0.45">
      <c r="W7620" s="320"/>
    </row>
    <row r="7621" spans="23:23" x14ac:dyDescent="0.45">
      <c r="W7621" s="320"/>
    </row>
    <row r="7622" spans="23:23" x14ac:dyDescent="0.45">
      <c r="W7622" s="320"/>
    </row>
    <row r="7623" spans="23:23" x14ac:dyDescent="0.45">
      <c r="W7623" s="320"/>
    </row>
    <row r="7624" spans="23:23" x14ac:dyDescent="0.45">
      <c r="W7624" s="320"/>
    </row>
    <row r="7625" spans="23:23" x14ac:dyDescent="0.45">
      <c r="W7625" s="320"/>
    </row>
    <row r="7626" spans="23:23" x14ac:dyDescent="0.45">
      <c r="W7626" s="320"/>
    </row>
    <row r="7627" spans="23:23" x14ac:dyDescent="0.45">
      <c r="W7627" s="320"/>
    </row>
    <row r="7628" spans="23:23" x14ac:dyDescent="0.45">
      <c r="W7628" s="320"/>
    </row>
    <row r="7629" spans="23:23" x14ac:dyDescent="0.45">
      <c r="W7629" s="320"/>
    </row>
    <row r="7630" spans="23:23" x14ac:dyDescent="0.45">
      <c r="W7630" s="320"/>
    </row>
    <row r="7631" spans="23:23" x14ac:dyDescent="0.45">
      <c r="W7631" s="320"/>
    </row>
    <row r="7632" spans="23:23" x14ac:dyDescent="0.45">
      <c r="W7632" s="320"/>
    </row>
    <row r="7633" spans="23:23" x14ac:dyDescent="0.45">
      <c r="W7633" s="320"/>
    </row>
    <row r="7634" spans="23:23" x14ac:dyDescent="0.45">
      <c r="W7634" s="320"/>
    </row>
    <row r="7635" spans="23:23" x14ac:dyDescent="0.45">
      <c r="W7635" s="320"/>
    </row>
    <row r="7636" spans="23:23" x14ac:dyDescent="0.45">
      <c r="W7636" s="320"/>
    </row>
    <row r="7637" spans="23:23" x14ac:dyDescent="0.45">
      <c r="W7637" s="320"/>
    </row>
    <row r="7638" spans="23:23" x14ac:dyDescent="0.45">
      <c r="W7638" s="320"/>
    </row>
    <row r="7639" spans="23:23" x14ac:dyDescent="0.45">
      <c r="W7639" s="320"/>
    </row>
    <row r="7640" spans="23:23" x14ac:dyDescent="0.45">
      <c r="W7640" s="320"/>
    </row>
    <row r="7641" spans="23:23" x14ac:dyDescent="0.45">
      <c r="W7641" s="320"/>
    </row>
    <row r="7642" spans="23:23" x14ac:dyDescent="0.45">
      <c r="W7642" s="320"/>
    </row>
    <row r="7643" spans="23:23" x14ac:dyDescent="0.45">
      <c r="W7643" s="320"/>
    </row>
    <row r="7644" spans="23:23" x14ac:dyDescent="0.45">
      <c r="W7644" s="320"/>
    </row>
    <row r="7645" spans="23:23" x14ac:dyDescent="0.45">
      <c r="W7645" s="320"/>
    </row>
    <row r="7646" spans="23:23" x14ac:dyDescent="0.45">
      <c r="W7646" s="320"/>
    </row>
    <row r="7647" spans="23:23" x14ac:dyDescent="0.45">
      <c r="W7647" s="320"/>
    </row>
    <row r="7648" spans="23:23" x14ac:dyDescent="0.45">
      <c r="W7648" s="320"/>
    </row>
    <row r="7649" spans="23:23" x14ac:dyDescent="0.45">
      <c r="W7649" s="320"/>
    </row>
    <row r="7650" spans="23:23" x14ac:dyDescent="0.45">
      <c r="W7650" s="320"/>
    </row>
    <row r="7651" spans="23:23" x14ac:dyDescent="0.45">
      <c r="W7651" s="320"/>
    </row>
    <row r="7652" spans="23:23" x14ac:dyDescent="0.45">
      <c r="W7652" s="320"/>
    </row>
    <row r="7653" spans="23:23" x14ac:dyDescent="0.45">
      <c r="W7653" s="320"/>
    </row>
    <row r="7654" spans="23:23" x14ac:dyDescent="0.45">
      <c r="W7654" s="320"/>
    </row>
    <row r="7655" spans="23:23" x14ac:dyDescent="0.45">
      <c r="W7655" s="320"/>
    </row>
    <row r="7656" spans="23:23" x14ac:dyDescent="0.45">
      <c r="W7656" s="320"/>
    </row>
    <row r="7657" spans="23:23" x14ac:dyDescent="0.45">
      <c r="W7657" s="320"/>
    </row>
    <row r="7658" spans="23:23" x14ac:dyDescent="0.45">
      <c r="W7658" s="320"/>
    </row>
    <row r="7659" spans="23:23" x14ac:dyDescent="0.45">
      <c r="W7659" s="320"/>
    </row>
    <row r="7660" spans="23:23" x14ac:dyDescent="0.45">
      <c r="W7660" s="320"/>
    </row>
    <row r="7661" spans="23:23" x14ac:dyDescent="0.45">
      <c r="W7661" s="320"/>
    </row>
    <row r="7662" spans="23:23" x14ac:dyDescent="0.45">
      <c r="W7662" s="320"/>
    </row>
    <row r="7663" spans="23:23" x14ac:dyDescent="0.45">
      <c r="W7663" s="320"/>
    </row>
    <row r="7664" spans="23:23" x14ac:dyDescent="0.45">
      <c r="W7664" s="320"/>
    </row>
    <row r="7665" spans="23:23" x14ac:dyDescent="0.45">
      <c r="W7665" s="320"/>
    </row>
    <row r="7666" spans="23:23" x14ac:dyDescent="0.45">
      <c r="W7666" s="320"/>
    </row>
    <row r="7667" spans="23:23" x14ac:dyDescent="0.45">
      <c r="W7667" s="320"/>
    </row>
    <row r="7668" spans="23:23" x14ac:dyDescent="0.45">
      <c r="W7668" s="320"/>
    </row>
    <row r="7669" spans="23:23" x14ac:dyDescent="0.45">
      <c r="W7669" s="320"/>
    </row>
    <row r="7670" spans="23:23" x14ac:dyDescent="0.45">
      <c r="W7670" s="320"/>
    </row>
    <row r="7671" spans="23:23" x14ac:dyDescent="0.45">
      <c r="W7671" s="320"/>
    </row>
    <row r="7672" spans="23:23" x14ac:dyDescent="0.45">
      <c r="W7672" s="320"/>
    </row>
    <row r="7673" spans="23:23" x14ac:dyDescent="0.45">
      <c r="W7673" s="320"/>
    </row>
    <row r="7674" spans="23:23" x14ac:dyDescent="0.45">
      <c r="W7674" s="320"/>
    </row>
    <row r="7675" spans="23:23" x14ac:dyDescent="0.45">
      <c r="W7675" s="320"/>
    </row>
    <row r="7676" spans="23:23" x14ac:dyDescent="0.45">
      <c r="W7676" s="320"/>
    </row>
    <row r="7677" spans="23:23" x14ac:dyDescent="0.45">
      <c r="W7677" s="320"/>
    </row>
    <row r="7678" spans="23:23" x14ac:dyDescent="0.45">
      <c r="W7678" s="320"/>
    </row>
    <row r="7679" spans="23:23" x14ac:dyDescent="0.45">
      <c r="W7679" s="320"/>
    </row>
    <row r="7680" spans="23:23" x14ac:dyDescent="0.45">
      <c r="W7680" s="320"/>
    </row>
    <row r="7681" spans="23:23" x14ac:dyDescent="0.45">
      <c r="W7681" s="320"/>
    </row>
    <row r="7682" spans="23:23" x14ac:dyDescent="0.45">
      <c r="W7682" s="320"/>
    </row>
    <row r="7683" spans="23:23" x14ac:dyDescent="0.45">
      <c r="W7683" s="320"/>
    </row>
    <row r="7684" spans="23:23" x14ac:dyDescent="0.45">
      <c r="W7684" s="320"/>
    </row>
    <row r="7685" spans="23:23" x14ac:dyDescent="0.45">
      <c r="W7685" s="320"/>
    </row>
    <row r="7686" spans="23:23" x14ac:dyDescent="0.45">
      <c r="W7686" s="320"/>
    </row>
    <row r="7687" spans="23:23" x14ac:dyDescent="0.45">
      <c r="W7687" s="320"/>
    </row>
    <row r="7688" spans="23:23" x14ac:dyDescent="0.45">
      <c r="W7688" s="320"/>
    </row>
    <row r="7689" spans="23:23" x14ac:dyDescent="0.45">
      <c r="W7689" s="320"/>
    </row>
    <row r="7690" spans="23:23" x14ac:dyDescent="0.45">
      <c r="W7690" s="320"/>
    </row>
    <row r="7691" spans="23:23" x14ac:dyDescent="0.45">
      <c r="W7691" s="320"/>
    </row>
    <row r="7692" spans="23:23" x14ac:dyDescent="0.45">
      <c r="W7692" s="320"/>
    </row>
    <row r="7693" spans="23:23" x14ac:dyDescent="0.45">
      <c r="W7693" s="320"/>
    </row>
    <row r="7694" spans="23:23" x14ac:dyDescent="0.45">
      <c r="W7694" s="320"/>
    </row>
    <row r="7695" spans="23:23" x14ac:dyDescent="0.45">
      <c r="W7695" s="320"/>
    </row>
    <row r="7696" spans="23:23" x14ac:dyDescent="0.45">
      <c r="W7696" s="320"/>
    </row>
    <row r="7697" spans="23:23" x14ac:dyDescent="0.45">
      <c r="W7697" s="320"/>
    </row>
    <row r="7698" spans="23:23" x14ac:dyDescent="0.45">
      <c r="W7698" s="320"/>
    </row>
    <row r="7699" spans="23:23" x14ac:dyDescent="0.45">
      <c r="W7699" s="320"/>
    </row>
    <row r="7700" spans="23:23" x14ac:dyDescent="0.45">
      <c r="W7700" s="320"/>
    </row>
    <row r="7701" spans="23:23" x14ac:dyDescent="0.45">
      <c r="W7701" s="320"/>
    </row>
    <row r="7702" spans="23:23" x14ac:dyDescent="0.45">
      <c r="W7702" s="320"/>
    </row>
    <row r="7703" spans="23:23" x14ac:dyDescent="0.45">
      <c r="W7703" s="320"/>
    </row>
    <row r="7704" spans="23:23" x14ac:dyDescent="0.45">
      <c r="W7704" s="320"/>
    </row>
    <row r="7705" spans="23:23" x14ac:dyDescent="0.45">
      <c r="W7705" s="320"/>
    </row>
    <row r="7706" spans="23:23" x14ac:dyDescent="0.45">
      <c r="W7706" s="320"/>
    </row>
    <row r="7707" spans="23:23" x14ac:dyDescent="0.45">
      <c r="W7707" s="320"/>
    </row>
    <row r="7708" spans="23:23" x14ac:dyDescent="0.45">
      <c r="W7708" s="320"/>
    </row>
    <row r="7709" spans="23:23" x14ac:dyDescent="0.45">
      <c r="W7709" s="320"/>
    </row>
    <row r="7710" spans="23:23" x14ac:dyDescent="0.45">
      <c r="W7710" s="320"/>
    </row>
    <row r="7711" spans="23:23" x14ac:dyDescent="0.45">
      <c r="W7711" s="320"/>
    </row>
    <row r="7712" spans="23:23" x14ac:dyDescent="0.45">
      <c r="W7712" s="320"/>
    </row>
    <row r="7713" spans="23:23" x14ac:dyDescent="0.45">
      <c r="W7713" s="320"/>
    </row>
    <row r="7714" spans="23:23" x14ac:dyDescent="0.45">
      <c r="W7714" s="320"/>
    </row>
    <row r="7715" spans="23:23" x14ac:dyDescent="0.45">
      <c r="W7715" s="320"/>
    </row>
    <row r="7716" spans="23:23" x14ac:dyDescent="0.45">
      <c r="W7716" s="320"/>
    </row>
    <row r="7717" spans="23:23" x14ac:dyDescent="0.45">
      <c r="W7717" s="320"/>
    </row>
    <row r="7718" spans="23:23" x14ac:dyDescent="0.45">
      <c r="W7718" s="320"/>
    </row>
    <row r="7719" spans="23:23" x14ac:dyDescent="0.45">
      <c r="W7719" s="320"/>
    </row>
    <row r="7720" spans="23:23" x14ac:dyDescent="0.45">
      <c r="W7720" s="320"/>
    </row>
    <row r="7721" spans="23:23" x14ac:dyDescent="0.45">
      <c r="W7721" s="320"/>
    </row>
    <row r="7722" spans="23:23" x14ac:dyDescent="0.45">
      <c r="W7722" s="320"/>
    </row>
    <row r="7723" spans="23:23" x14ac:dyDescent="0.45">
      <c r="W7723" s="320"/>
    </row>
    <row r="7724" spans="23:23" x14ac:dyDescent="0.45">
      <c r="W7724" s="320"/>
    </row>
    <row r="7725" spans="23:23" x14ac:dyDescent="0.45">
      <c r="W7725" s="320"/>
    </row>
    <row r="7726" spans="23:23" x14ac:dyDescent="0.45">
      <c r="W7726" s="320"/>
    </row>
    <row r="7727" spans="23:23" x14ac:dyDescent="0.45">
      <c r="W7727" s="320"/>
    </row>
    <row r="7728" spans="23:23" x14ac:dyDescent="0.45">
      <c r="W7728" s="320"/>
    </row>
    <row r="7729" spans="23:23" x14ac:dyDescent="0.45">
      <c r="W7729" s="320"/>
    </row>
    <row r="7730" spans="23:23" x14ac:dyDescent="0.45">
      <c r="W7730" s="320"/>
    </row>
    <row r="7731" spans="23:23" x14ac:dyDescent="0.45">
      <c r="W7731" s="320"/>
    </row>
    <row r="7732" spans="23:23" x14ac:dyDescent="0.45">
      <c r="W7732" s="320"/>
    </row>
    <row r="7733" spans="23:23" x14ac:dyDescent="0.45">
      <c r="W7733" s="320"/>
    </row>
    <row r="7734" spans="23:23" x14ac:dyDescent="0.45">
      <c r="W7734" s="320"/>
    </row>
    <row r="7735" spans="23:23" x14ac:dyDescent="0.45">
      <c r="W7735" s="320"/>
    </row>
    <row r="7736" spans="23:23" x14ac:dyDescent="0.45">
      <c r="W7736" s="320"/>
    </row>
    <row r="7737" spans="23:23" x14ac:dyDescent="0.45">
      <c r="W7737" s="320"/>
    </row>
    <row r="7738" spans="23:23" x14ac:dyDescent="0.45">
      <c r="W7738" s="320"/>
    </row>
    <row r="7739" spans="23:23" x14ac:dyDescent="0.45">
      <c r="W7739" s="320"/>
    </row>
    <row r="7740" spans="23:23" x14ac:dyDescent="0.45">
      <c r="W7740" s="320"/>
    </row>
    <row r="7741" spans="23:23" x14ac:dyDescent="0.45">
      <c r="W7741" s="320"/>
    </row>
    <row r="7742" spans="23:23" x14ac:dyDescent="0.45">
      <c r="W7742" s="320"/>
    </row>
    <row r="7743" spans="23:23" x14ac:dyDescent="0.45">
      <c r="W7743" s="320"/>
    </row>
    <row r="7744" spans="23:23" x14ac:dyDescent="0.45">
      <c r="W7744" s="320"/>
    </row>
    <row r="7745" spans="23:23" x14ac:dyDescent="0.45">
      <c r="W7745" s="320"/>
    </row>
    <row r="7746" spans="23:23" x14ac:dyDescent="0.45">
      <c r="W7746" s="320"/>
    </row>
    <row r="7747" spans="23:23" x14ac:dyDescent="0.45">
      <c r="W7747" s="320"/>
    </row>
    <row r="7748" spans="23:23" x14ac:dyDescent="0.45">
      <c r="W7748" s="320"/>
    </row>
    <row r="7749" spans="23:23" x14ac:dyDescent="0.45">
      <c r="W7749" s="320"/>
    </row>
    <row r="7750" spans="23:23" x14ac:dyDescent="0.45">
      <c r="W7750" s="320"/>
    </row>
    <row r="7751" spans="23:23" x14ac:dyDescent="0.45">
      <c r="W7751" s="320"/>
    </row>
    <row r="7752" spans="23:23" x14ac:dyDescent="0.45">
      <c r="W7752" s="320"/>
    </row>
    <row r="7753" spans="23:23" x14ac:dyDescent="0.45">
      <c r="W7753" s="320"/>
    </row>
    <row r="7754" spans="23:23" x14ac:dyDescent="0.45">
      <c r="W7754" s="320"/>
    </row>
    <row r="7755" spans="23:23" x14ac:dyDescent="0.45">
      <c r="W7755" s="320"/>
    </row>
    <row r="7756" spans="23:23" x14ac:dyDescent="0.45">
      <c r="W7756" s="320"/>
    </row>
    <row r="7757" spans="23:23" x14ac:dyDescent="0.45">
      <c r="W7757" s="320"/>
    </row>
    <row r="7758" spans="23:23" x14ac:dyDescent="0.45">
      <c r="W7758" s="320"/>
    </row>
    <row r="7759" spans="23:23" x14ac:dyDescent="0.45">
      <c r="W7759" s="320"/>
    </row>
    <row r="7760" spans="23:23" x14ac:dyDescent="0.45">
      <c r="W7760" s="320"/>
    </row>
    <row r="7761" spans="23:23" x14ac:dyDescent="0.45">
      <c r="W7761" s="320"/>
    </row>
    <row r="7762" spans="23:23" x14ac:dyDescent="0.45">
      <c r="W7762" s="320"/>
    </row>
    <row r="7763" spans="23:23" x14ac:dyDescent="0.45">
      <c r="W7763" s="320"/>
    </row>
    <row r="7764" spans="23:23" x14ac:dyDescent="0.45">
      <c r="W7764" s="320"/>
    </row>
    <row r="7765" spans="23:23" x14ac:dyDescent="0.45">
      <c r="W7765" s="320"/>
    </row>
    <row r="7766" spans="23:23" x14ac:dyDescent="0.45">
      <c r="W7766" s="320"/>
    </row>
    <row r="7767" spans="23:23" x14ac:dyDescent="0.45">
      <c r="W7767" s="320"/>
    </row>
    <row r="7768" spans="23:23" x14ac:dyDescent="0.45">
      <c r="W7768" s="320"/>
    </row>
    <row r="7769" spans="23:23" x14ac:dyDescent="0.45">
      <c r="W7769" s="320"/>
    </row>
    <row r="7770" spans="23:23" x14ac:dyDescent="0.45">
      <c r="W7770" s="320"/>
    </row>
    <row r="7771" spans="23:23" x14ac:dyDescent="0.45">
      <c r="W7771" s="320"/>
    </row>
    <row r="7772" spans="23:23" x14ac:dyDescent="0.45">
      <c r="W7772" s="320"/>
    </row>
    <row r="7773" spans="23:23" x14ac:dyDescent="0.45">
      <c r="W7773" s="320"/>
    </row>
    <row r="7774" spans="23:23" x14ac:dyDescent="0.45">
      <c r="W7774" s="320"/>
    </row>
    <row r="7775" spans="23:23" x14ac:dyDescent="0.45">
      <c r="W7775" s="320"/>
    </row>
    <row r="7776" spans="23:23" x14ac:dyDescent="0.45">
      <c r="W7776" s="320"/>
    </row>
    <row r="7777" spans="23:23" x14ac:dyDescent="0.45">
      <c r="W7777" s="320"/>
    </row>
    <row r="7778" spans="23:23" x14ac:dyDescent="0.45">
      <c r="W7778" s="320"/>
    </row>
    <row r="7779" spans="23:23" x14ac:dyDescent="0.45">
      <c r="W7779" s="320"/>
    </row>
    <row r="7780" spans="23:23" x14ac:dyDescent="0.45">
      <c r="W7780" s="320"/>
    </row>
    <row r="7781" spans="23:23" x14ac:dyDescent="0.45">
      <c r="W7781" s="320"/>
    </row>
    <row r="7782" spans="23:23" x14ac:dyDescent="0.45">
      <c r="W7782" s="320"/>
    </row>
    <row r="7783" spans="23:23" x14ac:dyDescent="0.45">
      <c r="W7783" s="320"/>
    </row>
    <row r="7784" spans="23:23" x14ac:dyDescent="0.45">
      <c r="W7784" s="320"/>
    </row>
    <row r="7785" spans="23:23" x14ac:dyDescent="0.45">
      <c r="W7785" s="320"/>
    </row>
    <row r="7786" spans="23:23" x14ac:dyDescent="0.45">
      <c r="W7786" s="320"/>
    </row>
    <row r="7787" spans="23:23" x14ac:dyDescent="0.45">
      <c r="W7787" s="320"/>
    </row>
    <row r="7788" spans="23:23" x14ac:dyDescent="0.45">
      <c r="W7788" s="320"/>
    </row>
    <row r="7789" spans="23:23" x14ac:dyDescent="0.45">
      <c r="W7789" s="320"/>
    </row>
    <row r="7790" spans="23:23" x14ac:dyDescent="0.45">
      <c r="W7790" s="320"/>
    </row>
    <row r="7791" spans="23:23" x14ac:dyDescent="0.45">
      <c r="W7791" s="320"/>
    </row>
    <row r="7792" spans="23:23" x14ac:dyDescent="0.45">
      <c r="W7792" s="320"/>
    </row>
    <row r="7793" spans="23:23" x14ac:dyDescent="0.45">
      <c r="W7793" s="320"/>
    </row>
    <row r="7794" spans="23:23" x14ac:dyDescent="0.45">
      <c r="W7794" s="320"/>
    </row>
    <row r="7795" spans="23:23" x14ac:dyDescent="0.45">
      <c r="W7795" s="320"/>
    </row>
    <row r="7796" spans="23:23" x14ac:dyDescent="0.45">
      <c r="W7796" s="320"/>
    </row>
    <row r="7797" spans="23:23" x14ac:dyDescent="0.45">
      <c r="W7797" s="320"/>
    </row>
    <row r="7798" spans="23:23" x14ac:dyDescent="0.45">
      <c r="W7798" s="320"/>
    </row>
    <row r="7799" spans="23:23" x14ac:dyDescent="0.45">
      <c r="W7799" s="320"/>
    </row>
    <row r="7800" spans="23:23" x14ac:dyDescent="0.45">
      <c r="W7800" s="320"/>
    </row>
    <row r="7801" spans="23:23" x14ac:dyDescent="0.45">
      <c r="W7801" s="320"/>
    </row>
    <row r="7802" spans="23:23" x14ac:dyDescent="0.45">
      <c r="W7802" s="320"/>
    </row>
    <row r="7803" spans="23:23" x14ac:dyDescent="0.45">
      <c r="W7803" s="320"/>
    </row>
    <row r="7804" spans="23:23" x14ac:dyDescent="0.45">
      <c r="W7804" s="320"/>
    </row>
    <row r="7805" spans="23:23" x14ac:dyDescent="0.45">
      <c r="W7805" s="320"/>
    </row>
    <row r="7806" spans="23:23" x14ac:dyDescent="0.45">
      <c r="W7806" s="320"/>
    </row>
    <row r="7807" spans="23:23" x14ac:dyDescent="0.45">
      <c r="W7807" s="320"/>
    </row>
    <row r="7808" spans="23:23" x14ac:dyDescent="0.45">
      <c r="W7808" s="320"/>
    </row>
    <row r="7809" spans="23:23" x14ac:dyDescent="0.45">
      <c r="W7809" s="320"/>
    </row>
    <row r="7810" spans="23:23" x14ac:dyDescent="0.45">
      <c r="W7810" s="320"/>
    </row>
    <row r="7811" spans="23:23" x14ac:dyDescent="0.45">
      <c r="W7811" s="320"/>
    </row>
    <row r="7812" spans="23:23" x14ac:dyDescent="0.45">
      <c r="W7812" s="320"/>
    </row>
    <row r="7813" spans="23:23" x14ac:dyDescent="0.45">
      <c r="W7813" s="320"/>
    </row>
    <row r="7814" spans="23:23" x14ac:dyDescent="0.45">
      <c r="W7814" s="320"/>
    </row>
    <row r="7815" spans="23:23" x14ac:dyDescent="0.45">
      <c r="W7815" s="320"/>
    </row>
    <row r="7816" spans="23:23" x14ac:dyDescent="0.45">
      <c r="W7816" s="320"/>
    </row>
    <row r="7817" spans="23:23" x14ac:dyDescent="0.45">
      <c r="W7817" s="320"/>
    </row>
    <row r="7818" spans="23:23" x14ac:dyDescent="0.45">
      <c r="W7818" s="320"/>
    </row>
    <row r="7819" spans="23:23" x14ac:dyDescent="0.45">
      <c r="W7819" s="320"/>
    </row>
    <row r="7820" spans="23:23" x14ac:dyDescent="0.45">
      <c r="W7820" s="320"/>
    </row>
    <row r="7821" spans="23:23" x14ac:dyDescent="0.45">
      <c r="W7821" s="320"/>
    </row>
    <row r="7822" spans="23:23" x14ac:dyDescent="0.45">
      <c r="W7822" s="320"/>
    </row>
    <row r="7823" spans="23:23" x14ac:dyDescent="0.45">
      <c r="W7823" s="320"/>
    </row>
    <row r="7824" spans="23:23" x14ac:dyDescent="0.45">
      <c r="W7824" s="320"/>
    </row>
    <row r="7825" spans="23:23" x14ac:dyDescent="0.45">
      <c r="W7825" s="320"/>
    </row>
    <row r="7826" spans="23:23" x14ac:dyDescent="0.45">
      <c r="W7826" s="320"/>
    </row>
    <row r="7827" spans="23:23" x14ac:dyDescent="0.45">
      <c r="W7827" s="320"/>
    </row>
    <row r="7828" spans="23:23" x14ac:dyDescent="0.45">
      <c r="W7828" s="320"/>
    </row>
    <row r="7829" spans="23:23" x14ac:dyDescent="0.45">
      <c r="W7829" s="320"/>
    </row>
    <row r="7830" spans="23:23" x14ac:dyDescent="0.45">
      <c r="W7830" s="320"/>
    </row>
    <row r="7831" spans="23:23" x14ac:dyDescent="0.45">
      <c r="W7831" s="320"/>
    </row>
    <row r="7832" spans="23:23" x14ac:dyDescent="0.45">
      <c r="W7832" s="320"/>
    </row>
    <row r="7833" spans="23:23" x14ac:dyDescent="0.45">
      <c r="W7833" s="320"/>
    </row>
    <row r="7834" spans="23:23" x14ac:dyDescent="0.45">
      <c r="W7834" s="320"/>
    </row>
    <row r="7835" spans="23:23" x14ac:dyDescent="0.45">
      <c r="W7835" s="320"/>
    </row>
    <row r="7836" spans="23:23" x14ac:dyDescent="0.45">
      <c r="W7836" s="320"/>
    </row>
    <row r="7837" spans="23:23" x14ac:dyDescent="0.45">
      <c r="W7837" s="320"/>
    </row>
    <row r="7838" spans="23:23" x14ac:dyDescent="0.45">
      <c r="W7838" s="320"/>
    </row>
    <row r="7839" spans="23:23" x14ac:dyDescent="0.45">
      <c r="W7839" s="320"/>
    </row>
    <row r="7840" spans="23:23" x14ac:dyDescent="0.45">
      <c r="W7840" s="320"/>
    </row>
    <row r="7841" spans="23:23" x14ac:dyDescent="0.45">
      <c r="W7841" s="320"/>
    </row>
    <row r="7842" spans="23:23" x14ac:dyDescent="0.45">
      <c r="W7842" s="320"/>
    </row>
    <row r="7843" spans="23:23" x14ac:dyDescent="0.45">
      <c r="W7843" s="320"/>
    </row>
    <row r="7844" spans="23:23" x14ac:dyDescent="0.45">
      <c r="W7844" s="320"/>
    </row>
    <row r="7845" spans="23:23" x14ac:dyDescent="0.45">
      <c r="W7845" s="320"/>
    </row>
    <row r="7846" spans="23:23" x14ac:dyDescent="0.45">
      <c r="W7846" s="320"/>
    </row>
    <row r="7847" spans="23:23" x14ac:dyDescent="0.45">
      <c r="W7847" s="320"/>
    </row>
    <row r="7848" spans="23:23" x14ac:dyDescent="0.45">
      <c r="W7848" s="320"/>
    </row>
    <row r="7849" spans="23:23" x14ac:dyDescent="0.45">
      <c r="W7849" s="320"/>
    </row>
    <row r="7850" spans="23:23" x14ac:dyDescent="0.45">
      <c r="W7850" s="320"/>
    </row>
    <row r="7851" spans="23:23" x14ac:dyDescent="0.45">
      <c r="W7851" s="320"/>
    </row>
    <row r="7852" spans="23:23" x14ac:dyDescent="0.45">
      <c r="W7852" s="320"/>
    </row>
    <row r="7853" spans="23:23" x14ac:dyDescent="0.45">
      <c r="W7853" s="320"/>
    </row>
    <row r="7854" spans="23:23" x14ac:dyDescent="0.45">
      <c r="W7854" s="320"/>
    </row>
    <row r="7855" spans="23:23" x14ac:dyDescent="0.45">
      <c r="W7855" s="320"/>
    </row>
    <row r="7856" spans="23:23" x14ac:dyDescent="0.45">
      <c r="W7856" s="320"/>
    </row>
    <row r="7857" spans="23:23" x14ac:dyDescent="0.45">
      <c r="W7857" s="320"/>
    </row>
    <row r="7858" spans="23:23" x14ac:dyDescent="0.45">
      <c r="W7858" s="320"/>
    </row>
    <row r="7859" spans="23:23" x14ac:dyDescent="0.45">
      <c r="W7859" s="320"/>
    </row>
    <row r="7860" spans="23:23" x14ac:dyDescent="0.45">
      <c r="W7860" s="320"/>
    </row>
    <row r="7861" spans="23:23" x14ac:dyDescent="0.45">
      <c r="W7861" s="320"/>
    </row>
    <row r="7862" spans="23:23" x14ac:dyDescent="0.45">
      <c r="W7862" s="320"/>
    </row>
    <row r="7863" spans="23:23" x14ac:dyDescent="0.45">
      <c r="W7863" s="320"/>
    </row>
    <row r="7864" spans="23:23" x14ac:dyDescent="0.45">
      <c r="W7864" s="320"/>
    </row>
    <row r="7865" spans="23:23" x14ac:dyDescent="0.45">
      <c r="W7865" s="320"/>
    </row>
    <row r="7866" spans="23:23" x14ac:dyDescent="0.45">
      <c r="W7866" s="320"/>
    </row>
    <row r="7867" spans="23:23" x14ac:dyDescent="0.45">
      <c r="W7867" s="320"/>
    </row>
    <row r="7868" spans="23:23" x14ac:dyDescent="0.45">
      <c r="W7868" s="320"/>
    </row>
    <row r="7869" spans="23:23" x14ac:dyDescent="0.45">
      <c r="W7869" s="320"/>
    </row>
    <row r="7870" spans="23:23" x14ac:dyDescent="0.45">
      <c r="W7870" s="320"/>
    </row>
    <row r="7871" spans="23:23" x14ac:dyDescent="0.45">
      <c r="W7871" s="320"/>
    </row>
    <row r="7872" spans="23:23" x14ac:dyDescent="0.45">
      <c r="W7872" s="320"/>
    </row>
    <row r="7873" spans="23:23" x14ac:dyDescent="0.45">
      <c r="W7873" s="320"/>
    </row>
    <row r="7874" spans="23:23" x14ac:dyDescent="0.45">
      <c r="W7874" s="320"/>
    </row>
    <row r="7875" spans="23:23" x14ac:dyDescent="0.45">
      <c r="W7875" s="320"/>
    </row>
    <row r="7876" spans="23:23" x14ac:dyDescent="0.45">
      <c r="W7876" s="320"/>
    </row>
    <row r="7877" spans="23:23" x14ac:dyDescent="0.45">
      <c r="W7877" s="320"/>
    </row>
    <row r="7878" spans="23:23" x14ac:dyDescent="0.45">
      <c r="W7878" s="320"/>
    </row>
    <row r="7879" spans="23:23" x14ac:dyDescent="0.45">
      <c r="W7879" s="320"/>
    </row>
    <row r="7880" spans="23:23" x14ac:dyDescent="0.45">
      <c r="W7880" s="320"/>
    </row>
    <row r="7881" spans="23:23" x14ac:dyDescent="0.45">
      <c r="W7881" s="320"/>
    </row>
    <row r="7882" spans="23:23" x14ac:dyDescent="0.45">
      <c r="W7882" s="320"/>
    </row>
    <row r="7883" spans="23:23" x14ac:dyDescent="0.45">
      <c r="W7883" s="320"/>
    </row>
    <row r="7884" spans="23:23" x14ac:dyDescent="0.45">
      <c r="W7884" s="320"/>
    </row>
    <row r="7885" spans="23:23" x14ac:dyDescent="0.45">
      <c r="W7885" s="320"/>
    </row>
    <row r="7886" spans="23:23" x14ac:dyDescent="0.45">
      <c r="W7886" s="320"/>
    </row>
    <row r="7887" spans="23:23" x14ac:dyDescent="0.45">
      <c r="W7887" s="320"/>
    </row>
    <row r="7888" spans="23:23" x14ac:dyDescent="0.45">
      <c r="W7888" s="320"/>
    </row>
    <row r="7889" spans="23:23" x14ac:dyDescent="0.45">
      <c r="W7889" s="320"/>
    </row>
    <row r="7890" spans="23:23" x14ac:dyDescent="0.45">
      <c r="W7890" s="320"/>
    </row>
    <row r="7891" spans="23:23" x14ac:dyDescent="0.45">
      <c r="W7891" s="320"/>
    </row>
    <row r="7892" spans="23:23" x14ac:dyDescent="0.45">
      <c r="W7892" s="320"/>
    </row>
    <row r="7893" spans="23:23" x14ac:dyDescent="0.45">
      <c r="W7893" s="320"/>
    </row>
    <row r="7894" spans="23:23" x14ac:dyDescent="0.45">
      <c r="W7894" s="320"/>
    </row>
    <row r="7895" spans="23:23" x14ac:dyDescent="0.45">
      <c r="W7895" s="320"/>
    </row>
    <row r="7896" spans="23:23" x14ac:dyDescent="0.45">
      <c r="W7896" s="320"/>
    </row>
    <row r="7897" spans="23:23" x14ac:dyDescent="0.45">
      <c r="W7897" s="320"/>
    </row>
    <row r="7898" spans="23:23" x14ac:dyDescent="0.45">
      <c r="W7898" s="320"/>
    </row>
    <row r="7899" spans="23:23" x14ac:dyDescent="0.45">
      <c r="W7899" s="320"/>
    </row>
    <row r="7900" spans="23:23" x14ac:dyDescent="0.45">
      <c r="W7900" s="320"/>
    </row>
    <row r="7901" spans="23:23" x14ac:dyDescent="0.45">
      <c r="W7901" s="320"/>
    </row>
    <row r="7902" spans="23:23" x14ac:dyDescent="0.45">
      <c r="W7902" s="320"/>
    </row>
    <row r="7903" spans="23:23" x14ac:dyDescent="0.45">
      <c r="W7903" s="320"/>
    </row>
    <row r="7904" spans="23:23" x14ac:dyDescent="0.45">
      <c r="W7904" s="320"/>
    </row>
    <row r="7905" spans="23:23" x14ac:dyDescent="0.45">
      <c r="W7905" s="320"/>
    </row>
    <row r="7906" spans="23:23" x14ac:dyDescent="0.45">
      <c r="W7906" s="320"/>
    </row>
    <row r="7907" spans="23:23" x14ac:dyDescent="0.45">
      <c r="W7907" s="320"/>
    </row>
    <row r="7908" spans="23:23" x14ac:dyDescent="0.45">
      <c r="W7908" s="320"/>
    </row>
    <row r="7909" spans="23:23" x14ac:dyDescent="0.45">
      <c r="W7909" s="320"/>
    </row>
    <row r="7910" spans="23:23" x14ac:dyDescent="0.45">
      <c r="W7910" s="320"/>
    </row>
    <row r="7911" spans="23:23" x14ac:dyDescent="0.45">
      <c r="W7911" s="320"/>
    </row>
    <row r="7912" spans="23:23" x14ac:dyDescent="0.45">
      <c r="W7912" s="320"/>
    </row>
    <row r="7913" spans="23:23" x14ac:dyDescent="0.45">
      <c r="W7913" s="320"/>
    </row>
    <row r="7914" spans="23:23" x14ac:dyDescent="0.45">
      <c r="W7914" s="320"/>
    </row>
    <row r="7915" spans="23:23" x14ac:dyDescent="0.45">
      <c r="W7915" s="320"/>
    </row>
    <row r="7916" spans="23:23" x14ac:dyDescent="0.45">
      <c r="W7916" s="320"/>
    </row>
    <row r="7917" spans="23:23" x14ac:dyDescent="0.45">
      <c r="W7917" s="320"/>
    </row>
    <row r="7918" spans="23:23" x14ac:dyDescent="0.45">
      <c r="W7918" s="320"/>
    </row>
    <row r="7919" spans="23:23" x14ac:dyDescent="0.45">
      <c r="W7919" s="320"/>
    </row>
    <row r="7920" spans="23:23" x14ac:dyDescent="0.45">
      <c r="W7920" s="320"/>
    </row>
    <row r="7921" spans="23:23" x14ac:dyDescent="0.45">
      <c r="W7921" s="320"/>
    </row>
    <row r="7922" spans="23:23" x14ac:dyDescent="0.45">
      <c r="W7922" s="320"/>
    </row>
    <row r="7923" spans="23:23" x14ac:dyDescent="0.45">
      <c r="W7923" s="320"/>
    </row>
    <row r="7924" spans="23:23" x14ac:dyDescent="0.45">
      <c r="W7924" s="320"/>
    </row>
    <row r="7925" spans="23:23" x14ac:dyDescent="0.45">
      <c r="W7925" s="320"/>
    </row>
    <row r="7926" spans="23:23" x14ac:dyDescent="0.45">
      <c r="W7926" s="320"/>
    </row>
    <row r="7927" spans="23:23" x14ac:dyDescent="0.45">
      <c r="W7927" s="320"/>
    </row>
    <row r="7928" spans="23:23" x14ac:dyDescent="0.45">
      <c r="W7928" s="320"/>
    </row>
    <row r="7929" spans="23:23" x14ac:dyDescent="0.45">
      <c r="W7929" s="320"/>
    </row>
    <row r="7930" spans="23:23" x14ac:dyDescent="0.45">
      <c r="W7930" s="320"/>
    </row>
    <row r="7931" spans="23:23" x14ac:dyDescent="0.45">
      <c r="W7931" s="320"/>
    </row>
    <row r="7932" spans="23:23" x14ac:dyDescent="0.45">
      <c r="W7932" s="320"/>
    </row>
    <row r="7933" spans="23:23" x14ac:dyDescent="0.45">
      <c r="W7933" s="320"/>
    </row>
    <row r="7934" spans="23:23" x14ac:dyDescent="0.45">
      <c r="W7934" s="320"/>
    </row>
    <row r="7935" spans="23:23" x14ac:dyDescent="0.45">
      <c r="W7935" s="320"/>
    </row>
    <row r="7936" spans="23:23" x14ac:dyDescent="0.45">
      <c r="W7936" s="320"/>
    </row>
    <row r="7937" spans="23:23" x14ac:dyDescent="0.45">
      <c r="W7937" s="320"/>
    </row>
    <row r="7938" spans="23:23" x14ac:dyDescent="0.45">
      <c r="W7938" s="320"/>
    </row>
    <row r="7939" spans="23:23" x14ac:dyDescent="0.45">
      <c r="W7939" s="320"/>
    </row>
    <row r="7940" spans="23:23" x14ac:dyDescent="0.45">
      <c r="W7940" s="320"/>
    </row>
    <row r="7941" spans="23:23" x14ac:dyDescent="0.45">
      <c r="W7941" s="320"/>
    </row>
    <row r="7942" spans="23:23" x14ac:dyDescent="0.45">
      <c r="W7942" s="320"/>
    </row>
    <row r="7943" spans="23:23" x14ac:dyDescent="0.45">
      <c r="W7943" s="320"/>
    </row>
    <row r="7944" spans="23:23" x14ac:dyDescent="0.45">
      <c r="W7944" s="320"/>
    </row>
    <row r="7945" spans="23:23" x14ac:dyDescent="0.45">
      <c r="W7945" s="320"/>
    </row>
    <row r="7946" spans="23:23" x14ac:dyDescent="0.45">
      <c r="W7946" s="320"/>
    </row>
    <row r="7947" spans="23:23" x14ac:dyDescent="0.45">
      <c r="W7947" s="320"/>
    </row>
    <row r="7948" spans="23:23" x14ac:dyDescent="0.45">
      <c r="W7948" s="320"/>
    </row>
    <row r="7949" spans="23:23" x14ac:dyDescent="0.45">
      <c r="W7949" s="320"/>
    </row>
    <row r="7950" spans="23:23" x14ac:dyDescent="0.45">
      <c r="W7950" s="320"/>
    </row>
    <row r="7951" spans="23:23" x14ac:dyDescent="0.45">
      <c r="W7951" s="320"/>
    </row>
    <row r="7952" spans="23:23" x14ac:dyDescent="0.45">
      <c r="W7952" s="320"/>
    </row>
    <row r="7953" spans="23:23" x14ac:dyDescent="0.45">
      <c r="W7953" s="320"/>
    </row>
    <row r="7954" spans="23:23" x14ac:dyDescent="0.45">
      <c r="W7954" s="320"/>
    </row>
    <row r="7955" spans="23:23" x14ac:dyDescent="0.45">
      <c r="W7955" s="320"/>
    </row>
    <row r="7956" spans="23:23" x14ac:dyDescent="0.45">
      <c r="W7956" s="320"/>
    </row>
    <row r="7957" spans="23:23" x14ac:dyDescent="0.45">
      <c r="W7957" s="320"/>
    </row>
    <row r="7958" spans="23:23" x14ac:dyDescent="0.45">
      <c r="W7958" s="320"/>
    </row>
    <row r="7959" spans="23:23" x14ac:dyDescent="0.45">
      <c r="W7959" s="320"/>
    </row>
    <row r="7960" spans="23:23" x14ac:dyDescent="0.45">
      <c r="W7960" s="320"/>
    </row>
    <row r="7961" spans="23:23" x14ac:dyDescent="0.45">
      <c r="W7961" s="320"/>
    </row>
    <row r="7962" spans="23:23" x14ac:dyDescent="0.45">
      <c r="W7962" s="320"/>
    </row>
    <row r="7963" spans="23:23" x14ac:dyDescent="0.45">
      <c r="W7963" s="320"/>
    </row>
    <row r="7964" spans="23:23" x14ac:dyDescent="0.45">
      <c r="W7964" s="320"/>
    </row>
    <row r="7965" spans="23:23" x14ac:dyDescent="0.45">
      <c r="W7965" s="320"/>
    </row>
    <row r="7966" spans="23:23" x14ac:dyDescent="0.45">
      <c r="W7966" s="320"/>
    </row>
    <row r="7967" spans="23:23" x14ac:dyDescent="0.45">
      <c r="W7967" s="320"/>
    </row>
    <row r="7968" spans="23:23" x14ac:dyDescent="0.45">
      <c r="W7968" s="320"/>
    </row>
    <row r="7969" spans="23:23" x14ac:dyDescent="0.45">
      <c r="W7969" s="320"/>
    </row>
    <row r="7970" spans="23:23" x14ac:dyDescent="0.45">
      <c r="W7970" s="320"/>
    </row>
    <row r="7971" spans="23:23" x14ac:dyDescent="0.45">
      <c r="W7971" s="320"/>
    </row>
    <row r="7972" spans="23:23" x14ac:dyDescent="0.45">
      <c r="W7972" s="320"/>
    </row>
    <row r="7973" spans="23:23" x14ac:dyDescent="0.45">
      <c r="W7973" s="320"/>
    </row>
    <row r="7974" spans="23:23" x14ac:dyDescent="0.45">
      <c r="W7974" s="320"/>
    </row>
    <row r="7975" spans="23:23" x14ac:dyDescent="0.45">
      <c r="W7975" s="320"/>
    </row>
    <row r="7976" spans="23:23" x14ac:dyDescent="0.45">
      <c r="W7976" s="320"/>
    </row>
    <row r="7977" spans="23:23" x14ac:dyDescent="0.45">
      <c r="W7977" s="320"/>
    </row>
    <row r="7978" spans="23:23" x14ac:dyDescent="0.45">
      <c r="W7978" s="320"/>
    </row>
    <row r="7979" spans="23:23" x14ac:dyDescent="0.45">
      <c r="W7979" s="320"/>
    </row>
    <row r="7980" spans="23:23" x14ac:dyDescent="0.45">
      <c r="W7980" s="320"/>
    </row>
    <row r="7981" spans="23:23" x14ac:dyDescent="0.45">
      <c r="W7981" s="320"/>
    </row>
    <row r="7982" spans="23:23" x14ac:dyDescent="0.45">
      <c r="W7982" s="320"/>
    </row>
    <row r="7983" spans="23:23" x14ac:dyDescent="0.45">
      <c r="W7983" s="320"/>
    </row>
    <row r="7984" spans="23:23" x14ac:dyDescent="0.45">
      <c r="W7984" s="320"/>
    </row>
    <row r="7985" spans="23:23" x14ac:dyDescent="0.45">
      <c r="W7985" s="320"/>
    </row>
    <row r="7986" spans="23:23" x14ac:dyDescent="0.45">
      <c r="W7986" s="320"/>
    </row>
    <row r="7987" spans="23:23" x14ac:dyDescent="0.45">
      <c r="W7987" s="320"/>
    </row>
    <row r="7988" spans="23:23" x14ac:dyDescent="0.45">
      <c r="W7988" s="320"/>
    </row>
    <row r="7989" spans="23:23" x14ac:dyDescent="0.45">
      <c r="W7989" s="320"/>
    </row>
    <row r="7990" spans="23:23" x14ac:dyDescent="0.45">
      <c r="W7990" s="320"/>
    </row>
    <row r="7991" spans="23:23" x14ac:dyDescent="0.45">
      <c r="W7991" s="320"/>
    </row>
    <row r="7992" spans="23:23" x14ac:dyDescent="0.45">
      <c r="W7992" s="320"/>
    </row>
    <row r="7993" spans="23:23" x14ac:dyDescent="0.45">
      <c r="W7993" s="320"/>
    </row>
    <row r="7994" spans="23:23" x14ac:dyDescent="0.45">
      <c r="W7994" s="320"/>
    </row>
    <row r="7995" spans="23:23" x14ac:dyDescent="0.45">
      <c r="W7995" s="320"/>
    </row>
    <row r="7996" spans="23:23" x14ac:dyDescent="0.45">
      <c r="W7996" s="320"/>
    </row>
    <row r="7997" spans="23:23" x14ac:dyDescent="0.45">
      <c r="W7997" s="320"/>
    </row>
    <row r="7998" spans="23:23" x14ac:dyDescent="0.45">
      <c r="W7998" s="320"/>
    </row>
    <row r="7999" spans="23:23" x14ac:dyDescent="0.45">
      <c r="W7999" s="320"/>
    </row>
    <row r="8000" spans="23:23" x14ac:dyDescent="0.45">
      <c r="W8000" s="320"/>
    </row>
    <row r="8001" spans="23:23" x14ac:dyDescent="0.45">
      <c r="W8001" s="320"/>
    </row>
    <row r="8002" spans="23:23" x14ac:dyDescent="0.45">
      <c r="W8002" s="320"/>
    </row>
    <row r="8003" spans="23:23" x14ac:dyDescent="0.45">
      <c r="W8003" s="320"/>
    </row>
    <row r="8004" spans="23:23" x14ac:dyDescent="0.45">
      <c r="W8004" s="320"/>
    </row>
    <row r="8005" spans="23:23" x14ac:dyDescent="0.45">
      <c r="W8005" s="320"/>
    </row>
    <row r="8006" spans="23:23" x14ac:dyDescent="0.45">
      <c r="W8006" s="320"/>
    </row>
    <row r="8007" spans="23:23" x14ac:dyDescent="0.45">
      <c r="W8007" s="320"/>
    </row>
    <row r="8008" spans="23:23" x14ac:dyDescent="0.45">
      <c r="W8008" s="320"/>
    </row>
    <row r="8009" spans="23:23" x14ac:dyDescent="0.45">
      <c r="W8009" s="320"/>
    </row>
    <row r="8010" spans="23:23" x14ac:dyDescent="0.45">
      <c r="W8010" s="320"/>
    </row>
    <row r="8011" spans="23:23" x14ac:dyDescent="0.45">
      <c r="W8011" s="320"/>
    </row>
    <row r="8012" spans="23:23" x14ac:dyDescent="0.45">
      <c r="W8012" s="320"/>
    </row>
    <row r="8013" spans="23:23" x14ac:dyDescent="0.45">
      <c r="W8013" s="320"/>
    </row>
    <row r="8014" spans="23:23" x14ac:dyDescent="0.45">
      <c r="W8014" s="320"/>
    </row>
    <row r="8015" spans="23:23" x14ac:dyDescent="0.45">
      <c r="W8015" s="320"/>
    </row>
    <row r="8016" spans="23:23" x14ac:dyDescent="0.45">
      <c r="W8016" s="320"/>
    </row>
    <row r="8017" spans="23:23" x14ac:dyDescent="0.45">
      <c r="W8017" s="320"/>
    </row>
    <row r="8018" spans="23:23" x14ac:dyDescent="0.45">
      <c r="W8018" s="320"/>
    </row>
    <row r="8019" spans="23:23" x14ac:dyDescent="0.45">
      <c r="W8019" s="320"/>
    </row>
    <row r="8020" spans="23:23" x14ac:dyDescent="0.45">
      <c r="W8020" s="320"/>
    </row>
    <row r="8021" spans="23:23" x14ac:dyDescent="0.45">
      <c r="W8021" s="320"/>
    </row>
    <row r="8022" spans="23:23" x14ac:dyDescent="0.45">
      <c r="W8022" s="320"/>
    </row>
    <row r="8023" spans="23:23" x14ac:dyDescent="0.45">
      <c r="W8023" s="320"/>
    </row>
    <row r="8024" spans="23:23" x14ac:dyDescent="0.45">
      <c r="W8024" s="320"/>
    </row>
    <row r="8025" spans="23:23" x14ac:dyDescent="0.45">
      <c r="W8025" s="320"/>
    </row>
    <row r="8026" spans="23:23" x14ac:dyDescent="0.45">
      <c r="W8026" s="320"/>
    </row>
    <row r="8027" spans="23:23" x14ac:dyDescent="0.45">
      <c r="W8027" s="320"/>
    </row>
    <row r="8028" spans="23:23" x14ac:dyDescent="0.45">
      <c r="W8028" s="320"/>
    </row>
    <row r="8029" spans="23:23" x14ac:dyDescent="0.45">
      <c r="W8029" s="320"/>
    </row>
    <row r="8030" spans="23:23" x14ac:dyDescent="0.45">
      <c r="W8030" s="320"/>
    </row>
    <row r="8031" spans="23:23" x14ac:dyDescent="0.45">
      <c r="W8031" s="320"/>
    </row>
    <row r="8032" spans="23:23" x14ac:dyDescent="0.45">
      <c r="W8032" s="320"/>
    </row>
    <row r="8033" spans="23:23" x14ac:dyDescent="0.45">
      <c r="W8033" s="320"/>
    </row>
    <row r="8034" spans="23:23" x14ac:dyDescent="0.45">
      <c r="W8034" s="320"/>
    </row>
    <row r="8035" spans="23:23" x14ac:dyDescent="0.45">
      <c r="W8035" s="320"/>
    </row>
    <row r="8036" spans="23:23" x14ac:dyDescent="0.45">
      <c r="W8036" s="320"/>
    </row>
    <row r="8037" spans="23:23" x14ac:dyDescent="0.45">
      <c r="W8037" s="320"/>
    </row>
    <row r="8038" spans="23:23" x14ac:dyDescent="0.45">
      <c r="W8038" s="320"/>
    </row>
    <row r="8039" spans="23:23" x14ac:dyDescent="0.45">
      <c r="W8039" s="320"/>
    </row>
    <row r="8040" spans="23:23" x14ac:dyDescent="0.45">
      <c r="W8040" s="320"/>
    </row>
    <row r="8041" spans="23:23" x14ac:dyDescent="0.45">
      <c r="W8041" s="320"/>
    </row>
    <row r="8042" spans="23:23" x14ac:dyDescent="0.45">
      <c r="W8042" s="320"/>
    </row>
    <row r="8043" spans="23:23" x14ac:dyDescent="0.45">
      <c r="W8043" s="320"/>
    </row>
    <row r="8044" spans="23:23" x14ac:dyDescent="0.45">
      <c r="W8044" s="320"/>
    </row>
    <row r="8045" spans="23:23" x14ac:dyDescent="0.45">
      <c r="W8045" s="320"/>
    </row>
    <row r="8046" spans="23:23" x14ac:dyDescent="0.45">
      <c r="W8046" s="320"/>
    </row>
    <row r="8047" spans="23:23" x14ac:dyDescent="0.45">
      <c r="W8047" s="320"/>
    </row>
    <row r="8048" spans="23:23" x14ac:dyDescent="0.45">
      <c r="W8048" s="320"/>
    </row>
    <row r="8049" spans="23:23" x14ac:dyDescent="0.45">
      <c r="W8049" s="320"/>
    </row>
    <row r="8050" spans="23:23" x14ac:dyDescent="0.45">
      <c r="W8050" s="320"/>
    </row>
    <row r="8051" spans="23:23" x14ac:dyDescent="0.45">
      <c r="W8051" s="320"/>
    </row>
    <row r="8052" spans="23:23" x14ac:dyDescent="0.45">
      <c r="W8052" s="320"/>
    </row>
    <row r="8053" spans="23:23" x14ac:dyDescent="0.45">
      <c r="W8053" s="320"/>
    </row>
    <row r="8054" spans="23:23" x14ac:dyDescent="0.45">
      <c r="W8054" s="320"/>
    </row>
    <row r="8055" spans="23:23" x14ac:dyDescent="0.45">
      <c r="W8055" s="320"/>
    </row>
    <row r="8056" spans="23:23" x14ac:dyDescent="0.45">
      <c r="W8056" s="320"/>
    </row>
    <row r="8057" spans="23:23" x14ac:dyDescent="0.45">
      <c r="W8057" s="320"/>
    </row>
    <row r="8058" spans="23:23" x14ac:dyDescent="0.45">
      <c r="W8058" s="320"/>
    </row>
    <row r="8059" spans="23:23" x14ac:dyDescent="0.45">
      <c r="W8059" s="320"/>
    </row>
    <row r="8060" spans="23:23" x14ac:dyDescent="0.45">
      <c r="W8060" s="320"/>
    </row>
    <row r="8061" spans="23:23" x14ac:dyDescent="0.45">
      <c r="W8061" s="320"/>
    </row>
    <row r="8062" spans="23:23" x14ac:dyDescent="0.45">
      <c r="W8062" s="320"/>
    </row>
    <row r="8063" spans="23:23" x14ac:dyDescent="0.45">
      <c r="W8063" s="320"/>
    </row>
    <row r="8064" spans="23:23" x14ac:dyDescent="0.45">
      <c r="W8064" s="320"/>
    </row>
    <row r="8065" spans="23:23" x14ac:dyDescent="0.45">
      <c r="W8065" s="320"/>
    </row>
    <row r="8066" spans="23:23" x14ac:dyDescent="0.45">
      <c r="W8066" s="320"/>
    </row>
    <row r="8067" spans="23:23" x14ac:dyDescent="0.45">
      <c r="W8067" s="320"/>
    </row>
    <row r="8068" spans="23:23" x14ac:dyDescent="0.45">
      <c r="W8068" s="320"/>
    </row>
    <row r="8069" spans="23:23" x14ac:dyDescent="0.45">
      <c r="W8069" s="320"/>
    </row>
    <row r="8070" spans="23:23" x14ac:dyDescent="0.45">
      <c r="W8070" s="320"/>
    </row>
    <row r="8071" spans="23:23" x14ac:dyDescent="0.45">
      <c r="W8071" s="320"/>
    </row>
    <row r="8072" spans="23:23" x14ac:dyDescent="0.45">
      <c r="W8072" s="320"/>
    </row>
    <row r="8073" spans="23:23" x14ac:dyDescent="0.45">
      <c r="W8073" s="320"/>
    </row>
    <row r="8074" spans="23:23" x14ac:dyDescent="0.45">
      <c r="W8074" s="320"/>
    </row>
    <row r="8075" spans="23:23" x14ac:dyDescent="0.45">
      <c r="W8075" s="320"/>
    </row>
    <row r="8076" spans="23:23" x14ac:dyDescent="0.45">
      <c r="W8076" s="320"/>
    </row>
    <row r="8077" spans="23:23" x14ac:dyDescent="0.45">
      <c r="W8077" s="320"/>
    </row>
    <row r="8078" spans="23:23" x14ac:dyDescent="0.45">
      <c r="W8078" s="320"/>
    </row>
    <row r="8079" spans="23:23" x14ac:dyDescent="0.45">
      <c r="W8079" s="320"/>
    </row>
    <row r="8080" spans="23:23" x14ac:dyDescent="0.45">
      <c r="W8080" s="320"/>
    </row>
    <row r="8081" spans="23:23" x14ac:dyDescent="0.45">
      <c r="W8081" s="320"/>
    </row>
    <row r="8082" spans="23:23" x14ac:dyDescent="0.45">
      <c r="W8082" s="320"/>
    </row>
    <row r="8083" spans="23:23" x14ac:dyDescent="0.45">
      <c r="W8083" s="320"/>
    </row>
    <row r="8084" spans="23:23" x14ac:dyDescent="0.45">
      <c r="W8084" s="320"/>
    </row>
    <row r="8085" spans="23:23" x14ac:dyDescent="0.45">
      <c r="W8085" s="320"/>
    </row>
    <row r="8086" spans="23:23" x14ac:dyDescent="0.45">
      <c r="W8086" s="320"/>
    </row>
    <row r="8087" spans="23:23" x14ac:dyDescent="0.45">
      <c r="W8087" s="320"/>
    </row>
    <row r="8088" spans="23:23" x14ac:dyDescent="0.45">
      <c r="W8088" s="320"/>
    </row>
    <row r="8089" spans="23:23" x14ac:dyDescent="0.45">
      <c r="W8089" s="320"/>
    </row>
    <row r="8090" spans="23:23" x14ac:dyDescent="0.45">
      <c r="W8090" s="320"/>
    </row>
    <row r="8091" spans="23:23" x14ac:dyDescent="0.45">
      <c r="W8091" s="320"/>
    </row>
    <row r="8092" spans="23:23" x14ac:dyDescent="0.45">
      <c r="W8092" s="320"/>
    </row>
    <row r="8093" spans="23:23" x14ac:dyDescent="0.45">
      <c r="W8093" s="320"/>
    </row>
    <row r="8094" spans="23:23" x14ac:dyDescent="0.45">
      <c r="W8094" s="320"/>
    </row>
    <row r="8095" spans="23:23" x14ac:dyDescent="0.45">
      <c r="W8095" s="320"/>
    </row>
    <row r="8096" spans="23:23" x14ac:dyDescent="0.45">
      <c r="W8096" s="320"/>
    </row>
    <row r="8097" spans="23:23" x14ac:dyDescent="0.45">
      <c r="W8097" s="320"/>
    </row>
    <row r="8098" spans="23:23" x14ac:dyDescent="0.45">
      <c r="W8098" s="320"/>
    </row>
    <row r="8099" spans="23:23" x14ac:dyDescent="0.45">
      <c r="W8099" s="320"/>
    </row>
    <row r="8100" spans="23:23" x14ac:dyDescent="0.45">
      <c r="W8100" s="320"/>
    </row>
    <row r="8101" spans="23:23" x14ac:dyDescent="0.45">
      <c r="W8101" s="320"/>
    </row>
    <row r="8102" spans="23:23" x14ac:dyDescent="0.45">
      <c r="W8102" s="320"/>
    </row>
    <row r="8103" spans="23:23" x14ac:dyDescent="0.45">
      <c r="W8103" s="320"/>
    </row>
    <row r="8104" spans="23:23" x14ac:dyDescent="0.45">
      <c r="W8104" s="320"/>
    </row>
    <row r="8105" spans="23:23" x14ac:dyDescent="0.45">
      <c r="W8105" s="320"/>
    </row>
    <row r="8106" spans="23:23" x14ac:dyDescent="0.45">
      <c r="W8106" s="320"/>
    </row>
    <row r="8107" spans="23:23" x14ac:dyDescent="0.45">
      <c r="W8107" s="320"/>
    </row>
    <row r="8108" spans="23:23" x14ac:dyDescent="0.45">
      <c r="W8108" s="320"/>
    </row>
    <row r="8109" spans="23:23" x14ac:dyDescent="0.45">
      <c r="W8109" s="320"/>
    </row>
    <row r="8110" spans="23:23" x14ac:dyDescent="0.45">
      <c r="W8110" s="320"/>
    </row>
    <row r="8111" spans="23:23" x14ac:dyDescent="0.45">
      <c r="W8111" s="320"/>
    </row>
    <row r="8112" spans="23:23" x14ac:dyDescent="0.45">
      <c r="W8112" s="320"/>
    </row>
    <row r="8113" spans="23:23" x14ac:dyDescent="0.45">
      <c r="W8113" s="320"/>
    </row>
    <row r="8114" spans="23:23" x14ac:dyDescent="0.45">
      <c r="W8114" s="320"/>
    </row>
    <row r="8115" spans="23:23" x14ac:dyDescent="0.45">
      <c r="W8115" s="320"/>
    </row>
    <row r="8116" spans="23:23" x14ac:dyDescent="0.45">
      <c r="W8116" s="320"/>
    </row>
    <row r="8117" spans="23:23" x14ac:dyDescent="0.45">
      <c r="W8117" s="320"/>
    </row>
    <row r="8118" spans="23:23" x14ac:dyDescent="0.45">
      <c r="W8118" s="320"/>
    </row>
    <row r="8119" spans="23:23" x14ac:dyDescent="0.45">
      <c r="W8119" s="320"/>
    </row>
    <row r="8120" spans="23:23" x14ac:dyDescent="0.45">
      <c r="W8120" s="320"/>
    </row>
    <row r="8121" spans="23:23" x14ac:dyDescent="0.45">
      <c r="W8121" s="320"/>
    </row>
    <row r="8122" spans="23:23" x14ac:dyDescent="0.45">
      <c r="W8122" s="320"/>
    </row>
    <row r="8123" spans="23:23" x14ac:dyDescent="0.45">
      <c r="W8123" s="320"/>
    </row>
    <row r="8124" spans="23:23" x14ac:dyDescent="0.45">
      <c r="W8124" s="320"/>
    </row>
    <row r="8125" spans="23:23" x14ac:dyDescent="0.45">
      <c r="W8125" s="320"/>
    </row>
    <row r="8126" spans="23:23" x14ac:dyDescent="0.45">
      <c r="W8126" s="320"/>
    </row>
    <row r="8127" spans="23:23" x14ac:dyDescent="0.45">
      <c r="W8127" s="320"/>
    </row>
    <row r="8128" spans="23:23" x14ac:dyDescent="0.45">
      <c r="W8128" s="320"/>
    </row>
    <row r="8129" spans="23:23" x14ac:dyDescent="0.45">
      <c r="W8129" s="320"/>
    </row>
    <row r="8130" spans="23:23" x14ac:dyDescent="0.45">
      <c r="W8130" s="320"/>
    </row>
    <row r="8131" spans="23:23" x14ac:dyDescent="0.45">
      <c r="W8131" s="320"/>
    </row>
    <row r="8132" spans="23:23" x14ac:dyDescent="0.45">
      <c r="W8132" s="320"/>
    </row>
    <row r="8133" spans="23:23" x14ac:dyDescent="0.45">
      <c r="W8133" s="320"/>
    </row>
    <row r="8134" spans="23:23" x14ac:dyDescent="0.45">
      <c r="W8134" s="320"/>
    </row>
    <row r="8135" spans="23:23" x14ac:dyDescent="0.45">
      <c r="W8135" s="320"/>
    </row>
    <row r="8136" spans="23:23" x14ac:dyDescent="0.45">
      <c r="W8136" s="320"/>
    </row>
    <row r="8137" spans="23:23" x14ac:dyDescent="0.45">
      <c r="W8137" s="320"/>
    </row>
    <row r="8138" spans="23:23" x14ac:dyDescent="0.45">
      <c r="W8138" s="320"/>
    </row>
    <row r="8139" spans="23:23" x14ac:dyDescent="0.45">
      <c r="W8139" s="320"/>
    </row>
    <row r="8140" spans="23:23" x14ac:dyDescent="0.45">
      <c r="W8140" s="320"/>
    </row>
    <row r="8141" spans="23:23" x14ac:dyDescent="0.45">
      <c r="W8141" s="320"/>
    </row>
    <row r="8142" spans="23:23" x14ac:dyDescent="0.45">
      <c r="W8142" s="320"/>
    </row>
    <row r="8143" spans="23:23" x14ac:dyDescent="0.45">
      <c r="W8143" s="320"/>
    </row>
    <row r="8144" spans="23:23" x14ac:dyDescent="0.45">
      <c r="W8144" s="320"/>
    </row>
    <row r="8145" spans="23:23" x14ac:dyDescent="0.45">
      <c r="W8145" s="320"/>
    </row>
    <row r="8146" spans="23:23" x14ac:dyDescent="0.45">
      <c r="W8146" s="320"/>
    </row>
    <row r="8147" spans="23:23" x14ac:dyDescent="0.45">
      <c r="W8147" s="320"/>
    </row>
    <row r="8148" spans="23:23" x14ac:dyDescent="0.45">
      <c r="W8148" s="320"/>
    </row>
    <row r="8149" spans="23:23" x14ac:dyDescent="0.45">
      <c r="W8149" s="320"/>
    </row>
    <row r="8150" spans="23:23" x14ac:dyDescent="0.45">
      <c r="W8150" s="320"/>
    </row>
    <row r="8151" spans="23:23" x14ac:dyDescent="0.45">
      <c r="W8151" s="320"/>
    </row>
    <row r="8152" spans="23:23" x14ac:dyDescent="0.45">
      <c r="W8152" s="320"/>
    </row>
    <row r="8153" spans="23:23" x14ac:dyDescent="0.45">
      <c r="W8153" s="320"/>
    </row>
    <row r="8154" spans="23:23" x14ac:dyDescent="0.45">
      <c r="W8154" s="320"/>
    </row>
    <row r="8155" spans="23:23" x14ac:dyDescent="0.45">
      <c r="W8155" s="320"/>
    </row>
    <row r="8156" spans="23:23" x14ac:dyDescent="0.45">
      <c r="W8156" s="320"/>
    </row>
  </sheetData>
  <phoneticPr fontId="19" type="noConversion"/>
  <pageMargins left="0.75" right="0.75" top="1.5" bottom="1" header="0.75" footer="0.5"/>
  <pageSetup scale="58" orientation="landscape" r:id="rId1"/>
  <headerFooter alignWithMargins="0">
    <oddHeader>&amp;L&amp;"Arial,Bold"KENTUCKY UTILITIES COMPANY
&amp;"Arial,Regular"Electric Cost of Service Study
12 months Ended April 30, 2008
Jurisdictional Separation Study</oddHeader>
    <oddFooter>&amp;R&amp;"Arial,Regular"Seelye Exhibit 16
Page &amp;P of &amp;N</oddFooter>
  </headerFooter>
  <rowBreaks count="31" manualBreakCount="31">
    <brk id="65" min="3" max="15" man="1"/>
    <brk id="106" min="3" max="15" man="1"/>
    <brk id="154" min="3" max="15" man="1"/>
    <brk id="197" min="3" max="15" man="1"/>
    <brk id="240" min="3" max="15" man="1"/>
    <brk id="260" min="3" max="15" man="1"/>
    <brk id="303" min="3" max="15" man="1"/>
    <brk id="345" min="3" max="15" man="1"/>
    <brk id="392" min="3" max="15" man="1"/>
    <brk id="436" min="3" max="15" man="1"/>
    <brk id="479" min="3" max="15" man="1"/>
    <brk id="509" min="3" max="15" man="1"/>
    <brk id="562" min="3" max="15" man="1"/>
    <brk id="615" min="3" max="15" man="1"/>
    <brk id="649" min="3" max="15" man="1"/>
    <brk id="696" min="3" max="15" man="1"/>
    <brk id="742" min="3" max="15" man="1"/>
    <brk id="797" min="3" max="15" man="1"/>
    <brk id="841" min="3" max="15" man="1"/>
    <brk id="873" min="3" max="15" man="1"/>
    <brk id="939" min="3" max="15" man="1"/>
    <brk id="990" min="3" max="15" man="1"/>
    <brk id="1055" min="3" max="15" man="1"/>
    <brk id="1101" min="3" max="15" man="1"/>
    <brk id="1149" min="3" max="15" man="1"/>
    <brk id="1195" min="3" max="15" man="1"/>
    <brk id="1245" min="3" max="15" man="1"/>
    <brk id="1280" min="3" max="15" man="1"/>
    <brk id="1322" min="3" max="15" man="1"/>
    <brk id="1364" min="3" max="15" man="1"/>
    <brk id="1411" min="3" max="15"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N63"/>
  <sheetViews>
    <sheetView view="pageBreakPreview" topLeftCell="A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2180</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'WSS-28'!L174</f>
        <v>19887373.090099089</v>
      </c>
      <c r="E14" s="247">
        <f>'WSS-28'!L123+'WSS-28'!L124+'WSS-28'!L125</f>
        <v>13312115.018632902</v>
      </c>
      <c r="F14" s="248">
        <f>'WSS-28'!L126</f>
        <v>355222.00691100291</v>
      </c>
      <c r="G14" s="248">
        <f>'WSS-28'!L135</f>
        <v>3709714.5088608493</v>
      </c>
      <c r="H14" s="248">
        <f>'WSS-28'!L145+'WSS-28'!L147+'WSS-28'!L152+'WSS-28'!L141</f>
        <v>1710686.3239096021</v>
      </c>
      <c r="I14" s="248">
        <f>'WSS-28'!L146+'WSS-28'!L148+'WSS-28'!L153+'WSS-28'!L157+'WSS-28'!L160+'WSS-28'!L163</f>
        <v>784936.45139755949</v>
      </c>
      <c r="J14" s="248">
        <f>'WSS-28'!L166+'WSS-28'!L169</f>
        <v>14698.780387173076</v>
      </c>
      <c r="K14" s="249">
        <f>SUM(E14:J14)</f>
        <v>19887373.090099093</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19887373.090099089</v>
      </c>
      <c r="E16" s="253">
        <f t="shared" ref="E16:K16" si="1">E14+E15</f>
        <v>13312115.018632902</v>
      </c>
      <c r="F16" s="254">
        <f t="shared" si="1"/>
        <v>355222.00691100291</v>
      </c>
      <c r="G16" s="254">
        <f t="shared" si="1"/>
        <v>3709714.5088608493</v>
      </c>
      <c r="H16" s="254">
        <f t="shared" si="1"/>
        <v>1710686.3239096021</v>
      </c>
      <c r="I16" s="254">
        <f t="shared" si="1"/>
        <v>784936.45139755949</v>
      </c>
      <c r="J16" s="254">
        <f t="shared" si="1"/>
        <v>14698.780387173076</v>
      </c>
      <c r="K16" s="249">
        <f t="shared" si="1"/>
        <v>19887373.090099093</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'WSS-28'!L808</f>
        <v>0.21855863483320775</v>
      </c>
      <c r="E18" s="258">
        <f t="shared" ref="E18:J18" si="2">D18</f>
        <v>0.21855863483320775</v>
      </c>
      <c r="F18" s="259">
        <f t="shared" si="2"/>
        <v>0.21855863483320775</v>
      </c>
      <c r="G18" s="259">
        <f t="shared" si="2"/>
        <v>0.21855863483320775</v>
      </c>
      <c r="H18" s="259">
        <f t="shared" si="2"/>
        <v>0.21855863483320775</v>
      </c>
      <c r="I18" s="259">
        <f t="shared" si="2"/>
        <v>0.21855863483320775</v>
      </c>
      <c r="J18" s="259">
        <f t="shared" si="2"/>
        <v>0.21855863483320775</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4346557.1129907295</v>
      </c>
      <c r="E20" s="253">
        <f t="shared" ref="E20:J20" si="3">E18*E16</f>
        <v>2909477.685215049</v>
      </c>
      <c r="F20" s="254">
        <f t="shared" si="3"/>
        <v>77636.836893181084</v>
      </c>
      <c r="G20" s="254">
        <f t="shared" si="3"/>
        <v>810790.13867757097</v>
      </c>
      <c r="H20" s="254">
        <f t="shared" si="3"/>
        <v>373885.2675815213</v>
      </c>
      <c r="I20" s="254">
        <f t="shared" si="3"/>
        <v>171554.63924827313</v>
      </c>
      <c r="J20" s="254">
        <f t="shared" si="3"/>
        <v>3212.5453751336763</v>
      </c>
      <c r="K20" s="249">
        <f>SUM(E20:J20)</f>
        <v>4346557.1129907295</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'WSS-28'!L708</f>
        <v>423675.66821378865</v>
      </c>
      <c r="E22" s="253">
        <f t="shared" ref="E22:J22" si="4">(E14/$D$14)*$D$22</f>
        <v>283597.99961041537</v>
      </c>
      <c r="F22" s="254">
        <f t="shared" si="4"/>
        <v>7567.5616111002591</v>
      </c>
      <c r="G22" s="254">
        <f t="shared" si="4"/>
        <v>79030.83862827938</v>
      </c>
      <c r="H22" s="254">
        <f t="shared" si="4"/>
        <v>36444.037535928743</v>
      </c>
      <c r="I22" s="254">
        <f t="shared" si="4"/>
        <v>16722.091653059248</v>
      </c>
      <c r="J22" s="254">
        <f t="shared" si="4"/>
        <v>313.13917500565458</v>
      </c>
      <c r="K22" s="249">
        <f>SUM(E22:J22)</f>
        <v>423675.66821378871</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3922881.4447769411</v>
      </c>
      <c r="E24" s="253">
        <f t="shared" ref="E24:J24" si="5">E20-E22</f>
        <v>2625879.6856046338</v>
      </c>
      <c r="F24" s="254">
        <f t="shared" si="5"/>
        <v>70069.275282080824</v>
      </c>
      <c r="G24" s="254">
        <f t="shared" si="5"/>
        <v>731759.30004929157</v>
      </c>
      <c r="H24" s="254">
        <f t="shared" si="5"/>
        <v>337441.23004559253</v>
      </c>
      <c r="I24" s="254">
        <f t="shared" si="5"/>
        <v>154832.54759521389</v>
      </c>
      <c r="J24" s="254">
        <f t="shared" si="5"/>
        <v>2899.4062001280217</v>
      </c>
      <c r="K24" s="249">
        <f>SUM(E24:J24)</f>
        <v>3922881.4447769406</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'WSS-28'!L680+'WSS-28'!L800</f>
        <v>807320.43937619415</v>
      </c>
      <c r="E26" s="253">
        <f t="shared" ref="E26:J26" si="6">$D$26*(E24/$K$24)</f>
        <v>540400.30813419004</v>
      </c>
      <c r="F26" s="254">
        <f t="shared" si="6"/>
        <v>14420.10392203365</v>
      </c>
      <c r="G26" s="254">
        <f t="shared" si="6"/>
        <v>150594.46683507966</v>
      </c>
      <c r="H26" s="254">
        <f t="shared" si="6"/>
        <v>69444.66865466068</v>
      </c>
      <c r="I26" s="254">
        <f t="shared" si="6"/>
        <v>31864.200362397441</v>
      </c>
      <c r="J26" s="254">
        <f t="shared" si="6"/>
        <v>596.6914678326491</v>
      </c>
      <c r="K26" s="249">
        <f>SUM(E26:J26)</f>
        <v>807320.43937619426</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'WSS-28'!L730</f>
        <v>3698946.5650880304</v>
      </c>
      <c r="E28" s="253">
        <f>'WSS-28'!L180+'WSS-28'!L181+'WSS-28'!L182</f>
        <v>596083.86102802539</v>
      </c>
      <c r="F28" s="254">
        <f>'WSS-28'!L183</f>
        <v>2478005.5319360103</v>
      </c>
      <c r="G28" s="254">
        <f>'WSS-28'!L192</f>
        <v>251176.06795496834</v>
      </c>
      <c r="H28" s="254">
        <f>'WSS-28'!L198+'WSS-28'!L202+'WSS-28'!L204+'WSS-28'!L209</f>
        <v>105669.76454762919</v>
      </c>
      <c r="I28" s="254">
        <f>'WSS-28'!L203+'WSS-28'!L205+'WSS-28'!L210+'WSS-28'!L214+'WSS-28'!L217</f>
        <v>180790.0587283104</v>
      </c>
      <c r="J28" s="254">
        <f>'WSS-28'!L223+'WSS-28'!L226</f>
        <v>87221.280893086805</v>
      </c>
      <c r="K28" s="249">
        <f>SUM(E28:J28)</f>
        <v>3698946.5650880304</v>
      </c>
      <c r="L28" s="250" t="str">
        <f>IF(ABS(K28-D28)&lt;0.01,"ok","err")</f>
        <v>ok</v>
      </c>
      <c r="M28" s="26"/>
      <c r="N28" s="26"/>
    </row>
    <row r="29" spans="1:14" ht="15.3" x14ac:dyDescent="0.55000000000000004">
      <c r="A29" s="282" t="s">
        <v>1802</v>
      </c>
      <c r="B29" s="244" t="s">
        <v>812</v>
      </c>
      <c r="C29" s="245"/>
      <c r="D29" s="253">
        <f>'WSS-28'!L731</f>
        <v>1534704.0192330964</v>
      </c>
      <c r="E29" s="253">
        <f>'WSS-28'!L300</f>
        <v>1291633.8018415116</v>
      </c>
      <c r="F29" s="254">
        <v>0</v>
      </c>
      <c r="G29" s="254">
        <f>'WSS-28'!L306</f>
        <v>152549.48627813905</v>
      </c>
      <c r="H29" s="254">
        <f>'WSS-28'!L312+'WSS-28'!L316+'WSS-28'!L318+'WSS-28'!L323</f>
        <v>62710.813856484092</v>
      </c>
      <c r="I29" s="254">
        <f>'WSS-28'!L317+'WSS-28'!L319+'WSS-28'!L324+'WSS-28'!L328+'WSS-28'!L331</f>
        <v>27809.917256961682</v>
      </c>
      <c r="J29" s="254">
        <v>0</v>
      </c>
      <c r="K29" s="249">
        <f>SUM(E29:J29)</f>
        <v>1534704.0192330964</v>
      </c>
      <c r="L29" s="250" t="str">
        <f>IF(ABS(K29-D29)&lt;0.01,"ok","err")</f>
        <v>ok</v>
      </c>
      <c r="M29" s="26"/>
      <c r="N29" s="26"/>
    </row>
    <row r="30" spans="1:14" ht="15.3" x14ac:dyDescent="0.55000000000000004">
      <c r="A30" s="282" t="s">
        <v>1803</v>
      </c>
      <c r="B30" s="244" t="s">
        <v>408</v>
      </c>
      <c r="C30" s="245"/>
      <c r="D30" s="253">
        <f>'WSS-28'!L733+'WSS-28'!L734</f>
        <v>191476.11447226821</v>
      </c>
      <c r="E30" s="253">
        <f>'WSS-28'!L414+'WSS-28'!L471+'WSS-28'!L357</f>
        <v>138334.91974207695</v>
      </c>
      <c r="F30" s="254">
        <f>'WSS-28'!L529</f>
        <v>0</v>
      </c>
      <c r="G30" s="254">
        <f>'WSS-28'!L420+'WSS-28'!L477+'WSS-28'!L363</f>
        <v>30717.661048454611</v>
      </c>
      <c r="H30" s="254">
        <f>'WSS-28'!L426+'WSS-28'!L430+'WSS-28'!L432+'WSS-28'!L437+'WSS-28'!L483+'WSS-28'!L487+'WSS-28'!L489+'WSS-28'!L494+'WSS-28'!L369+'WSS-28'!L373+'WSS-28'!L375+'WSS-28'!L380</f>
        <v>15514.384065735791</v>
      </c>
      <c r="I30" s="254">
        <f>'WSS-28'!L431+'WSS-28'!L433+'WSS-28'!L438+'WSS-28'!L442+'WSS-28'!L445+'WSS-28'!L488+'WSS-28'!L490+'WSS-28'!L495+'WSS-28'!L499+'WSS-28'!L502+'WSS-28'!L374+'WSS-28'!L376+'WSS-28'!L381+'WSS-28'!L385+'WSS-28'!L388</f>
        <v>6909.1496160008501</v>
      </c>
      <c r="J30" s="254">
        <v>0</v>
      </c>
      <c r="K30" s="249">
        <f>SUM(E30:J30)</f>
        <v>191476.11447226821</v>
      </c>
      <c r="L30" s="250" t="str">
        <f>IF(ABS(K30-D30)&lt;0.01,"ok","err")</f>
        <v>ok</v>
      </c>
      <c r="M30" s="26"/>
      <c r="N30" s="26"/>
    </row>
    <row r="31" spans="1:14" ht="15.3" x14ac:dyDescent="0.55000000000000004">
      <c r="A31" s="282" t="s">
        <v>1804</v>
      </c>
      <c r="B31" s="244" t="s">
        <v>1840</v>
      </c>
      <c r="C31" s="245"/>
      <c r="D31" s="253">
        <f>'WSS-28'!L738</f>
        <v>83449.354118310817</v>
      </c>
      <c r="E31" s="253">
        <f>D31</f>
        <v>83449.354118310817</v>
      </c>
      <c r="F31" s="254"/>
      <c r="G31" s="254"/>
      <c r="H31" s="254"/>
      <c r="I31" s="254"/>
      <c r="J31" s="254"/>
      <c r="K31" s="249">
        <f>SUM(E31:J31)</f>
        <v>83449.354118310817</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2480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'WSS-28'!L797+'WSS-28'!L798</f>
        <v>5409.3662765415811</v>
      </c>
      <c r="E36" s="253">
        <f t="shared" ref="E36:J36" si="9">(E14/($D$14)*$D$36)</f>
        <v>3620.8958179140154</v>
      </c>
      <c r="F36" s="254">
        <f t="shared" si="9"/>
        <v>96.620400098313112</v>
      </c>
      <c r="G36" s="254">
        <f t="shared" si="9"/>
        <v>1009.0424948994058</v>
      </c>
      <c r="H36" s="254">
        <f t="shared" si="9"/>
        <v>465.30674857728951</v>
      </c>
      <c r="I36" s="254">
        <f t="shared" si="9"/>
        <v>213.50274619889589</v>
      </c>
      <c r="J36" s="254">
        <f t="shared" si="9"/>
        <v>3.9980688536611892</v>
      </c>
      <c r="K36" s="249">
        <f t="shared" si="8"/>
        <v>5409.3662765415811</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5409.3662765415811</v>
      </c>
      <c r="E39" s="253">
        <f t="shared" si="10"/>
        <v>3620.8958179140154</v>
      </c>
      <c r="F39" s="254">
        <f t="shared" si="10"/>
        <v>96.620400098313112</v>
      </c>
      <c r="G39" s="254">
        <f t="shared" si="10"/>
        <v>1009.0424948994058</v>
      </c>
      <c r="H39" s="254">
        <f t="shared" si="10"/>
        <v>465.30674857728951</v>
      </c>
      <c r="I39" s="254">
        <f t="shared" si="10"/>
        <v>213.50274619889589</v>
      </c>
      <c r="J39" s="254">
        <f t="shared" si="10"/>
        <v>3.9980688536611892</v>
      </c>
      <c r="K39" s="249">
        <f t="shared" si="8"/>
        <v>5409.3662765415811</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10667862.97155517</v>
      </c>
      <c r="E41" s="253">
        <f t="shared" ref="E41:J41" si="11">SUM(E28:E31)+E22+E26+E39+E24</f>
        <v>5563000.825897078</v>
      </c>
      <c r="F41" s="254">
        <f t="shared" si="11"/>
        <v>2570159.093151323</v>
      </c>
      <c r="G41" s="254">
        <f t="shared" si="11"/>
        <v>1396836.8632891118</v>
      </c>
      <c r="H41" s="254">
        <f t="shared" si="11"/>
        <v>627690.20545460831</v>
      </c>
      <c r="I41" s="254">
        <f t="shared" si="11"/>
        <v>419141.4679581424</v>
      </c>
      <c r="J41" s="254">
        <f t="shared" si="11"/>
        <v>91034.515804906783</v>
      </c>
      <c r="K41" s="249">
        <f>SUM(E41:J41)</f>
        <v>10667862.971555172</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-'WSS-28'!L659-'WSS-28'!L665</f>
        <v>-6365.4986256401471</v>
      </c>
      <c r="E43" s="253">
        <f>D43</f>
        <v>-6365.4986256401471</v>
      </c>
      <c r="F43" s="254">
        <v>0</v>
      </c>
      <c r="G43" s="254">
        <v>0</v>
      </c>
      <c r="H43" s="254">
        <v>0</v>
      </c>
      <c r="I43" s="254">
        <v>0</v>
      </c>
      <c r="J43" s="254">
        <v>0</v>
      </c>
      <c r="K43" s="249">
        <f>SUM(E43:J43)</f>
        <v>-6365.4986256401471</v>
      </c>
      <c r="L43" s="250" t="str">
        <f>IF(ABS(K43-D43)&lt;0.01,"ok","err")</f>
        <v>ok</v>
      </c>
      <c r="M43" s="26"/>
      <c r="N43" s="26"/>
    </row>
    <row r="44" spans="1:14" ht="15.3" x14ac:dyDescent="0.55000000000000004">
      <c r="A44" s="282" t="s">
        <v>1830</v>
      </c>
      <c r="B44" s="244" t="s">
        <v>1832</v>
      </c>
      <c r="C44" s="245"/>
      <c r="D44" s="253">
        <f>-'WSS-28'!L652</f>
        <v>-39542.324591824668</v>
      </c>
      <c r="E44" s="253">
        <v>0</v>
      </c>
      <c r="F44" s="254">
        <f>D44</f>
        <v>-39542.324591824668</v>
      </c>
      <c r="G44" s="254">
        <v>0</v>
      </c>
      <c r="H44" s="254">
        <v>0</v>
      </c>
      <c r="I44" s="254">
        <v>0</v>
      </c>
      <c r="J44" s="254">
        <v>0</v>
      </c>
      <c r="K44" s="249">
        <f>SUM(E44:J44)</f>
        <v>-39542.324591824668</v>
      </c>
      <c r="L44" s="250" t="str">
        <f>IF(ABS(K44-D44)&lt;0.01,"ok","err")</f>
        <v>ok</v>
      </c>
      <c r="M44" s="26"/>
      <c r="N44" s="26"/>
    </row>
    <row r="45" spans="1:14" ht="15.3" x14ac:dyDescent="0.55000000000000004">
      <c r="A45" s="282" t="s">
        <v>1834</v>
      </c>
      <c r="B45" s="244" t="s">
        <v>2469</v>
      </c>
      <c r="C45" s="245"/>
      <c r="D45" s="253">
        <f>-'WSS-28'!L658</f>
        <v>-115510.24703136533</v>
      </c>
      <c r="E45" s="253">
        <v>0</v>
      </c>
      <c r="F45" s="254">
        <v>0</v>
      </c>
      <c r="G45" s="254">
        <f>D45</f>
        <v>-115510.24703136533</v>
      </c>
      <c r="H45" s="254">
        <v>0</v>
      </c>
      <c r="I45" s="254">
        <v>0</v>
      </c>
      <c r="J45" s="254">
        <v>0</v>
      </c>
      <c r="K45" s="249">
        <f>SUM(E45:J45)</f>
        <v>-115510.24703136533</v>
      </c>
      <c r="L45" s="250" t="str">
        <f>IF(ABS(K45-D45)&lt;0.01,"ok","err")</f>
        <v>ok</v>
      </c>
      <c r="M45" s="26"/>
      <c r="N45" s="26"/>
    </row>
    <row r="46" spans="1:14" ht="15.3" x14ac:dyDescent="0.55000000000000004">
      <c r="A46" s="282" t="s">
        <v>1835</v>
      </c>
      <c r="B46" s="244" t="s">
        <v>1833</v>
      </c>
      <c r="C46" s="245"/>
      <c r="D46" s="253">
        <f>-('WSS-28'!L654+'WSS-28'!L655+'WSS-28'!L656+'WSS-28'!L657+'WSS-28'!L660+'WSS-28'!L662+'WSS-28'!L663+'WSS-28'!L664)</f>
        <v>-26834.630496824022</v>
      </c>
      <c r="E46" s="253">
        <f t="shared" ref="E46:J46" si="12">(E14/($D$14)*$D$46)</f>
        <v>-17962.437071896642</v>
      </c>
      <c r="F46" s="254">
        <f t="shared" si="12"/>
        <v>-479.31173496929341</v>
      </c>
      <c r="G46" s="254">
        <f t="shared" si="12"/>
        <v>-5005.6293328930497</v>
      </c>
      <c r="H46" s="254">
        <f t="shared" si="12"/>
        <v>-2308.2804948703088</v>
      </c>
      <c r="I46" s="254">
        <f t="shared" si="12"/>
        <v>-1059.1383558459115</v>
      </c>
      <c r="J46" s="254">
        <f t="shared" si="12"/>
        <v>-19.833506348816034</v>
      </c>
      <c r="K46" s="249">
        <f>SUM(E46:J46)</f>
        <v>-26834.630496824022</v>
      </c>
      <c r="L46" s="250" t="str">
        <f>IF(ABS(K46-D46)&lt;0.01,"ok","err")</f>
        <v>ok</v>
      </c>
      <c r="M46" s="26"/>
      <c r="N46" s="26"/>
    </row>
    <row r="47" spans="1:14" ht="15.3" x14ac:dyDescent="0.55000000000000004">
      <c r="A47" s="282" t="s">
        <v>1841</v>
      </c>
      <c r="B47" s="244" t="s">
        <v>1836</v>
      </c>
      <c r="C47" s="245"/>
      <c r="D47" s="253">
        <f>SUM(D43:D46)</f>
        <v>-188252.70074565415</v>
      </c>
      <c r="E47" s="253">
        <f t="shared" ref="E47:J47" si="13">SUM(E43:E46)</f>
        <v>-24327.935697536788</v>
      </c>
      <c r="F47" s="254">
        <f t="shared" si="13"/>
        <v>-40021.63632679396</v>
      </c>
      <c r="G47" s="254">
        <f t="shared" si="13"/>
        <v>-120515.87636425838</v>
      </c>
      <c r="H47" s="254">
        <f t="shared" si="13"/>
        <v>-2308.2804948703088</v>
      </c>
      <c r="I47" s="254">
        <f t="shared" si="13"/>
        <v>-1059.1383558459115</v>
      </c>
      <c r="J47" s="254">
        <f t="shared" si="13"/>
        <v>-19.833506348816034</v>
      </c>
      <c r="K47" s="249">
        <f>SUM(E47:J47)</f>
        <v>-188252.70074565415</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10479610.270809516</v>
      </c>
      <c r="E49" s="253">
        <f t="shared" ref="E49:J49" si="14">E41+E47</f>
        <v>5538672.8901995411</v>
      </c>
      <c r="F49" s="254">
        <f t="shared" si="14"/>
        <v>2530137.456824529</v>
      </c>
      <c r="G49" s="254">
        <f t="shared" si="14"/>
        <v>1276320.9869248534</v>
      </c>
      <c r="H49" s="254">
        <f t="shared" si="14"/>
        <v>625381.92495973804</v>
      </c>
      <c r="I49" s="254">
        <f t="shared" si="14"/>
        <v>418082.32960229646</v>
      </c>
      <c r="J49" s="254">
        <f t="shared" si="14"/>
        <v>91014.682298557964</v>
      </c>
      <c r="K49" s="249">
        <f>SUM(E49:J49)</f>
        <v>10479610.270809514</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422439.48398164229</v>
      </c>
      <c r="F51" s="265">
        <f>'Billing Det'!$C$18</f>
        <v>78721459</v>
      </c>
      <c r="G51" s="265">
        <f>$E$51</f>
        <v>422439.48398164229</v>
      </c>
      <c r="H51" s="265">
        <f>$E$51</f>
        <v>422439.48398164229</v>
      </c>
      <c r="I51" s="265">
        <f>'WSS-28'!L831</f>
        <v>2445.3041095890412</v>
      </c>
      <c r="J51" s="265">
        <f>I51</f>
        <v>2445.3041095890412</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2472</v>
      </c>
      <c r="B53" s="266" t="s">
        <v>1813</v>
      </c>
      <c r="C53" s="267"/>
      <c r="D53" s="268"/>
      <c r="E53" s="450">
        <f t="shared" ref="E53:J53" si="15">E49/E51</f>
        <v>13.111162900767656</v>
      </c>
      <c r="F53" s="270">
        <f t="shared" si="15"/>
        <v>3.214037809975713E-2</v>
      </c>
      <c r="G53" s="271">
        <f t="shared" si="15"/>
        <v>3.0213108275180018</v>
      </c>
      <c r="H53" s="271">
        <f t="shared" si="15"/>
        <v>1.4804059484811674</v>
      </c>
      <c r="I53" s="271">
        <f>I49/I51</f>
        <v>170.97355210864123</v>
      </c>
      <c r="J53" s="271">
        <f t="shared" si="15"/>
        <v>37.220189481403168</v>
      </c>
      <c r="K53" s="272">
        <f>I53+J53</f>
        <v>208.1937415900444</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208.1937415900444</v>
      </c>
      <c r="L55" s="291">
        <f>ROUND(K55/30.5,2)</f>
        <v>6.83</v>
      </c>
      <c r="M55" s="26"/>
      <c r="N55" s="26"/>
    </row>
    <row r="56" spans="1:14" ht="15.3" x14ac:dyDescent="0.55000000000000004">
      <c r="A56" s="26"/>
      <c r="B56" s="26"/>
      <c r="C56" s="26"/>
      <c r="D56" s="290"/>
      <c r="E56" s="26"/>
      <c r="F56" s="26"/>
      <c r="G56" s="26"/>
      <c r="H56" s="26"/>
      <c r="I56" s="26"/>
      <c r="J56" s="26" t="s">
        <v>2266</v>
      </c>
      <c r="K56" s="279">
        <f>E53+G53+H53</f>
        <v>17.612879676766823</v>
      </c>
      <c r="L56" s="26"/>
      <c r="M56" s="26"/>
      <c r="N56" s="26"/>
    </row>
    <row r="57" spans="1:14" ht="15.3" x14ac:dyDescent="0.55000000000000004">
      <c r="A57" s="26"/>
      <c r="B57" s="26"/>
      <c r="C57" s="26"/>
      <c r="D57" s="279"/>
      <c r="E57" s="26"/>
      <c r="F57" s="26"/>
      <c r="G57" s="26"/>
      <c r="H57" s="26"/>
      <c r="I57" s="26"/>
      <c r="J57" s="26" t="s">
        <v>2271</v>
      </c>
      <c r="K57" s="289">
        <f>F53</f>
        <v>3.214037809975713E-2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N63"/>
  <sheetViews>
    <sheetView view="pageBreakPreview" topLeftCell="D15"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2264</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'WSS-28'!M174</f>
        <v>424829680.24150598</v>
      </c>
      <c r="E14" s="247">
        <f>'WSS-28'!M123+'WSS-28'!M124+'WSS-28'!M125</f>
        <v>294684316.54612917</v>
      </c>
      <c r="F14" s="248">
        <f>'WSS-28'!M126</f>
        <v>8253333.2471906664</v>
      </c>
      <c r="G14" s="248">
        <f>'WSS-28'!M135</f>
        <v>76374022.101059631</v>
      </c>
      <c r="H14" s="248">
        <f>'WSS-28'!M145+'WSS-28'!M147+'WSS-28'!M152+'WSS-28'!M141</f>
        <v>43595353.406363219</v>
      </c>
      <c r="I14" s="248">
        <f>'WSS-28'!M146+'WSS-28'!M148+'WSS-28'!M153+'WSS-28'!M157+'WSS-28'!M160+'WSS-28'!M163</f>
        <v>1647052.8085038117</v>
      </c>
      <c r="J14" s="248">
        <f>'WSS-28'!M166+'WSS-28'!M169</f>
        <v>275602.13225949515</v>
      </c>
      <c r="K14" s="249">
        <f>SUM(E14:J14)</f>
        <v>424829680.24150592</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424829680.24150598</v>
      </c>
      <c r="E16" s="253">
        <f t="shared" ref="E16:K16" si="1">E14+E15</f>
        <v>294684316.54612917</v>
      </c>
      <c r="F16" s="254">
        <f t="shared" si="1"/>
        <v>8253333.2471906664</v>
      </c>
      <c r="G16" s="254">
        <f t="shared" si="1"/>
        <v>76374022.101059631</v>
      </c>
      <c r="H16" s="254">
        <f t="shared" si="1"/>
        <v>43595353.406363219</v>
      </c>
      <c r="I16" s="254">
        <f t="shared" si="1"/>
        <v>1647052.8085038117</v>
      </c>
      <c r="J16" s="254">
        <f t="shared" si="1"/>
        <v>275602.13225949515</v>
      </c>
      <c r="K16" s="249">
        <f t="shared" si="1"/>
        <v>424829680.24150592</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'WSS-28'!M808</f>
        <v>6.5180129311073268E-2</v>
      </c>
      <c r="E18" s="258">
        <f t="shared" ref="E18:J18" si="2">D18</f>
        <v>6.5180129311073268E-2</v>
      </c>
      <c r="F18" s="259">
        <f t="shared" si="2"/>
        <v>6.5180129311073268E-2</v>
      </c>
      <c r="G18" s="259">
        <f t="shared" si="2"/>
        <v>6.5180129311073268E-2</v>
      </c>
      <c r="H18" s="259">
        <f t="shared" si="2"/>
        <v>6.5180129311073268E-2</v>
      </c>
      <c r="I18" s="259">
        <f t="shared" si="2"/>
        <v>6.5180129311073268E-2</v>
      </c>
      <c r="J18" s="259">
        <f t="shared" si="2"/>
        <v>6.5180129311073268E-2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27690453.493323267</v>
      </c>
      <c r="E20" s="253">
        <f t="shared" ref="E20:J20" si="3">E18*E16</f>
        <v>19207561.858421948</v>
      </c>
      <c r="F20" s="254">
        <f t="shared" si="3"/>
        <v>537953.32829926792</v>
      </c>
      <c r="G20" s="254">
        <f t="shared" si="3"/>
        <v>4978068.6365538342</v>
      </c>
      <c r="H20" s="254">
        <f t="shared" si="3"/>
        <v>2841550.7723886929</v>
      </c>
      <c r="I20" s="254">
        <f t="shared" si="3"/>
        <v>107355.11504044484</v>
      </c>
      <c r="J20" s="254">
        <f t="shared" si="3"/>
        <v>17963.782619081412</v>
      </c>
      <c r="K20" s="249">
        <f>SUM(E20:J20)</f>
        <v>27690453.49332327</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'WSS-28'!M708</f>
        <v>9086125.1632384751</v>
      </c>
      <c r="E22" s="253">
        <f t="shared" ref="E22:J22" si="4">(E14/$D$14)*$D$22</f>
        <v>6302616.5739159202</v>
      </c>
      <c r="F22" s="254">
        <f t="shared" si="4"/>
        <v>176519.72634129814</v>
      </c>
      <c r="G22" s="254">
        <f t="shared" si="4"/>
        <v>1633463.8475251496</v>
      </c>
      <c r="H22" s="254">
        <f t="shared" si="4"/>
        <v>932403.86914739548</v>
      </c>
      <c r="I22" s="254">
        <f t="shared" si="4"/>
        <v>35226.653561544095</v>
      </c>
      <c r="J22" s="254">
        <f t="shared" si="4"/>
        <v>5894.4927471678102</v>
      </c>
      <c r="K22" s="249">
        <f>SUM(E22:J22)</f>
        <v>9086125.1632384732</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18604328.330084793</v>
      </c>
      <c r="E24" s="253">
        <f t="shared" ref="E24:J24" si="5">E20-E22</f>
        <v>12904945.284506027</v>
      </c>
      <c r="F24" s="254">
        <f t="shared" si="5"/>
        <v>361433.60195796977</v>
      </c>
      <c r="G24" s="254">
        <f t="shared" si="5"/>
        <v>3344604.7890286846</v>
      </c>
      <c r="H24" s="254">
        <f t="shared" si="5"/>
        <v>1909146.9032412975</v>
      </c>
      <c r="I24" s="254">
        <f t="shared" si="5"/>
        <v>72128.461478900746</v>
      </c>
      <c r="J24" s="254">
        <f t="shared" si="5"/>
        <v>12069.289871913603</v>
      </c>
      <c r="K24" s="249">
        <f>SUM(E24:J24)</f>
        <v>18604328.330084793</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'WSS-28'!M680+'WSS-28'!M800</f>
        <v>5237878.7500642221</v>
      </c>
      <c r="E26" s="253">
        <f t="shared" ref="E26:J26" si="6">$D$26*(E24/$K$24)</f>
        <v>3633269.4992890148</v>
      </c>
      <c r="F26" s="254">
        <f t="shared" si="6"/>
        <v>101758.33008673803</v>
      </c>
      <c r="G26" s="254">
        <f t="shared" si="6"/>
        <v>941642.93604124617</v>
      </c>
      <c r="H26" s="254">
        <f t="shared" si="6"/>
        <v>537502.87663262989</v>
      </c>
      <c r="I26" s="254">
        <f t="shared" si="6"/>
        <v>20307.109665669836</v>
      </c>
      <c r="J26" s="254">
        <f t="shared" si="6"/>
        <v>3397.9983489236488</v>
      </c>
      <c r="K26" s="249">
        <f>SUM(E26:J26)</f>
        <v>5237878.7500642212</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'WSS-28'!M730</f>
        <v>80147030.111942157</v>
      </c>
      <c r="E28" s="253">
        <f>'WSS-28'!M180+'WSS-28'!M181+'WSS-28'!M182</f>
        <v>13195240.947464464</v>
      </c>
      <c r="F28" s="254">
        <f>'WSS-28'!M183</f>
        <v>57574713.969154082</v>
      </c>
      <c r="G28" s="254">
        <f>'WSS-28'!M192</f>
        <v>5171105.8949225387</v>
      </c>
      <c r="H28" s="254">
        <f>'WSS-28'!M198+'WSS-28'!M202+'WSS-28'!M204+'WSS-28'!M209</f>
        <v>2388317.1034080843</v>
      </c>
      <c r="I28" s="254">
        <f>'WSS-28'!M203+'WSS-28'!M205+'WSS-28'!M210+'WSS-28'!M214+'WSS-28'!M217</f>
        <v>219889.47393783944</v>
      </c>
      <c r="J28" s="254">
        <f>'WSS-28'!M223+'WSS-28'!M226</f>
        <v>1597762.7230551292</v>
      </c>
      <c r="K28" s="249">
        <f>SUM(E28:J28)</f>
        <v>80147030.111942127</v>
      </c>
      <c r="L28" s="250" t="str">
        <f>IF(ABS(K28-D28)&lt;0.01,"ok","err")</f>
        <v>ok</v>
      </c>
      <c r="M28" s="26"/>
      <c r="N28" s="26"/>
    </row>
    <row r="29" spans="1:14" ht="15.3" x14ac:dyDescent="0.55000000000000004">
      <c r="A29" s="282" t="s">
        <v>1802</v>
      </c>
      <c r="B29" s="244" t="s">
        <v>812</v>
      </c>
      <c r="C29" s="245"/>
      <c r="D29" s="253">
        <f>'WSS-28'!M731</f>
        <v>33399476.380628955</v>
      </c>
      <c r="E29" s="253">
        <f>'WSS-28'!M300</f>
        <v>28592317.869158018</v>
      </c>
      <c r="F29" s="254">
        <v>0</v>
      </c>
      <c r="G29" s="254">
        <f>'WSS-28'!M306</f>
        <v>3140623.8428006498</v>
      </c>
      <c r="H29" s="254">
        <f>'WSS-28'!M312+'WSS-28'!M316+'WSS-28'!M318+'WSS-28'!M323</f>
        <v>1599524.3594848476</v>
      </c>
      <c r="I29" s="254">
        <f>'WSS-28'!M317+'WSS-28'!M319+'WSS-28'!M324+'WSS-28'!M328+'WSS-28'!M331</f>
        <v>67010.309185438397</v>
      </c>
      <c r="J29" s="254">
        <v>0</v>
      </c>
      <c r="K29" s="249">
        <f>SUM(E29:J29)</f>
        <v>33399476.380628955</v>
      </c>
      <c r="L29" s="250" t="str">
        <f>IF(ABS(K29-D29)&lt;0.01,"ok","err")</f>
        <v>ok</v>
      </c>
      <c r="M29" s="26"/>
      <c r="N29" s="26"/>
    </row>
    <row r="30" spans="1:14" ht="15.3" x14ac:dyDescent="0.55000000000000004">
      <c r="A30" s="282" t="s">
        <v>1803</v>
      </c>
      <c r="B30" s="244" t="s">
        <v>408</v>
      </c>
      <c r="C30" s="245"/>
      <c r="D30" s="253">
        <f>'WSS-28'!M733+'WSS-28'!M734</f>
        <v>4106980.2431022236</v>
      </c>
      <c r="E30" s="253">
        <f>'WSS-28'!M414+'WSS-28'!M471+'WSS-28'!M357</f>
        <v>3062258.0425123153</v>
      </c>
      <c r="F30" s="254">
        <f>'WSS-28'!M529</f>
        <v>0</v>
      </c>
      <c r="G30" s="254">
        <f>'WSS-28'!M420+'WSS-28'!M477+'WSS-28'!M363</f>
        <v>632402.12102680979</v>
      </c>
      <c r="H30" s="254">
        <f>'WSS-28'!M426+'WSS-28'!M430+'WSS-28'!M432+'WSS-28'!M437+'WSS-28'!M483+'WSS-28'!M487+'WSS-28'!M489+'WSS-28'!M494+'WSS-28'!M369+'WSS-28'!M373+'WSS-28'!M375+'WSS-28'!M380</f>
        <v>395715.40711207199</v>
      </c>
      <c r="I30" s="254">
        <f>'WSS-28'!M431+'WSS-28'!M433+'WSS-28'!M438+'WSS-28'!M442+'WSS-28'!M445+'WSS-28'!M488+'WSS-28'!M490+'WSS-28'!M495+'WSS-28'!M499+'WSS-28'!M502+'WSS-28'!M374+'WSS-28'!M376+'WSS-28'!M381+'WSS-28'!M385+'WSS-28'!M388</f>
        <v>16604.672451026428</v>
      </c>
      <c r="J30" s="254">
        <v>0</v>
      </c>
      <c r="K30" s="249">
        <f>SUM(E30:J30)</f>
        <v>4106980.2431022231</v>
      </c>
      <c r="L30" s="250" t="str">
        <f>IF(ABS(K30-D30)&lt;0.01,"ok","err")</f>
        <v>ok</v>
      </c>
      <c r="M30" s="26"/>
      <c r="N30" s="26"/>
    </row>
    <row r="31" spans="1:14" ht="15.3" x14ac:dyDescent="0.55000000000000004">
      <c r="A31" s="282" t="s">
        <v>1804</v>
      </c>
      <c r="B31" s="244" t="s">
        <v>1840</v>
      </c>
      <c r="C31" s="245"/>
      <c r="D31" s="253">
        <f>'WSS-28'!M738</f>
        <v>1847280.9054121103</v>
      </c>
      <c r="E31" s="253">
        <f>D31</f>
        <v>1847280.9054121103</v>
      </c>
      <c r="F31" s="254"/>
      <c r="G31" s="254"/>
      <c r="H31" s="254"/>
      <c r="I31" s="254"/>
      <c r="J31" s="254"/>
      <c r="K31" s="249">
        <f>SUM(E31:J31)</f>
        <v>1847280.9054121103</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2480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'WSS-28'!M797+'WSS-28'!M798</f>
        <v>75147.33719260509</v>
      </c>
      <c r="E36" s="253">
        <f t="shared" ref="E36:J36" si="9">(E14/($D$14)*$D$36)</f>
        <v>52126.164274293558</v>
      </c>
      <c r="F36" s="254">
        <f t="shared" si="9"/>
        <v>1459.9168686542725</v>
      </c>
      <c r="G36" s="254">
        <f t="shared" si="9"/>
        <v>13509.659655420352</v>
      </c>
      <c r="H36" s="254">
        <f t="shared" si="9"/>
        <v>7711.5015141983204</v>
      </c>
      <c r="I36" s="254">
        <f t="shared" si="9"/>
        <v>291.34412808517004</v>
      </c>
      <c r="J36" s="254">
        <f t="shared" si="9"/>
        <v>48.750751953421961</v>
      </c>
      <c r="K36" s="249">
        <f t="shared" si="8"/>
        <v>75147.337192605104</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75147.33719260509</v>
      </c>
      <c r="E39" s="253">
        <f t="shared" si="10"/>
        <v>52126.164274293558</v>
      </c>
      <c r="F39" s="254">
        <f t="shared" si="10"/>
        <v>1459.9168686542725</v>
      </c>
      <c r="G39" s="254">
        <f t="shared" si="10"/>
        <v>13509.659655420352</v>
      </c>
      <c r="H39" s="254">
        <f t="shared" si="10"/>
        <v>7711.5015141983204</v>
      </c>
      <c r="I39" s="254">
        <f t="shared" si="10"/>
        <v>291.34412808517004</v>
      </c>
      <c r="J39" s="254">
        <f t="shared" si="10"/>
        <v>48.750751953421961</v>
      </c>
      <c r="K39" s="249">
        <f t="shared" si="8"/>
        <v>75147.337192605104</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152504247.22166556</v>
      </c>
      <c r="E41" s="253">
        <f t="shared" ref="E41:J41" si="11">SUM(E28:E31)+E22+E26+E39+E24</f>
        <v>69590055.286532149</v>
      </c>
      <c r="F41" s="254">
        <f t="shared" si="11"/>
        <v>58215885.544408746</v>
      </c>
      <c r="G41" s="254">
        <f t="shared" si="11"/>
        <v>14877353.091000497</v>
      </c>
      <c r="H41" s="254">
        <f t="shared" si="11"/>
        <v>7770322.0205405252</v>
      </c>
      <c r="I41" s="254">
        <f t="shared" si="11"/>
        <v>431458.02440850413</v>
      </c>
      <c r="J41" s="254">
        <f t="shared" si="11"/>
        <v>1619173.2547750876</v>
      </c>
      <c r="K41" s="249">
        <f>SUM(E41:J41)</f>
        <v>152504247.2216655</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-'WSS-28'!M659-'WSS-28'!M665</f>
        <v>-140910.18664926843</v>
      </c>
      <c r="E43" s="253">
        <f>D43</f>
        <v>-140910.18664926843</v>
      </c>
      <c r="F43" s="254">
        <v>0</v>
      </c>
      <c r="G43" s="254">
        <v>0</v>
      </c>
      <c r="H43" s="254">
        <v>0</v>
      </c>
      <c r="I43" s="254">
        <v>0</v>
      </c>
      <c r="J43" s="254">
        <v>0</v>
      </c>
      <c r="K43" s="249">
        <f>SUM(E43:J43)</f>
        <v>-140910.18664926843</v>
      </c>
      <c r="L43" s="250" t="str">
        <f>IF(ABS(K43-D43)&lt;0.01,"ok","err")</f>
        <v>ok</v>
      </c>
      <c r="M43" s="26"/>
      <c r="N43" s="26"/>
    </row>
    <row r="44" spans="1:14" ht="15.3" x14ac:dyDescent="0.55000000000000004">
      <c r="A44" s="282" t="s">
        <v>1830</v>
      </c>
      <c r="B44" s="244" t="s">
        <v>1832</v>
      </c>
      <c r="C44" s="245"/>
      <c r="D44" s="253">
        <f>-'WSS-28'!M652</f>
        <v>-918738.07330489147</v>
      </c>
      <c r="E44" s="253">
        <v>0</v>
      </c>
      <c r="F44" s="254">
        <f>D44</f>
        <v>-918738.07330489147</v>
      </c>
      <c r="G44" s="254">
        <v>0</v>
      </c>
      <c r="H44" s="254">
        <v>0</v>
      </c>
      <c r="I44" s="254">
        <v>0</v>
      </c>
      <c r="J44" s="254">
        <v>0</v>
      </c>
      <c r="K44" s="249">
        <f>SUM(E44:J44)</f>
        <v>-918738.07330489147</v>
      </c>
      <c r="L44" s="250" t="str">
        <f>IF(ABS(K44-D44)&lt;0.01,"ok","err")</f>
        <v>ok</v>
      </c>
      <c r="M44" s="26"/>
      <c r="N44" s="26"/>
    </row>
    <row r="45" spans="1:14" ht="15.3" x14ac:dyDescent="0.55000000000000004">
      <c r="A45" s="282" t="s">
        <v>1834</v>
      </c>
      <c r="B45" s="244" t="s">
        <v>2469</v>
      </c>
      <c r="C45" s="245"/>
      <c r="D45" s="253">
        <f>-'WSS-28'!M658</f>
        <v>-2378075.7625959036</v>
      </c>
      <c r="E45" s="253">
        <v>0</v>
      </c>
      <c r="F45" s="254">
        <v>0</v>
      </c>
      <c r="G45" s="254">
        <f>D45</f>
        <v>-2378075.7625959036</v>
      </c>
      <c r="H45" s="254">
        <v>0</v>
      </c>
      <c r="I45" s="254">
        <v>0</v>
      </c>
      <c r="J45" s="254">
        <v>0</v>
      </c>
      <c r="K45" s="249">
        <f>SUM(E45:J45)</f>
        <v>-2378075.7625959036</v>
      </c>
      <c r="L45" s="250" t="str">
        <f>IF(ABS(K45-D45)&lt;0.01,"ok","err")</f>
        <v>ok</v>
      </c>
      <c r="M45" s="26"/>
      <c r="N45" s="26"/>
    </row>
    <row r="46" spans="1:14" ht="15.3" x14ac:dyDescent="0.55000000000000004">
      <c r="A46" s="282" t="s">
        <v>1835</v>
      </c>
      <c r="B46" s="244" t="s">
        <v>1833</v>
      </c>
      <c r="C46" s="245"/>
      <c r="D46" s="253">
        <f>-('WSS-28'!M654+'WSS-28'!M655+'WSS-28'!M656+'WSS-28'!M657+'WSS-28'!M660+'WSS-28'!M662+'WSS-28'!M663+'WSS-28'!M664)</f>
        <v>-299162.17051794089</v>
      </c>
      <c r="E46" s="253">
        <f t="shared" ref="E46:J46" si="12">(E14/($D$14)*$D$46)</f>
        <v>-207514.6908413271</v>
      </c>
      <c r="F46" s="254">
        <f t="shared" si="12"/>
        <v>-5811.9411215191612</v>
      </c>
      <c r="G46" s="254">
        <f t="shared" si="12"/>
        <v>-53782.066756610548</v>
      </c>
      <c r="H46" s="254">
        <f t="shared" si="12"/>
        <v>-30699.551269888212</v>
      </c>
      <c r="I46" s="254">
        <f t="shared" si="12"/>
        <v>-1159.8433821044746</v>
      </c>
      <c r="J46" s="254">
        <f t="shared" si="12"/>
        <v>-194.07714649139484</v>
      </c>
      <c r="K46" s="249">
        <f>SUM(E46:J46)</f>
        <v>-299162.17051794089</v>
      </c>
      <c r="L46" s="250" t="str">
        <f>IF(ABS(K46-D46)&lt;0.01,"ok","err")</f>
        <v>ok</v>
      </c>
      <c r="M46" s="26"/>
      <c r="N46" s="26"/>
    </row>
    <row r="47" spans="1:14" ht="15.3" x14ac:dyDescent="0.55000000000000004">
      <c r="A47" s="282" t="s">
        <v>1841</v>
      </c>
      <c r="B47" s="244" t="s">
        <v>1836</v>
      </c>
      <c r="C47" s="245"/>
      <c r="D47" s="253">
        <f>SUM(D43:D46)</f>
        <v>-3736886.1930680042</v>
      </c>
      <c r="E47" s="253">
        <f t="shared" ref="E47:J47" si="13">SUM(E43:E46)</f>
        <v>-348424.87749059557</v>
      </c>
      <c r="F47" s="254">
        <f t="shared" si="13"/>
        <v>-924550.01442641066</v>
      </c>
      <c r="G47" s="254">
        <f t="shared" si="13"/>
        <v>-2431857.8293525144</v>
      </c>
      <c r="H47" s="254">
        <f t="shared" si="13"/>
        <v>-30699.551269888212</v>
      </c>
      <c r="I47" s="254">
        <f t="shared" si="13"/>
        <v>-1159.8433821044746</v>
      </c>
      <c r="J47" s="254">
        <f t="shared" si="13"/>
        <v>-194.07714649139484</v>
      </c>
      <c r="K47" s="249">
        <f>SUM(E47:J47)</f>
        <v>-3736886.1930680047</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148767361.02859756</v>
      </c>
      <c r="E49" s="253">
        <f t="shared" ref="E49:J49" si="14">E41+E47</f>
        <v>69241630.409041554</v>
      </c>
      <c r="F49" s="254">
        <f t="shared" si="14"/>
        <v>57291335.529982336</v>
      </c>
      <c r="G49" s="254">
        <f t="shared" si="14"/>
        <v>12445495.261647983</v>
      </c>
      <c r="H49" s="254">
        <f t="shared" si="14"/>
        <v>7739622.4692706373</v>
      </c>
      <c r="I49" s="254">
        <f t="shared" si="14"/>
        <v>430298.18102639966</v>
      </c>
      <c r="J49" s="254">
        <f t="shared" si="14"/>
        <v>1618979.1776285961</v>
      </c>
      <c r="K49" s="249">
        <f>SUM(E49:J49)</f>
        <v>148767361.0285975</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4588573.5905798813</v>
      </c>
      <c r="F51" s="252">
        <f>'Billing Det'!$C$20</f>
        <v>1784202424</v>
      </c>
      <c r="G51" s="252">
        <v>6217430</v>
      </c>
      <c r="H51" s="265">
        <f>G51</f>
        <v>6217430</v>
      </c>
      <c r="I51" s="265">
        <f>'WSS-28'!M831</f>
        <v>9195.4191780821911</v>
      </c>
      <c r="J51" s="265">
        <f>I51</f>
        <v>9195.4191780821911</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2472</v>
      </c>
      <c r="B53" s="266" t="s">
        <v>1813</v>
      </c>
      <c r="C53" s="267"/>
      <c r="D53" s="268"/>
      <c r="E53" s="446">
        <f t="shared" ref="E53:J53" si="15">E49/E51</f>
        <v>15.090011970428295</v>
      </c>
      <c r="F53" s="270">
        <f t="shared" si="15"/>
        <v>3.2110333872062004E-2</v>
      </c>
      <c r="G53" s="447">
        <f t="shared" si="15"/>
        <v>2.0017105559126493</v>
      </c>
      <c r="H53" s="447">
        <f t="shared" si="15"/>
        <v>1.2448266356469855</v>
      </c>
      <c r="I53" s="271">
        <f>I49/I51</f>
        <v>46.794841289241063</v>
      </c>
      <c r="J53" s="271">
        <f t="shared" si="15"/>
        <v>176.06366238175698</v>
      </c>
      <c r="K53" s="272">
        <f>I53+J53</f>
        <v>222.85850367099806</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222.85850367099806</v>
      </c>
      <c r="L55" s="291">
        <f>ROUND(K55/30.5,2)</f>
        <v>7.31</v>
      </c>
      <c r="M55" s="26"/>
      <c r="N55" s="26"/>
    </row>
    <row r="56" spans="1:14" ht="15.3" x14ac:dyDescent="0.55000000000000004">
      <c r="A56" s="26"/>
      <c r="B56" s="26"/>
      <c r="C56" s="26"/>
      <c r="D56" s="290"/>
      <c r="E56" s="26"/>
      <c r="F56" s="26"/>
      <c r="G56" s="26"/>
      <c r="H56" s="26"/>
      <c r="I56" s="26"/>
      <c r="J56" s="26" t="s">
        <v>2266</v>
      </c>
      <c r="K56" s="279">
        <f>E53+G53+H53</f>
        <v>18.336549161987932</v>
      </c>
      <c r="L56" s="26"/>
      <c r="M56" s="26"/>
      <c r="N56" s="26"/>
    </row>
    <row r="57" spans="1:14" ht="15.3" x14ac:dyDescent="0.55000000000000004">
      <c r="A57" s="26"/>
      <c r="B57" s="26"/>
      <c r="C57" s="26"/>
      <c r="D57" s="279"/>
      <c r="E57" s="26"/>
      <c r="F57" s="26"/>
      <c r="G57" s="26"/>
      <c r="H57" s="26"/>
      <c r="I57" s="26"/>
      <c r="J57" s="26" t="s">
        <v>2271</v>
      </c>
      <c r="K57" s="289">
        <f>F53</f>
        <v>3.2110333872062004E-2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N63"/>
  <sheetViews>
    <sheetView view="pageBreakPreview" topLeftCell="A19"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2268</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'WSS-28'!N174</f>
        <v>740452252.7798897</v>
      </c>
      <c r="E14" s="247">
        <f>'WSS-28'!N123+'WSS-28'!N124+'WSS-28'!N125</f>
        <v>539452255.16144478</v>
      </c>
      <c r="F14" s="248">
        <f>'WSS-28'!N126</f>
        <v>17832601.081429161</v>
      </c>
      <c r="G14" s="248">
        <f>'WSS-28'!N135</f>
        <v>124385394.49789551</v>
      </c>
      <c r="H14" s="248">
        <f>'WSS-28'!N145+'WSS-28'!N147+'WSS-28'!N152+'WSS-28'!N141</f>
        <v>57358697.752456076</v>
      </c>
      <c r="I14" s="248">
        <f>'WSS-28'!N146+'WSS-28'!N148+'WSS-28'!N153+'WSS-28'!N157+'WSS-28'!N160+'WSS-28'!N163</f>
        <v>1331076.6450192994</v>
      </c>
      <c r="J14" s="248">
        <f>'WSS-28'!N166+'WSS-28'!N169</f>
        <v>92227.641645007534</v>
      </c>
      <c r="K14" s="249">
        <f>SUM(E14:J14)</f>
        <v>740452252.7798897</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740452252.7798897</v>
      </c>
      <c r="E16" s="253">
        <f t="shared" ref="E16:K16" si="1">E14+E15</f>
        <v>539452255.16144478</v>
      </c>
      <c r="F16" s="254">
        <f t="shared" si="1"/>
        <v>17832601.081429161</v>
      </c>
      <c r="G16" s="254">
        <f t="shared" si="1"/>
        <v>124385394.49789551</v>
      </c>
      <c r="H16" s="254">
        <f t="shared" si="1"/>
        <v>57358697.752456076</v>
      </c>
      <c r="I16" s="254">
        <f t="shared" si="1"/>
        <v>1331076.6450192994</v>
      </c>
      <c r="J16" s="254">
        <f t="shared" si="1"/>
        <v>92227.641645007534</v>
      </c>
      <c r="K16" s="249">
        <f t="shared" si="1"/>
        <v>740452252.7798897</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'WSS-28'!N808</f>
        <v>5.9293147691825497E-2</v>
      </c>
      <c r="E18" s="258">
        <f t="shared" ref="E18:J18" si="2">D18</f>
        <v>5.9293147691825497E-2</v>
      </c>
      <c r="F18" s="259">
        <f t="shared" si="2"/>
        <v>5.9293147691825497E-2</v>
      </c>
      <c r="G18" s="259">
        <f t="shared" si="2"/>
        <v>5.9293147691825497E-2</v>
      </c>
      <c r="H18" s="259">
        <f t="shared" si="2"/>
        <v>5.9293147691825497E-2</v>
      </c>
      <c r="I18" s="259">
        <f t="shared" si="2"/>
        <v>5.9293147691825497E-2</v>
      </c>
      <c r="J18" s="259">
        <f t="shared" si="2"/>
        <v>5.9293147691825497E-2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43903744.782822907</v>
      </c>
      <c r="E20" s="253">
        <f t="shared" ref="E20:J20" si="3">E18*E16</f>
        <v>31985822.237975881</v>
      </c>
      <c r="F20" s="254">
        <f t="shared" si="3"/>
        <v>1057351.0496505864</v>
      </c>
      <c r="G20" s="254">
        <f t="shared" si="3"/>
        <v>7375201.5666696969</v>
      </c>
      <c r="H20" s="254">
        <f t="shared" si="3"/>
        <v>3400977.7372471574</v>
      </c>
      <c r="I20" s="254">
        <f t="shared" si="3"/>
        <v>78923.724102268898</v>
      </c>
      <c r="J20" s="254">
        <f t="shared" si="3"/>
        <v>5468.467177326188</v>
      </c>
      <c r="K20" s="249">
        <f>SUM(E20:J20)</f>
        <v>43903744.782822907</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'WSS-28'!N708</f>
        <v>15857524.886993198</v>
      </c>
      <c r="E22" s="253">
        <f t="shared" ref="E22:J22" si="4">(E14/$D$14)*$D$22</f>
        <v>11552909.089615708</v>
      </c>
      <c r="F22" s="254">
        <f t="shared" si="4"/>
        <v>381902.97130832757</v>
      </c>
      <c r="G22" s="254">
        <f t="shared" si="4"/>
        <v>2663837.5147400391</v>
      </c>
      <c r="H22" s="254">
        <f t="shared" si="4"/>
        <v>1228393.8277995558</v>
      </c>
      <c r="I22" s="254">
        <f t="shared" si="4"/>
        <v>28506.33642567023</v>
      </c>
      <c r="J22" s="254">
        <f t="shared" si="4"/>
        <v>1975.1471038999559</v>
      </c>
      <c r="K22" s="249">
        <f>SUM(E22:J22)</f>
        <v>15857524.886993201</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28046219.895829707</v>
      </c>
      <c r="E24" s="253">
        <f t="shared" ref="E24:J24" si="5">E20-E22</f>
        <v>20432913.14836017</v>
      </c>
      <c r="F24" s="254">
        <f t="shared" si="5"/>
        <v>675448.07834225893</v>
      </c>
      <c r="G24" s="254">
        <f t="shared" si="5"/>
        <v>4711364.0519296583</v>
      </c>
      <c r="H24" s="254">
        <f t="shared" si="5"/>
        <v>2172583.9094476015</v>
      </c>
      <c r="I24" s="254">
        <f t="shared" si="5"/>
        <v>50417.387676598664</v>
      </c>
      <c r="J24" s="254">
        <f t="shared" si="5"/>
        <v>3493.3200734262318</v>
      </c>
      <c r="K24" s="249">
        <f>SUM(E24:J24)</f>
        <v>28046219.895829719</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'WSS-28'!N680+'WSS-28'!N800</f>
        <v>8427234.4818140157</v>
      </c>
      <c r="E26" s="253">
        <f t="shared" ref="E26:J26" si="6">$D$26*(E24/$K$24)</f>
        <v>6139613.4982659724</v>
      </c>
      <c r="F26" s="254">
        <f t="shared" si="6"/>
        <v>202956.38262920716</v>
      </c>
      <c r="G26" s="254">
        <f t="shared" si="6"/>
        <v>1415654.9346853083</v>
      </c>
      <c r="H26" s="254">
        <f t="shared" si="6"/>
        <v>652810.75682693091</v>
      </c>
      <c r="I26" s="254">
        <f t="shared" si="6"/>
        <v>15149.248258386289</v>
      </c>
      <c r="J26" s="254">
        <f t="shared" si="6"/>
        <v>1049.6611482094238</v>
      </c>
      <c r="K26" s="249">
        <f>SUM(E26:J26)</f>
        <v>8427234.4818140138</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'WSS-28'!N730</f>
        <v>161369012.01558807</v>
      </c>
      <c r="E28" s="253">
        <f>'WSS-28'!N180+'WSS-28'!N181+'WSS-28'!N182</f>
        <v>24155348.916894525</v>
      </c>
      <c r="F28" s="254">
        <f>'WSS-28'!N183</f>
        <v>124399061.06284878</v>
      </c>
      <c r="G28" s="254">
        <f>'WSS-28'!N192</f>
        <v>8421843.3052959368</v>
      </c>
      <c r="H28" s="254">
        <f>'WSS-28'!N198+'WSS-28'!N202+'WSS-28'!N204+'WSS-28'!N209</f>
        <v>3543069.2357490007</v>
      </c>
      <c r="I28" s="254">
        <f>'WSS-28'!N203+'WSS-28'!N205+'WSS-28'!N210+'WSS-28'!N214+'WSS-28'!N217</f>
        <v>315711.35236887296</v>
      </c>
      <c r="J28" s="254">
        <f>'WSS-28'!N223+'WSS-28'!N226</f>
        <v>533978.14243095706</v>
      </c>
      <c r="K28" s="249">
        <f>SUM(E28:J28)</f>
        <v>161369012.01558807</v>
      </c>
      <c r="L28" s="250" t="str">
        <f>IF(ABS(K28-D28)&lt;0.01,"ok","err")</f>
        <v>ok</v>
      </c>
      <c r="M28" s="26"/>
      <c r="N28" s="26"/>
    </row>
    <row r="29" spans="1:14" ht="15.3" x14ac:dyDescent="0.55000000000000004">
      <c r="A29" s="282" t="s">
        <v>1802</v>
      </c>
      <c r="B29" s="244" t="s">
        <v>812</v>
      </c>
      <c r="C29" s="245"/>
      <c r="D29" s="253">
        <f>'WSS-28'!N731</f>
        <v>59606091.616011411</v>
      </c>
      <c r="E29" s="253">
        <f>'WSS-28'!N300</f>
        <v>52341402.26935254</v>
      </c>
      <c r="F29" s="254">
        <v>0</v>
      </c>
      <c r="G29" s="254">
        <f>'WSS-28'!N306</f>
        <v>5114929.4604301779</v>
      </c>
      <c r="H29" s="254">
        <f>'WSS-28'!N312+'WSS-28'!N316+'WSS-28'!N318+'WSS-28'!N323</f>
        <v>2102671.0551961381</v>
      </c>
      <c r="I29" s="254">
        <f>'WSS-28'!N317+'WSS-28'!N319+'WSS-28'!N324+'WSS-28'!N328+'WSS-28'!N331</f>
        <v>47088.831032560818</v>
      </c>
      <c r="J29" s="254">
        <v>0</v>
      </c>
      <c r="K29" s="249">
        <f>SUM(E29:J29)</f>
        <v>59606091.616011411</v>
      </c>
      <c r="L29" s="250" t="str">
        <f>IF(ABS(K29-D29)&lt;0.01,"ok","err")</f>
        <v>ok</v>
      </c>
      <c r="M29" s="26"/>
      <c r="N29" s="26"/>
    </row>
    <row r="30" spans="1:14" ht="15.3" x14ac:dyDescent="0.55000000000000004">
      <c r="A30" s="282" t="s">
        <v>1803</v>
      </c>
      <c r="B30" s="244" t="s">
        <v>408</v>
      </c>
      <c r="C30" s="245"/>
      <c r="D30" s="253">
        <f>'WSS-28'!N733+'WSS-28'!N734</f>
        <v>7167647.2344024442</v>
      </c>
      <c r="E30" s="253">
        <f>'WSS-28'!N414+'WSS-28'!N471+'WSS-28'!N357</f>
        <v>5605802.2574165352</v>
      </c>
      <c r="F30" s="254">
        <f>'WSS-28'!N529</f>
        <v>0</v>
      </c>
      <c r="G30" s="254">
        <f>'WSS-28'!N420+'WSS-28'!N477+'WSS-28'!N363</f>
        <v>1029952.1374052949</v>
      </c>
      <c r="H30" s="254">
        <f>'WSS-28'!N426+'WSS-28'!N430+'WSS-28'!N432+'WSS-28'!N437+'WSS-28'!N483+'WSS-28'!N487+'WSS-28'!N489+'WSS-28'!N494+'WSS-28'!N369+'WSS-28'!N373+'WSS-28'!N375+'WSS-28'!N380</f>
        <v>520191.72305552609</v>
      </c>
      <c r="I30" s="254">
        <f>'WSS-28'!N431+'WSS-28'!N433+'WSS-28'!N438+'WSS-28'!N442+'WSS-28'!N445+'WSS-28'!N488+'WSS-28'!N490+'WSS-28'!N495+'WSS-28'!N499+'WSS-28'!N502+'WSS-28'!N374+'WSS-28'!N376+'WSS-28'!N381+'WSS-28'!N385+'WSS-28'!N388</f>
        <v>11701.116525086265</v>
      </c>
      <c r="J30" s="254">
        <v>0</v>
      </c>
      <c r="K30" s="249">
        <f>SUM(E30:J30)</f>
        <v>7167647.2344024424</v>
      </c>
      <c r="L30" s="250" t="str">
        <f>IF(ABS(K30-D30)&lt;0.01,"ok","err")</f>
        <v>ok</v>
      </c>
      <c r="M30" s="26"/>
      <c r="N30" s="26"/>
    </row>
    <row r="31" spans="1:14" ht="15.3" x14ac:dyDescent="0.55000000000000004">
      <c r="A31" s="282" t="s">
        <v>1804</v>
      </c>
      <c r="B31" s="244" t="s">
        <v>1840</v>
      </c>
      <c r="C31" s="245"/>
      <c r="D31" s="253">
        <f>'WSS-28'!N738</f>
        <v>3381652.1422688123</v>
      </c>
      <c r="E31" s="253">
        <f>D31</f>
        <v>3381652.1422688123</v>
      </c>
      <c r="F31" s="254"/>
      <c r="G31" s="254"/>
      <c r="H31" s="254"/>
      <c r="I31" s="254"/>
      <c r="J31" s="254"/>
      <c r="K31" s="249">
        <f>SUM(E31:J31)</f>
        <v>3381652.1422688123</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2480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'WSS-28'!N797+'WSS-28'!N798</f>
        <v>139077.05389329951</v>
      </c>
      <c r="E36" s="253">
        <f t="shared" ref="E36:J36" si="9">(E14/($D$14)*$D$36)</f>
        <v>101323.79242858841</v>
      </c>
      <c r="F36" s="254">
        <f t="shared" si="9"/>
        <v>3349.4470606964073</v>
      </c>
      <c r="G36" s="254">
        <f t="shared" si="9"/>
        <v>23362.957097066948</v>
      </c>
      <c r="H36" s="254">
        <f t="shared" si="9"/>
        <v>10773.522085480337</v>
      </c>
      <c r="I36" s="254">
        <f t="shared" si="9"/>
        <v>250.01236420100636</v>
      </c>
      <c r="J36" s="254">
        <f t="shared" si="9"/>
        <v>17.32285726643277</v>
      </c>
      <c r="K36" s="249">
        <f t="shared" si="8"/>
        <v>139077.05389329954</v>
      </c>
      <c r="L36" s="250" t="str">
        <f t="shared" si="7"/>
        <v>ok</v>
      </c>
      <c r="M36" s="26"/>
      <c r="N36" s="26"/>
    </row>
    <row r="37" spans="1:14" ht="15.3" x14ac:dyDescent="0.55000000000000004">
      <c r="A37" s="284" t="s">
        <v>1826</v>
      </c>
      <c r="B37" s="244" t="s">
        <v>2265</v>
      </c>
      <c r="C37" s="301"/>
      <c r="D37" s="253">
        <f>'WSS-28'!N737</f>
        <v>-1032456.07</v>
      </c>
      <c r="E37" s="253">
        <f>D37</f>
        <v>-1032456.07</v>
      </c>
      <c r="F37" s="303">
        <v>0</v>
      </c>
      <c r="G37" s="303">
        <v>0</v>
      </c>
      <c r="H37" s="303">
        <v>0</v>
      </c>
      <c r="I37" s="303">
        <v>0</v>
      </c>
      <c r="J37" s="303">
        <v>0</v>
      </c>
      <c r="K37" s="249">
        <f t="shared" si="8"/>
        <v>-1032456.07</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-893379.01610670041</v>
      </c>
      <c r="E39" s="253">
        <f t="shared" si="10"/>
        <v>-931132.27757141157</v>
      </c>
      <c r="F39" s="254">
        <f t="shared" si="10"/>
        <v>3349.4470606964073</v>
      </c>
      <c r="G39" s="254">
        <f t="shared" si="10"/>
        <v>23362.957097066948</v>
      </c>
      <c r="H39" s="254">
        <f t="shared" si="10"/>
        <v>10773.522085480337</v>
      </c>
      <c r="I39" s="254">
        <f t="shared" si="10"/>
        <v>250.01236420100636</v>
      </c>
      <c r="J39" s="254">
        <f t="shared" si="10"/>
        <v>17.32285726643277</v>
      </c>
      <c r="K39" s="249">
        <f t="shared" si="8"/>
        <v>-893379.01610670041</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282962003.25680101</v>
      </c>
      <c r="E41" s="253">
        <f t="shared" ref="E41:J41" si="11">SUM(E28:E31)+E22+E26+E39+E24</f>
        <v>122678509.04460284</v>
      </c>
      <c r="F41" s="254">
        <f t="shared" si="11"/>
        <v>125662717.94218925</v>
      </c>
      <c r="G41" s="254">
        <f t="shared" si="11"/>
        <v>23380944.361583486</v>
      </c>
      <c r="H41" s="254">
        <f t="shared" si="11"/>
        <v>10230494.030160233</v>
      </c>
      <c r="I41" s="254">
        <f t="shared" si="11"/>
        <v>468824.28465137625</v>
      </c>
      <c r="J41" s="254">
        <f t="shared" si="11"/>
        <v>540513.59361375915</v>
      </c>
      <c r="K41" s="249">
        <f>SUM(E41:J41)</f>
        <v>282962003.25680095</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-'WSS-28'!N659-'WSS-28'!N665</f>
        <v>-257951.69167500932</v>
      </c>
      <c r="E43" s="253">
        <f>D43</f>
        <v>-257951.69167500932</v>
      </c>
      <c r="F43" s="254">
        <v>0</v>
      </c>
      <c r="G43" s="254">
        <v>0</v>
      </c>
      <c r="H43" s="254">
        <v>0</v>
      </c>
      <c r="I43" s="254">
        <v>0</v>
      </c>
      <c r="J43" s="254">
        <v>0</v>
      </c>
      <c r="K43" s="249">
        <f>SUM(E43:J43)</f>
        <v>-257951.69167500932</v>
      </c>
      <c r="L43" s="250" t="str">
        <f>IF(ABS(K43-D43)&lt;0.01,"ok","err")</f>
        <v>ok</v>
      </c>
      <c r="M43" s="26"/>
      <c r="N43" s="26"/>
    </row>
    <row r="44" spans="1:14" ht="15.3" x14ac:dyDescent="0.55000000000000004">
      <c r="A44" s="282" t="s">
        <v>1830</v>
      </c>
      <c r="B44" s="244" t="s">
        <v>1832</v>
      </c>
      <c r="C44" s="245"/>
      <c r="D44" s="253">
        <f>-'WSS-28'!N652</f>
        <v>-1985075.4923949896</v>
      </c>
      <c r="E44" s="253">
        <v>0</v>
      </c>
      <c r="F44" s="254">
        <f>D44</f>
        <v>-1985075.4923949896</v>
      </c>
      <c r="G44" s="254">
        <v>0</v>
      </c>
      <c r="H44" s="254">
        <v>0</v>
      </c>
      <c r="I44" s="254">
        <v>0</v>
      </c>
      <c r="J44" s="254">
        <v>0</v>
      </c>
      <c r="K44" s="249">
        <f>SUM(E44:J44)</f>
        <v>-1985075.4923949896</v>
      </c>
      <c r="L44" s="250" t="str">
        <f>IF(ABS(K44-D44)&lt;0.01,"ok","err")</f>
        <v>ok</v>
      </c>
      <c r="M44" s="26"/>
      <c r="N44" s="26"/>
    </row>
    <row r="45" spans="1:14" ht="15.3" x14ac:dyDescent="0.55000000000000004">
      <c r="A45" s="282" t="s">
        <v>1834</v>
      </c>
      <c r="B45" s="244" t="s">
        <v>2469</v>
      </c>
      <c r="C45" s="245"/>
      <c r="D45" s="253">
        <f>-'WSS-28'!N658</f>
        <v>-3873017.0775210653</v>
      </c>
      <c r="E45" s="253">
        <v>0</v>
      </c>
      <c r="F45" s="254">
        <v>0</v>
      </c>
      <c r="G45" s="254">
        <f>D45</f>
        <v>-3873017.0775210653</v>
      </c>
      <c r="H45" s="254">
        <v>0</v>
      </c>
      <c r="I45" s="254">
        <v>0</v>
      </c>
      <c r="J45" s="254">
        <v>0</v>
      </c>
      <c r="K45" s="249">
        <f>SUM(E45:J45)</f>
        <v>-3873017.0775210653</v>
      </c>
      <c r="L45" s="250" t="str">
        <f>IF(ABS(K45-D45)&lt;0.01,"ok","err")</f>
        <v>ok</v>
      </c>
      <c r="M45" s="26"/>
      <c r="N45" s="26"/>
    </row>
    <row r="46" spans="1:14" ht="15.3" x14ac:dyDescent="0.55000000000000004">
      <c r="A46" s="282" t="s">
        <v>1835</v>
      </c>
      <c r="B46" s="244" t="s">
        <v>1833</v>
      </c>
      <c r="C46" s="245"/>
      <c r="D46" s="253">
        <f>-('WSS-28'!N654+'WSS-28'!N655+'WSS-28'!N656+'WSS-28'!N657+'WSS-28'!N660+'WSS-28'!N662+'WSS-28'!N663+'WSS-28'!N664)</f>
        <v>-438891.10335915204</v>
      </c>
      <c r="E46" s="253">
        <f t="shared" ref="E46:J46" si="12">(E14/($D$14)*$D$46)</f>
        <v>-319751.60395355016</v>
      </c>
      <c r="F46" s="254">
        <f t="shared" si="12"/>
        <v>-10569.986025444121</v>
      </c>
      <c r="G46" s="254">
        <f t="shared" si="12"/>
        <v>-73727.431887728919</v>
      </c>
      <c r="H46" s="254">
        <f t="shared" si="12"/>
        <v>-33998.440884348238</v>
      </c>
      <c r="I46" s="254">
        <f t="shared" si="12"/>
        <v>-788.97416436354604</v>
      </c>
      <c r="J46" s="254">
        <f t="shared" si="12"/>
        <v>-54.666443717097422</v>
      </c>
      <c r="K46" s="249">
        <f>SUM(E46:J46)</f>
        <v>-438891.10335915204</v>
      </c>
      <c r="L46" s="250" t="str">
        <f>IF(ABS(K46-D46)&lt;0.01,"ok","err")</f>
        <v>ok</v>
      </c>
      <c r="M46" s="26"/>
      <c r="N46" s="26"/>
    </row>
    <row r="47" spans="1:14" ht="15.3" x14ac:dyDescent="0.55000000000000004">
      <c r="A47" s="282" t="s">
        <v>1841</v>
      </c>
      <c r="B47" s="244" t="s">
        <v>1836</v>
      </c>
      <c r="C47" s="245"/>
      <c r="D47" s="253">
        <f>SUM(D43:D46)</f>
        <v>-6554935.3649502154</v>
      </c>
      <c r="E47" s="253">
        <f t="shared" ref="E47:J47" si="13">SUM(E43:E46)</f>
        <v>-577703.29562855954</v>
      </c>
      <c r="F47" s="254">
        <f t="shared" si="13"/>
        <v>-1995645.4784204338</v>
      </c>
      <c r="G47" s="254">
        <f t="shared" si="13"/>
        <v>-3946744.5094087943</v>
      </c>
      <c r="H47" s="254">
        <f t="shared" si="13"/>
        <v>-33998.440884348238</v>
      </c>
      <c r="I47" s="254">
        <f t="shared" si="13"/>
        <v>-788.97416436354604</v>
      </c>
      <c r="J47" s="254">
        <f t="shared" si="13"/>
        <v>-54.666443717097422</v>
      </c>
      <c r="K47" s="249">
        <f>SUM(E47:J47)</f>
        <v>-6554935.3649502164</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276407067.89185077</v>
      </c>
      <c r="E49" s="253">
        <f t="shared" ref="E49:J49" si="14">E41+E47</f>
        <v>122100805.74897428</v>
      </c>
      <c r="F49" s="254">
        <f t="shared" si="14"/>
        <v>123667072.46376881</v>
      </c>
      <c r="G49" s="254">
        <f t="shared" si="14"/>
        <v>19434199.852174692</v>
      </c>
      <c r="H49" s="254">
        <f t="shared" si="14"/>
        <v>10196495.589275885</v>
      </c>
      <c r="I49" s="254">
        <f t="shared" si="14"/>
        <v>468035.31048701273</v>
      </c>
      <c r="J49" s="254">
        <f t="shared" si="14"/>
        <v>540458.92717004206</v>
      </c>
      <c r="K49" s="249">
        <f>SUM(E49:J49)</f>
        <v>276407067.89185077</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8525278.7373274509</v>
      </c>
      <c r="F51" s="252">
        <f>'Billing Det'!$C$22</f>
        <v>3951918371</v>
      </c>
      <c r="G51" s="252">
        <v>10620000</v>
      </c>
      <c r="H51" s="265">
        <f>G51</f>
        <v>10620000</v>
      </c>
      <c r="I51" s="265">
        <f>'WSS-28'!N831</f>
        <v>3066.4438356164383</v>
      </c>
      <c r="J51" s="265">
        <f>I51</f>
        <v>3066.4438356164383</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2472</v>
      </c>
      <c r="B53" s="266" t="s">
        <v>1813</v>
      </c>
      <c r="C53" s="267"/>
      <c r="D53" s="268"/>
      <c r="E53" s="446">
        <f t="shared" ref="E53:J53" si="15">E49/E51</f>
        <v>14.322206875695782</v>
      </c>
      <c r="F53" s="270">
        <f t="shared" si="15"/>
        <v>3.1292921779777522E-2</v>
      </c>
      <c r="G53" s="447">
        <f t="shared" si="15"/>
        <v>1.8299623212970519</v>
      </c>
      <c r="H53" s="447">
        <f t="shared" si="15"/>
        <v>0.96012199522371799</v>
      </c>
      <c r="I53" s="271">
        <f>I49/I51</f>
        <v>152.63130048260771</v>
      </c>
      <c r="J53" s="271">
        <f t="shared" si="15"/>
        <v>176.24941337345419</v>
      </c>
      <c r="K53" s="272">
        <f>I53+J53</f>
        <v>328.8807138560619</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328.8807138560619</v>
      </c>
      <c r="L55" s="291">
        <f>ROUND(K55/30.5,2)</f>
        <v>10.78</v>
      </c>
      <c r="M55" s="26"/>
      <c r="N55" s="26"/>
    </row>
    <row r="56" spans="1:14" ht="15.3" x14ac:dyDescent="0.55000000000000004">
      <c r="A56" s="26"/>
      <c r="B56" s="26"/>
      <c r="C56" s="26"/>
      <c r="D56" s="290"/>
      <c r="E56" s="26"/>
      <c r="F56" s="26"/>
      <c r="G56" s="26"/>
      <c r="H56" s="26"/>
      <c r="I56" s="26"/>
      <c r="J56" s="26" t="s">
        <v>2266</v>
      </c>
      <c r="K56" s="279">
        <f>E53+G53+H53</f>
        <v>17.112291192216553</v>
      </c>
      <c r="L56" s="26"/>
      <c r="M56" s="26"/>
      <c r="N56" s="26"/>
    </row>
    <row r="57" spans="1:14" ht="15.3" x14ac:dyDescent="0.55000000000000004">
      <c r="A57" s="26"/>
      <c r="B57" s="26"/>
      <c r="C57" s="26"/>
      <c r="D57" s="279"/>
      <c r="E57" s="26"/>
      <c r="F57" s="26"/>
      <c r="G57" s="26"/>
      <c r="H57" s="26"/>
      <c r="I57" s="26"/>
      <c r="J57" s="26" t="s">
        <v>2271</v>
      </c>
      <c r="K57" s="289">
        <f>F53</f>
        <v>3.1292921779777522E-2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N63"/>
  <sheetViews>
    <sheetView view="pageBreakPreview" topLeftCell="B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2269</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'WSS-28'!O174</f>
        <v>225535968.00398141</v>
      </c>
      <c r="E14" s="247">
        <f>'WSS-28'!O123+'WSS-28'!O124+'WSS-28'!O125</f>
        <v>175599829.95771211</v>
      </c>
      <c r="F14" s="248">
        <f>'WSS-28'!O126</f>
        <v>6206391.0166964289</v>
      </c>
      <c r="G14" s="248">
        <f>'WSS-28'!O135</f>
        <v>43134165.823783822</v>
      </c>
      <c r="H14" s="248">
        <f>'WSS-28'!O145+'WSS-28'!O147+'WSS-28'!O152+'WSS-28'!O141</f>
        <v>0</v>
      </c>
      <c r="I14" s="248">
        <f>'WSS-28'!O146+'WSS-28'!O148+'WSS-28'!O153+'WSS-28'!O157+'WSS-28'!O160+'WSS-28'!O163</f>
        <v>588375.92128553998</v>
      </c>
      <c r="J14" s="248">
        <f>'WSS-28'!O166+'WSS-28'!O169</f>
        <v>7205.2845035162136</v>
      </c>
      <c r="K14" s="249">
        <f>SUM(E14:J14)</f>
        <v>225535968.00398141</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225535968.00398141</v>
      </c>
      <c r="E16" s="253">
        <f t="shared" ref="E16:K16" si="1">E14+E15</f>
        <v>175599829.95771211</v>
      </c>
      <c r="F16" s="254">
        <f t="shared" si="1"/>
        <v>6206391.0166964289</v>
      </c>
      <c r="G16" s="254">
        <f t="shared" si="1"/>
        <v>43134165.823783822</v>
      </c>
      <c r="H16" s="254">
        <f t="shared" si="1"/>
        <v>0</v>
      </c>
      <c r="I16" s="254">
        <f t="shared" si="1"/>
        <v>588375.92128553998</v>
      </c>
      <c r="J16" s="254">
        <f t="shared" si="1"/>
        <v>7205.2845035162136</v>
      </c>
      <c r="K16" s="249">
        <f t="shared" si="1"/>
        <v>225535968.00398141</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'WSS-28'!O808</f>
        <v>6.4490670524080113E-2</v>
      </c>
      <c r="E18" s="258">
        <f t="shared" ref="E18:J18" si="2">D18</f>
        <v>6.4490670524080113E-2</v>
      </c>
      <c r="F18" s="259">
        <f t="shared" si="2"/>
        <v>6.4490670524080113E-2</v>
      </c>
      <c r="G18" s="259">
        <f t="shared" si="2"/>
        <v>6.4490670524080113E-2</v>
      </c>
      <c r="H18" s="259">
        <f t="shared" si="2"/>
        <v>6.4490670524080113E-2</v>
      </c>
      <c r="I18" s="259">
        <f t="shared" si="2"/>
        <v>6.4490670524080113E-2</v>
      </c>
      <c r="J18" s="259">
        <f t="shared" si="2"/>
        <v>6.4490670524080113E-2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14544965.803874239</v>
      </c>
      <c r="E20" s="253">
        <f t="shared" ref="E20:J20" si="3">E18*E16</f>
        <v>11324550.777887305</v>
      </c>
      <c r="F20" s="254">
        <f t="shared" si="3"/>
        <v>400254.31820137997</v>
      </c>
      <c r="G20" s="254">
        <f t="shared" si="3"/>
        <v>2781751.2764726793</v>
      </c>
      <c r="H20" s="254">
        <f t="shared" si="3"/>
        <v>0</v>
      </c>
      <c r="I20" s="254">
        <f t="shared" si="3"/>
        <v>37944.757683927855</v>
      </c>
      <c r="J20" s="254">
        <f t="shared" si="3"/>
        <v>464.67362894852431</v>
      </c>
      <c r="K20" s="249">
        <f>SUM(E20:J20)</f>
        <v>14544965.803874241</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'WSS-28'!O708</f>
        <v>4838726.1642371649</v>
      </c>
      <c r="E22" s="253">
        <f t="shared" ref="E22:J22" si="4">(E14/$D$14)*$D$22</f>
        <v>3767379.0977631523</v>
      </c>
      <c r="F22" s="254">
        <f t="shared" si="4"/>
        <v>133154.04573272041</v>
      </c>
      <c r="G22" s="254">
        <f t="shared" si="4"/>
        <v>925415.21687752637</v>
      </c>
      <c r="H22" s="254">
        <f t="shared" si="4"/>
        <v>0</v>
      </c>
      <c r="I22" s="254">
        <f t="shared" si="4"/>
        <v>12623.219213891554</v>
      </c>
      <c r="J22" s="254">
        <f t="shared" si="4"/>
        <v>154.58464987420999</v>
      </c>
      <c r="K22" s="249">
        <f>SUM(E22:J22)</f>
        <v>4838726.1642371649</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9706239.6396370754</v>
      </c>
      <c r="E24" s="253">
        <f t="shared" ref="E24:J24" si="5">E20-E22</f>
        <v>7557171.6801241525</v>
      </c>
      <c r="F24" s="254">
        <f t="shared" si="5"/>
        <v>267100.27246865956</v>
      </c>
      <c r="G24" s="254">
        <f t="shared" si="5"/>
        <v>1856336.059595153</v>
      </c>
      <c r="H24" s="254">
        <f t="shared" si="5"/>
        <v>0</v>
      </c>
      <c r="I24" s="254">
        <f t="shared" si="5"/>
        <v>25321.538470036299</v>
      </c>
      <c r="J24" s="254">
        <f t="shared" si="5"/>
        <v>310.08897907431435</v>
      </c>
      <c r="K24" s="249">
        <f>SUM(E24:J24)</f>
        <v>9706239.6396370754</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'WSS-28'!O680+'WSS-28'!O800</f>
        <v>2324923.3816774972</v>
      </c>
      <c r="E26" s="253">
        <f t="shared" ref="E26:J26" si="6">$D$26*(E24/$K$24)</f>
        <v>1810159.834373161</v>
      </c>
      <c r="F26" s="254">
        <f t="shared" si="6"/>
        <v>63978.192561711381</v>
      </c>
      <c r="G26" s="254">
        <f t="shared" si="6"/>
        <v>444645.84323463251</v>
      </c>
      <c r="H26" s="254">
        <f t="shared" si="6"/>
        <v>0</v>
      </c>
      <c r="I26" s="254">
        <f t="shared" si="6"/>
        <v>6065.2362845674452</v>
      </c>
      <c r="J26" s="254">
        <f t="shared" si="6"/>
        <v>74.275223424973447</v>
      </c>
      <c r="K26" s="249">
        <f>SUM(E26:J26)</f>
        <v>2324923.3816774976</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'WSS-28'!O730</f>
        <v>54271582.06786228</v>
      </c>
      <c r="E28" s="253">
        <f>'WSS-28'!O180+'WSS-28'!O181+'WSS-28'!O182</f>
        <v>7862929.7065529078</v>
      </c>
      <c r="F28" s="254">
        <f>'WSS-28'!O183</f>
        <v>43295378.590056986</v>
      </c>
      <c r="G28" s="254">
        <f>'WSS-28'!O192</f>
        <v>2920513.1932005468</v>
      </c>
      <c r="H28" s="254">
        <f>'WSS-28'!O198+'WSS-28'!O202+'WSS-28'!O204+'WSS-28'!O209</f>
        <v>0</v>
      </c>
      <c r="I28" s="254">
        <f>'WSS-28'!O203+'WSS-28'!O205+'WSS-28'!O210+'WSS-28'!O214+'WSS-28'!O217</f>
        <v>151043.53567442548</v>
      </c>
      <c r="J28" s="254">
        <f>'WSS-28'!O223+'WSS-28'!O226</f>
        <v>41717.042377418518</v>
      </c>
      <c r="K28" s="249">
        <f>SUM(E28:J28)</f>
        <v>54271582.06786228</v>
      </c>
      <c r="L28" s="250" t="str">
        <f>IF(ABS(K28-D28)&lt;0.01,"ok","err")</f>
        <v>ok</v>
      </c>
      <c r="M28" s="26"/>
      <c r="N28" s="26"/>
    </row>
    <row r="29" spans="1:14" ht="15.3" x14ac:dyDescent="0.55000000000000004">
      <c r="A29" s="282" t="s">
        <v>1802</v>
      </c>
      <c r="B29" s="244" t="s">
        <v>812</v>
      </c>
      <c r="C29" s="245"/>
      <c r="D29" s="253">
        <f>'WSS-28'!O731</f>
        <v>18832387.238158166</v>
      </c>
      <c r="E29" s="253">
        <f>'WSS-28'!O300</f>
        <v>17037914.385019727</v>
      </c>
      <c r="F29" s="254">
        <v>0</v>
      </c>
      <c r="G29" s="254">
        <f>'WSS-28'!O306</f>
        <v>1773746.9613193632</v>
      </c>
      <c r="H29" s="254">
        <f>'WSS-28'!O312+'WSS-28'!O316+'WSS-28'!O318+'WSS-28'!O323</f>
        <v>0</v>
      </c>
      <c r="I29" s="254">
        <f>'WSS-28'!O317+'WSS-28'!O319+'WSS-28'!O324+'WSS-28'!O328+'WSS-28'!O331</f>
        <v>20725.891819075743</v>
      </c>
      <c r="J29" s="254">
        <v>0</v>
      </c>
      <c r="K29" s="249">
        <f>SUM(E29:J29)</f>
        <v>18832387.238158166</v>
      </c>
      <c r="L29" s="250" t="str">
        <f>IF(ABS(K29-D29)&lt;0.01,"ok","err")</f>
        <v>ok</v>
      </c>
      <c r="M29" s="26"/>
      <c r="N29" s="26"/>
    </row>
    <row r="30" spans="1:14" ht="15.3" x14ac:dyDescent="0.55000000000000004">
      <c r="A30" s="282" t="s">
        <v>1803</v>
      </c>
      <c r="B30" s="244" t="s">
        <v>408</v>
      </c>
      <c r="C30" s="245"/>
      <c r="D30" s="253">
        <f>'WSS-28'!O733+'WSS-28'!O734</f>
        <v>2187091.2108008387</v>
      </c>
      <c r="E30" s="253">
        <f>'WSS-28'!O414+'WSS-28'!O471+'WSS-28'!O357</f>
        <v>1824773.0244158534</v>
      </c>
      <c r="F30" s="254">
        <f>'WSS-28'!O529</f>
        <v>0</v>
      </c>
      <c r="G30" s="254">
        <f>'WSS-28'!O420+'WSS-28'!O477+'WSS-28'!O363</f>
        <v>357165.13554292114</v>
      </c>
      <c r="H30" s="254">
        <f>'WSS-28'!O426+'WSS-28'!O430+'WSS-28'!O432+'WSS-28'!O437+'WSS-28'!O483+'WSS-28'!O487+'WSS-28'!O489+'WSS-28'!O494+'WSS-28'!O369+'WSS-28'!O373+'WSS-28'!O375+'WSS-28'!O380</f>
        <v>0</v>
      </c>
      <c r="I30" s="254">
        <f>'WSS-28'!O431+'WSS-28'!O433+'WSS-28'!O438+'WSS-28'!O442+'WSS-28'!O445+'WSS-28'!O488+'WSS-28'!O490+'WSS-28'!O495+'WSS-28'!O499+'WSS-28'!O502+'WSS-28'!O374+'WSS-28'!O376+'WSS-28'!O381+'WSS-28'!O385+'WSS-28'!O388</f>
        <v>5153.0508420637825</v>
      </c>
      <c r="J30" s="254">
        <v>0</v>
      </c>
      <c r="K30" s="249">
        <f>SUM(E30:J30)</f>
        <v>2187091.2108008387</v>
      </c>
      <c r="L30" s="250" t="str">
        <f>IF(ABS(K30-D30)&lt;0.01,"ok","err")</f>
        <v>ok</v>
      </c>
      <c r="M30" s="26"/>
      <c r="N30" s="26"/>
    </row>
    <row r="31" spans="1:14" ht="15.3" x14ac:dyDescent="0.55000000000000004">
      <c r="A31" s="282" t="s">
        <v>1804</v>
      </c>
      <c r="B31" s="244" t="s">
        <v>1840</v>
      </c>
      <c r="C31" s="245"/>
      <c r="D31" s="253">
        <f>'WSS-28'!O738</f>
        <v>1100778.6796272106</v>
      </c>
      <c r="E31" s="253">
        <f>D31</f>
        <v>1100778.6796272106</v>
      </c>
      <c r="F31" s="254"/>
      <c r="G31" s="254"/>
      <c r="H31" s="254"/>
      <c r="I31" s="254"/>
      <c r="J31" s="254"/>
      <c r="K31" s="249">
        <f>SUM(E31:J31)</f>
        <v>1100778.6796272106</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2480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'WSS-28'!O797+'WSS-28'!O798</f>
        <v>45346.023099847182</v>
      </c>
      <c r="E36" s="253">
        <f t="shared" ref="E36:J36" si="9">(E14/($D$14)*$D$36)</f>
        <v>35305.916018907825</v>
      </c>
      <c r="F36" s="254">
        <f t="shared" si="9"/>
        <v>1247.8504111806774</v>
      </c>
      <c r="G36" s="254">
        <f t="shared" si="9"/>
        <v>8672.5097426739994</v>
      </c>
      <c r="H36" s="254">
        <f t="shared" si="9"/>
        <v>0</v>
      </c>
      <c r="I36" s="254">
        <f t="shared" si="9"/>
        <v>118.29824020591239</v>
      </c>
      <c r="J36" s="254">
        <f t="shared" si="9"/>
        <v>1.4486868787671567</v>
      </c>
      <c r="K36" s="249">
        <f t="shared" si="8"/>
        <v>45346.023099847182</v>
      </c>
      <c r="L36" s="250" t="str">
        <f t="shared" si="7"/>
        <v>ok</v>
      </c>
      <c r="M36" s="26"/>
      <c r="N36" s="26"/>
    </row>
    <row r="37" spans="1:14" ht="15.3" x14ac:dyDescent="0.55000000000000004">
      <c r="A37" s="284" t="s">
        <v>1826</v>
      </c>
      <c r="B37" s="244" t="s">
        <v>2265</v>
      </c>
      <c r="C37" s="301"/>
      <c r="D37" s="253">
        <f>'WSS-28'!O737</f>
        <v>-3386120.19</v>
      </c>
      <c r="E37" s="253">
        <f>D37</f>
        <v>-3386120.19</v>
      </c>
      <c r="F37" s="303">
        <v>0</v>
      </c>
      <c r="G37" s="303">
        <v>0</v>
      </c>
      <c r="H37" s="303">
        <v>0</v>
      </c>
      <c r="I37" s="303">
        <v>0</v>
      </c>
      <c r="J37" s="303">
        <v>0</v>
      </c>
      <c r="K37" s="249">
        <f t="shared" si="8"/>
        <v>-3386120.19</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-3340774.1669001528</v>
      </c>
      <c r="E39" s="253">
        <f t="shared" si="10"/>
        <v>-3350814.273981092</v>
      </c>
      <c r="F39" s="254">
        <f t="shared" si="10"/>
        <v>1247.8504111806774</v>
      </c>
      <c r="G39" s="254">
        <f t="shared" si="10"/>
        <v>8672.5097426739994</v>
      </c>
      <c r="H39" s="254">
        <f t="shared" si="10"/>
        <v>0</v>
      </c>
      <c r="I39" s="254">
        <f t="shared" si="10"/>
        <v>118.29824020591239</v>
      </c>
      <c r="J39" s="254">
        <f t="shared" si="10"/>
        <v>1.4486868787671567</v>
      </c>
      <c r="K39" s="249">
        <f t="shared" si="8"/>
        <v>-3340774.1669001528</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89920954.21510008</v>
      </c>
      <c r="E41" s="253">
        <f t="shared" ref="E41:J41" si="11">SUM(E28:E31)+E22+E26+E39+E24</f>
        <v>37610292.133895069</v>
      </c>
      <c r="F41" s="254">
        <f t="shared" si="11"/>
        <v>43760858.951231256</v>
      </c>
      <c r="G41" s="254">
        <f t="shared" si="11"/>
        <v>8286494.9195128167</v>
      </c>
      <c r="H41" s="254">
        <f t="shared" si="11"/>
        <v>0</v>
      </c>
      <c r="I41" s="254">
        <f t="shared" si="11"/>
        <v>221050.77054426621</v>
      </c>
      <c r="J41" s="254">
        <f t="shared" si="11"/>
        <v>42257.439916670781</v>
      </c>
      <c r="K41" s="249">
        <f>SUM(E41:J41)</f>
        <v>89920954.21510008</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-'WSS-28'!O659-'WSS-28'!O665</f>
        <v>-83967.158839441239</v>
      </c>
      <c r="E43" s="253">
        <f>D43</f>
        <v>-83967.158839441239</v>
      </c>
      <c r="F43" s="254">
        <v>0</v>
      </c>
      <c r="G43" s="254">
        <v>0</v>
      </c>
      <c r="H43" s="254">
        <v>0</v>
      </c>
      <c r="I43" s="254">
        <v>0</v>
      </c>
      <c r="J43" s="254">
        <v>0</v>
      </c>
      <c r="K43" s="249">
        <f>SUM(E43:J43)</f>
        <v>-83967.158839441239</v>
      </c>
      <c r="L43" s="250" t="str">
        <f>IF(ABS(K43-D43)&lt;0.01,"ok","err")</f>
        <v>ok</v>
      </c>
      <c r="M43" s="26"/>
      <c r="N43" s="26"/>
    </row>
    <row r="44" spans="1:14" ht="15.3" x14ac:dyDescent="0.55000000000000004">
      <c r="A44" s="282" t="s">
        <v>1830</v>
      </c>
      <c r="B44" s="244" t="s">
        <v>1832</v>
      </c>
      <c r="C44" s="245"/>
      <c r="D44" s="253">
        <f>-'WSS-28'!O652</f>
        <v>-690878.16450370161</v>
      </c>
      <c r="E44" s="253">
        <v>0</v>
      </c>
      <c r="F44" s="254">
        <f>D44</f>
        <v>-690878.16450370161</v>
      </c>
      <c r="G44" s="254">
        <v>0</v>
      </c>
      <c r="H44" s="254">
        <v>0</v>
      </c>
      <c r="I44" s="254">
        <v>0</v>
      </c>
      <c r="J44" s="254">
        <v>0</v>
      </c>
      <c r="K44" s="249">
        <f>SUM(E44:J44)</f>
        <v>-690878.16450370161</v>
      </c>
      <c r="L44" s="250" t="str">
        <f>IF(ABS(K44-D44)&lt;0.01,"ok","err")</f>
        <v>ok</v>
      </c>
      <c r="M44" s="26"/>
      <c r="N44" s="26"/>
    </row>
    <row r="45" spans="1:14" ht="15.3" x14ac:dyDescent="0.55000000000000004">
      <c r="A45" s="282" t="s">
        <v>1834</v>
      </c>
      <c r="B45" s="244" t="s">
        <v>2469</v>
      </c>
      <c r="C45" s="245"/>
      <c r="D45" s="253">
        <f>-'WSS-28'!O658</f>
        <v>-1343078.594834273</v>
      </c>
      <c r="E45" s="253">
        <v>0</v>
      </c>
      <c r="F45" s="254">
        <v>0</v>
      </c>
      <c r="G45" s="254">
        <f>D45</f>
        <v>-1343078.594834273</v>
      </c>
      <c r="H45" s="254">
        <v>0</v>
      </c>
      <c r="I45" s="254">
        <v>0</v>
      </c>
      <c r="J45" s="254">
        <v>0</v>
      </c>
      <c r="K45" s="249">
        <f>SUM(E45:J45)</f>
        <v>-1343078.594834273</v>
      </c>
      <c r="L45" s="250" t="str">
        <f>IF(ABS(K45-D45)&lt;0.01,"ok","err")</f>
        <v>ok</v>
      </c>
      <c r="M45" s="26"/>
      <c r="N45" s="26"/>
    </row>
    <row r="46" spans="1:14" ht="15.3" x14ac:dyDescent="0.55000000000000004">
      <c r="A46" s="282" t="s">
        <v>1835</v>
      </c>
      <c r="B46" s="244" t="s">
        <v>1833</v>
      </c>
      <c r="C46" s="245"/>
      <c r="D46" s="253">
        <f>-('WSS-28'!O654+'WSS-28'!O655+'WSS-28'!O656+'WSS-28'!O657+'WSS-28'!O660+'WSS-28'!O662+'WSS-28'!O663+'WSS-28'!O664)</f>
        <v>-129263.46488549298</v>
      </c>
      <c r="E46" s="253">
        <f t="shared" ref="E46:J46" si="12">(E14/($D$14)*$D$46)</f>
        <v>-100643.11539539696</v>
      </c>
      <c r="F46" s="254">
        <f t="shared" si="12"/>
        <v>-3557.1248983142928</v>
      </c>
      <c r="G46" s="254">
        <f t="shared" si="12"/>
        <v>-24721.873759972885</v>
      </c>
      <c r="H46" s="254">
        <f t="shared" si="12"/>
        <v>0</v>
      </c>
      <c r="I46" s="254">
        <f t="shared" si="12"/>
        <v>-337.2212020710611</v>
      </c>
      <c r="J46" s="254">
        <f t="shared" si="12"/>
        <v>-4.1296297377889326</v>
      </c>
      <c r="K46" s="249">
        <f>SUM(E46:J46)</f>
        <v>-129263.46488549298</v>
      </c>
      <c r="L46" s="250" t="str">
        <f>IF(ABS(K46-D46)&lt;0.01,"ok","err")</f>
        <v>ok</v>
      </c>
      <c r="M46" s="26"/>
      <c r="N46" s="26"/>
    </row>
    <row r="47" spans="1:14" ht="15.3" x14ac:dyDescent="0.55000000000000004">
      <c r="A47" s="282" t="s">
        <v>1841</v>
      </c>
      <c r="B47" s="244" t="s">
        <v>1836</v>
      </c>
      <c r="C47" s="245"/>
      <c r="D47" s="253">
        <f>SUM(D43:D46)</f>
        <v>-2247187.3830629084</v>
      </c>
      <c r="E47" s="253">
        <f t="shared" ref="E47:J47" si="13">SUM(E43:E46)</f>
        <v>-184610.2742348382</v>
      </c>
      <c r="F47" s="254">
        <f t="shared" si="13"/>
        <v>-694435.28940201586</v>
      </c>
      <c r="G47" s="254">
        <f t="shared" si="13"/>
        <v>-1367800.4685942458</v>
      </c>
      <c r="H47" s="254">
        <f t="shared" si="13"/>
        <v>0</v>
      </c>
      <c r="I47" s="254">
        <f t="shared" si="13"/>
        <v>-337.2212020710611</v>
      </c>
      <c r="J47" s="254">
        <f t="shared" si="13"/>
        <v>-4.1296297377889326</v>
      </c>
      <c r="K47" s="249">
        <f>SUM(E47:J47)</f>
        <v>-2247187.3830629089</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87673766.832037166</v>
      </c>
      <c r="E49" s="253">
        <f t="shared" ref="E49:J49" si="14">E41+E47</f>
        <v>37425681.859660231</v>
      </c>
      <c r="F49" s="254">
        <f t="shared" si="14"/>
        <v>43066423.661829241</v>
      </c>
      <c r="G49" s="254">
        <f t="shared" si="14"/>
        <v>6918694.4509185711</v>
      </c>
      <c r="H49" s="254">
        <f t="shared" si="14"/>
        <v>0</v>
      </c>
      <c r="I49" s="254">
        <f t="shared" si="14"/>
        <v>220713.54934219515</v>
      </c>
      <c r="J49" s="254">
        <f t="shared" si="14"/>
        <v>42253.310286932989</v>
      </c>
      <c r="K49" s="249">
        <f>SUM(E49:J49)</f>
        <v>87673766.832037181</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2902956</v>
      </c>
      <c r="F51" s="252">
        <f>'Billing Det'!$C$24</f>
        <v>1404629847</v>
      </c>
      <c r="G51" s="252">
        <v>3201300</v>
      </c>
      <c r="H51" s="265">
        <f>G51</f>
        <v>3201300</v>
      </c>
      <c r="I51" s="265">
        <f>'WSS-28'!O831</f>
        <v>240</v>
      </c>
      <c r="J51" s="265">
        <f>I51</f>
        <v>240</v>
      </c>
      <c r="K51" s="234"/>
      <c r="L51" s="257"/>
      <c r="M51" s="26"/>
      <c r="N51" s="26"/>
    </row>
    <row r="52" spans="1:14" ht="15.6" thickBot="1" x14ac:dyDescent="0.6">
      <c r="A52" s="283"/>
      <c r="B52" s="244"/>
      <c r="C52" s="245"/>
      <c r="D52" s="255"/>
      <c r="E52" s="451"/>
      <c r="F52" s="293"/>
      <c r="G52" s="293"/>
      <c r="H52" s="191"/>
      <c r="I52" s="191"/>
      <c r="J52" s="191"/>
      <c r="K52" s="234"/>
      <c r="L52" s="257"/>
      <c r="M52" s="26"/>
      <c r="N52" s="26"/>
    </row>
    <row r="53" spans="1:14" ht="15.6" thickBot="1" x14ac:dyDescent="0.6">
      <c r="A53" s="285" t="s">
        <v>2472</v>
      </c>
      <c r="B53" s="266" t="s">
        <v>1813</v>
      </c>
      <c r="C53" s="267"/>
      <c r="D53" s="268"/>
      <c r="E53" s="446">
        <f t="shared" ref="E53:J53" si="15">E49/E51</f>
        <v>12.892266317388286</v>
      </c>
      <c r="F53" s="270">
        <f t="shared" si="15"/>
        <v>3.0660336425151615E-2</v>
      </c>
      <c r="G53" s="447">
        <f t="shared" si="15"/>
        <v>2.1612140227153254</v>
      </c>
      <c r="H53" s="447">
        <f t="shared" si="15"/>
        <v>0</v>
      </c>
      <c r="I53" s="271">
        <f>I49/I51</f>
        <v>919.63978892581315</v>
      </c>
      <c r="J53" s="271">
        <f t="shared" si="15"/>
        <v>176.05545952888744</v>
      </c>
      <c r="K53" s="272">
        <f>I53+J53</f>
        <v>1095.6952484547005</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1095.6952484547005</v>
      </c>
      <c r="L55" s="291">
        <f>ROUND(K55/30.5,2)</f>
        <v>35.92</v>
      </c>
      <c r="M55" s="26"/>
      <c r="N55" s="26"/>
    </row>
    <row r="56" spans="1:14" ht="15.3" x14ac:dyDescent="0.55000000000000004">
      <c r="A56" s="26"/>
      <c r="B56" s="26"/>
      <c r="C56" s="26"/>
      <c r="D56" s="290"/>
      <c r="E56" s="26"/>
      <c r="F56" s="26"/>
      <c r="G56" s="26"/>
      <c r="H56" s="26"/>
      <c r="I56" s="26"/>
      <c r="J56" s="26" t="s">
        <v>2266</v>
      </c>
      <c r="K56" s="279">
        <f>E53+G53+H53</f>
        <v>15.053480340103611</v>
      </c>
      <c r="L56" s="26"/>
      <c r="M56" s="26"/>
      <c r="N56" s="26"/>
    </row>
    <row r="57" spans="1:14" ht="15.3" x14ac:dyDescent="0.55000000000000004">
      <c r="A57" s="26"/>
      <c r="B57" s="26"/>
      <c r="C57" s="26"/>
      <c r="D57" s="279"/>
      <c r="E57" s="26"/>
      <c r="F57" s="26"/>
      <c r="G57" s="26"/>
      <c r="H57" s="26"/>
      <c r="I57" s="26"/>
      <c r="J57" s="26" t="s">
        <v>2271</v>
      </c>
      <c r="K57" s="289">
        <f>F53</f>
        <v>3.0660336425151615E-2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N63"/>
  <sheetViews>
    <sheetView view="pageBreakPreview" topLeftCell="A13"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2270</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'WSS-28'!P174</f>
        <v>104333029.76968977</v>
      </c>
      <c r="E14" s="247">
        <f>'WSS-28'!P123+'WSS-28'!P124+'WSS-28'!P125</f>
        <v>72715647.97899279</v>
      </c>
      <c r="F14" s="248">
        <f>'WSS-28'!P126</f>
        <v>2677141.4367464744</v>
      </c>
      <c r="G14" s="248">
        <f>'WSS-28'!P135</f>
        <v>28903199.637465902</v>
      </c>
      <c r="H14" s="248">
        <f>'WSS-28'!P145+'WSS-28'!P147+'WSS-28'!P152+'WSS-28'!P141</f>
        <v>0</v>
      </c>
      <c r="I14" s="248">
        <f>'WSS-28'!P146+'WSS-28'!P148+'WSS-28'!P153+'WSS-28'!P157+'WSS-28'!P160+'WSS-28'!P163</f>
        <v>36320.188034255923</v>
      </c>
      <c r="J14" s="248">
        <f>'WSS-28'!P166+'WSS-28'!P169</f>
        <v>720.52845035162136</v>
      </c>
      <c r="K14" s="249">
        <f>SUM(E14:J14)</f>
        <v>104333029.76968977</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104333029.76968977</v>
      </c>
      <c r="E16" s="253">
        <f t="shared" ref="E16:K16" si="1">E14+E15</f>
        <v>72715647.97899279</v>
      </c>
      <c r="F16" s="254">
        <f t="shared" si="1"/>
        <v>2677141.4367464744</v>
      </c>
      <c r="G16" s="254">
        <f t="shared" si="1"/>
        <v>28903199.637465902</v>
      </c>
      <c r="H16" s="254">
        <f t="shared" si="1"/>
        <v>0</v>
      </c>
      <c r="I16" s="254">
        <f t="shared" si="1"/>
        <v>36320.188034255923</v>
      </c>
      <c r="J16" s="254">
        <f t="shared" si="1"/>
        <v>720.52845035162136</v>
      </c>
      <c r="K16" s="249">
        <f t="shared" si="1"/>
        <v>104333029.76968977</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'WSS-28'!P808</f>
        <v>5.2770527382666597E-2</v>
      </c>
      <c r="E18" s="258">
        <f t="shared" ref="E18:J18" si="2">D18</f>
        <v>5.2770527382666597E-2</v>
      </c>
      <c r="F18" s="259">
        <f t="shared" si="2"/>
        <v>5.2770527382666597E-2</v>
      </c>
      <c r="G18" s="259">
        <f t="shared" si="2"/>
        <v>5.2770527382666597E-2</v>
      </c>
      <c r="H18" s="259">
        <f t="shared" si="2"/>
        <v>5.2770527382666597E-2</v>
      </c>
      <c r="I18" s="259">
        <f t="shared" si="2"/>
        <v>5.2770527382666597E-2</v>
      </c>
      <c r="J18" s="259">
        <f t="shared" si="2"/>
        <v>5.2770527382666597E-2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5505709.0043779835</v>
      </c>
      <c r="E20" s="253">
        <f t="shared" ref="E20:J20" si="3">E18*E16</f>
        <v>3837243.0928237839</v>
      </c>
      <c r="F20" s="254">
        <f t="shared" si="3"/>
        <v>141274.16549510122</v>
      </c>
      <c r="G20" s="254">
        <f t="shared" si="3"/>
        <v>1525237.0879155737</v>
      </c>
      <c r="H20" s="254">
        <f t="shared" si="3"/>
        <v>0</v>
      </c>
      <c r="I20" s="254">
        <f t="shared" si="3"/>
        <v>1916.6354772053019</v>
      </c>
      <c r="J20" s="254">
        <f t="shared" si="3"/>
        <v>38.022666319270563</v>
      </c>
      <c r="K20" s="249">
        <f>SUM(E20:J20)</f>
        <v>5505709.0043779844</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'WSS-28'!P708</f>
        <v>2201917.407755428</v>
      </c>
      <c r="E22" s="253">
        <f t="shared" ref="E22:J22" si="4">(E14/$D$14)*$D$22</f>
        <v>1534642.0156167592</v>
      </c>
      <c r="F22" s="254">
        <f t="shared" si="4"/>
        <v>56500.269814918916</v>
      </c>
      <c r="G22" s="254">
        <f t="shared" si="4"/>
        <v>609993.38907395152</v>
      </c>
      <c r="H22" s="254">
        <f t="shared" si="4"/>
        <v>0</v>
      </c>
      <c r="I22" s="254">
        <f t="shared" si="4"/>
        <v>766.52671222255753</v>
      </c>
      <c r="J22" s="254">
        <f t="shared" si="4"/>
        <v>15.206537576014988</v>
      </c>
      <c r="K22" s="249">
        <f>SUM(E22:J22)</f>
        <v>2201917.407755428</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3303791.5966225555</v>
      </c>
      <c r="E24" s="253">
        <f t="shared" ref="E24:J24" si="5">E20-E22</f>
        <v>2302601.0772070247</v>
      </c>
      <c r="F24" s="254">
        <f t="shared" si="5"/>
        <v>84773.895680182293</v>
      </c>
      <c r="G24" s="254">
        <f t="shared" si="5"/>
        <v>915243.69884162222</v>
      </c>
      <c r="H24" s="254">
        <f t="shared" si="5"/>
        <v>0</v>
      </c>
      <c r="I24" s="254">
        <f t="shared" si="5"/>
        <v>1150.1087649827443</v>
      </c>
      <c r="J24" s="254">
        <f t="shared" si="5"/>
        <v>22.816128743255575</v>
      </c>
      <c r="K24" s="249">
        <f>SUM(E24:J24)</f>
        <v>3303791.5966225551</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'WSS-28'!P680+'WSS-28'!P800</f>
        <v>-1348993.9516768274</v>
      </c>
      <c r="E26" s="253">
        <f t="shared" ref="E26:J26" si="6">$D$26*(E24/$K$24)</f>
        <v>-940190.93984386511</v>
      </c>
      <c r="F26" s="254">
        <f t="shared" si="6"/>
        <v>-34614.614508238716</v>
      </c>
      <c r="G26" s="254">
        <f t="shared" si="6"/>
        <v>-373709.47226509661</v>
      </c>
      <c r="H26" s="254">
        <f t="shared" si="6"/>
        <v>0</v>
      </c>
      <c r="I26" s="254">
        <f t="shared" si="6"/>
        <v>-469.60884860846119</v>
      </c>
      <c r="J26" s="254">
        <f t="shared" si="6"/>
        <v>-9.31621101851478</v>
      </c>
      <c r="K26" s="249">
        <f>SUM(E26:J26)</f>
        <v>-1348993.9516768276</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'WSS-28'!P730</f>
        <v>23902042.703641675</v>
      </c>
      <c r="E28" s="253">
        <f>'WSS-28'!P180+'WSS-28'!P181+'WSS-28'!P182</f>
        <v>3256028.3729372453</v>
      </c>
      <c r="F28" s="254">
        <f>'WSS-28'!P183</f>
        <v>18675563.90360396</v>
      </c>
      <c r="G28" s="254">
        <f>'WSS-28'!P192</f>
        <v>1956967.8526247111</v>
      </c>
      <c r="H28" s="254">
        <f>'WSS-28'!P198+'WSS-28'!P202+'WSS-28'!P204+'WSS-28'!P209</f>
        <v>0</v>
      </c>
      <c r="I28" s="254">
        <f>'WSS-28'!P203+'WSS-28'!P205+'WSS-28'!P210+'WSS-28'!P214+'WSS-28'!P217</f>
        <v>9323.8513314205538</v>
      </c>
      <c r="J28" s="254">
        <f>'WSS-28'!P223+'WSS-28'!P226</f>
        <v>4158.7231443401788</v>
      </c>
      <c r="K28" s="249">
        <f>SUM(E28:J28)</f>
        <v>23902042.703641675</v>
      </c>
      <c r="L28" s="250" t="str">
        <f>IF(ABS(K28-D28)&lt;0.01,"ok","err")</f>
        <v>ok</v>
      </c>
      <c r="M28" s="26"/>
      <c r="N28" s="26"/>
    </row>
    <row r="29" spans="1:14" ht="15.3" x14ac:dyDescent="0.55000000000000004">
      <c r="A29" s="282" t="s">
        <v>1802</v>
      </c>
      <c r="B29" s="244" t="s">
        <v>812</v>
      </c>
      <c r="C29" s="245"/>
      <c r="D29" s="253">
        <f>'WSS-28'!P731</f>
        <v>8245202.8211647803</v>
      </c>
      <c r="E29" s="253">
        <f>'WSS-28'!P300</f>
        <v>7055376.9044973953</v>
      </c>
      <c r="F29" s="254">
        <v>0</v>
      </c>
      <c r="G29" s="254">
        <f>'WSS-28'!P306</f>
        <v>1188546.5164390379</v>
      </c>
      <c r="H29" s="254">
        <f>'WSS-28'!P312+'WSS-28'!P316+'WSS-28'!P318+'WSS-28'!P323</f>
        <v>0</v>
      </c>
      <c r="I29" s="254">
        <f>'WSS-28'!P317+'WSS-28'!P319+'WSS-28'!P324+'WSS-28'!P328+'WSS-28'!P331</f>
        <v>1279.400228346798</v>
      </c>
      <c r="J29" s="254">
        <v>0</v>
      </c>
      <c r="K29" s="249">
        <f>SUM(E29:J29)</f>
        <v>8245202.8211647803</v>
      </c>
      <c r="L29" s="250" t="str">
        <f>IF(ABS(K29-D29)&lt;0.01,"ok","err")</f>
        <v>ok</v>
      </c>
      <c r="M29" s="26"/>
      <c r="N29" s="26"/>
    </row>
    <row r="30" spans="1:14" ht="15.3" x14ac:dyDescent="0.55000000000000004">
      <c r="A30" s="282" t="s">
        <v>1803</v>
      </c>
      <c r="B30" s="244" t="s">
        <v>408</v>
      </c>
      <c r="C30" s="245"/>
      <c r="D30" s="253">
        <f>'WSS-28'!P733+'WSS-28'!P734</f>
        <v>995282.13087192969</v>
      </c>
      <c r="E30" s="253">
        <f>'WSS-28'!P414+'WSS-28'!P471+'WSS-28'!P357</f>
        <v>755635.99871901621</v>
      </c>
      <c r="F30" s="254">
        <f>'WSS-28'!P529</f>
        <v>0</v>
      </c>
      <c r="G30" s="254">
        <f>'WSS-28'!P420+'WSS-28'!P477+'WSS-28'!P363</f>
        <v>239328.03658040107</v>
      </c>
      <c r="H30" s="254">
        <f>'WSS-28'!P426+'WSS-28'!P430+'WSS-28'!P432+'WSS-28'!P437+'WSS-28'!P483+'WSS-28'!P487+'WSS-28'!P489+'WSS-28'!P494+'WSS-28'!P369+'WSS-28'!P373+'WSS-28'!P375+'WSS-28'!P380</f>
        <v>0</v>
      </c>
      <c r="I30" s="254">
        <f>'WSS-28'!P431+'WSS-28'!P433+'WSS-28'!P438+'WSS-28'!P442+'WSS-28'!P445+'WSS-28'!P488+'WSS-28'!P490+'WSS-28'!P495+'WSS-28'!P499+'WSS-28'!P502+'WSS-28'!P374+'WSS-28'!P376+'WSS-28'!P381+'WSS-28'!P385+'WSS-28'!P388</f>
        <v>318.09557251240471</v>
      </c>
      <c r="J30" s="254">
        <v>0</v>
      </c>
      <c r="K30" s="249">
        <f>SUM(E30:J30)</f>
        <v>995282.13087192969</v>
      </c>
      <c r="L30" s="250" t="str">
        <f>IF(ABS(K30-D30)&lt;0.01,"ok","err")</f>
        <v>ok</v>
      </c>
      <c r="M30" s="26"/>
      <c r="N30" s="26"/>
    </row>
    <row r="31" spans="1:14" ht="15.3" x14ac:dyDescent="0.55000000000000004">
      <c r="A31" s="282" t="s">
        <v>1804</v>
      </c>
      <c r="B31" s="244" t="s">
        <v>1840</v>
      </c>
      <c r="C31" s="245"/>
      <c r="D31" s="253">
        <f>'WSS-28'!P738</f>
        <v>455830.93668045604</v>
      </c>
      <c r="E31" s="253">
        <f>D31</f>
        <v>455830.93668045604</v>
      </c>
      <c r="F31" s="254"/>
      <c r="G31" s="254"/>
      <c r="H31" s="254"/>
      <c r="I31" s="254"/>
      <c r="J31" s="254"/>
      <c r="K31" s="249">
        <f>SUM(E31:J31)</f>
        <v>455830.93668045604</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2480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'WSS-28'!P797+'WSS-28'!P798</f>
        <v>18133.06765699236</v>
      </c>
      <c r="E36" s="253">
        <f t="shared" ref="E36:J36" si="9">(E14/($D$14)*$D$36)</f>
        <v>12637.970616167959</v>
      </c>
      <c r="F36" s="254">
        <f t="shared" si="9"/>
        <v>465.28685026229829</v>
      </c>
      <c r="G36" s="254">
        <f t="shared" si="9"/>
        <v>5023.3725186229167</v>
      </c>
      <c r="H36" s="254">
        <f t="shared" si="9"/>
        <v>0</v>
      </c>
      <c r="I36" s="254">
        <f t="shared" si="9"/>
        <v>6.3124441837227145</v>
      </c>
      <c r="J36" s="254">
        <f t="shared" si="9"/>
        <v>0.12522775546588694</v>
      </c>
      <c r="K36" s="249">
        <f t="shared" si="8"/>
        <v>18133.067656992363</v>
      </c>
      <c r="L36" s="250" t="str">
        <f t="shared" si="7"/>
        <v>ok</v>
      </c>
      <c r="M36" s="26"/>
      <c r="N36" s="26"/>
    </row>
    <row r="37" spans="1:14" ht="15.3" x14ac:dyDescent="0.55000000000000004">
      <c r="A37" s="284" t="s">
        <v>1826</v>
      </c>
      <c r="B37" s="244" t="s">
        <v>2265</v>
      </c>
      <c r="C37" s="301"/>
      <c r="D37" s="253">
        <f>'WSS-28'!P737</f>
        <v>-14215493.866000002</v>
      </c>
      <c r="E37" s="253">
        <f>D37</f>
        <v>-14215493.866000002</v>
      </c>
      <c r="F37" s="303">
        <v>0</v>
      </c>
      <c r="G37" s="303">
        <v>0</v>
      </c>
      <c r="H37" s="303">
        <v>0</v>
      </c>
      <c r="I37" s="303">
        <v>0</v>
      </c>
      <c r="J37" s="303">
        <v>0</v>
      </c>
      <c r="K37" s="249">
        <f t="shared" si="8"/>
        <v>-14215493.866000002</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-14197360.79834301</v>
      </c>
      <c r="E39" s="253">
        <f t="shared" si="10"/>
        <v>-14202855.895383835</v>
      </c>
      <c r="F39" s="254">
        <f t="shared" si="10"/>
        <v>465.28685026229829</v>
      </c>
      <c r="G39" s="254">
        <f t="shared" si="10"/>
        <v>5023.3725186229167</v>
      </c>
      <c r="H39" s="254">
        <f t="shared" si="10"/>
        <v>0</v>
      </c>
      <c r="I39" s="254">
        <f t="shared" si="10"/>
        <v>6.3124441837227145</v>
      </c>
      <c r="J39" s="254">
        <f t="shared" si="10"/>
        <v>0.12522775546588694</v>
      </c>
      <c r="K39" s="249">
        <f t="shared" si="8"/>
        <v>-14197360.79834301</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23557712.846716985</v>
      </c>
      <c r="E41" s="253">
        <f t="shared" ref="E41:J41" si="11">SUM(E28:E31)+E22+E26+E39+E24</f>
        <v>217068.47043019673</v>
      </c>
      <c r="F41" s="254">
        <f t="shared" si="11"/>
        <v>18782688.741441086</v>
      </c>
      <c r="G41" s="254">
        <f t="shared" si="11"/>
        <v>4541393.3938132506</v>
      </c>
      <c r="H41" s="254">
        <f t="shared" si="11"/>
        <v>0</v>
      </c>
      <c r="I41" s="254">
        <f t="shared" si="11"/>
        <v>12374.686205060319</v>
      </c>
      <c r="J41" s="254">
        <f t="shared" si="11"/>
        <v>4187.5548273964005</v>
      </c>
      <c r="K41" s="249">
        <f>SUM(E41:J41)</f>
        <v>23557712.846716989</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-'WSS-28'!P659-'WSS-28'!P665</f>
        <v>-34770.684945625289</v>
      </c>
      <c r="E43" s="253">
        <f>D43</f>
        <v>-34770.684945625289</v>
      </c>
      <c r="F43" s="254">
        <v>0</v>
      </c>
      <c r="G43" s="254">
        <v>0</v>
      </c>
      <c r="H43" s="254">
        <v>0</v>
      </c>
      <c r="I43" s="254">
        <v>0</v>
      </c>
      <c r="J43" s="254">
        <v>0</v>
      </c>
      <c r="K43" s="249">
        <f>SUM(E43:J43)</f>
        <v>-34770.684945625289</v>
      </c>
      <c r="L43" s="250" t="str">
        <f>IF(ABS(K43-D43)&lt;0.01,"ok","err")</f>
        <v>ok</v>
      </c>
      <c r="M43" s="26"/>
      <c r="N43" s="26"/>
    </row>
    <row r="44" spans="1:14" ht="15.3" x14ac:dyDescent="0.55000000000000004">
      <c r="A44" s="282" t="s">
        <v>1830</v>
      </c>
      <c r="B44" s="244" t="s">
        <v>1832</v>
      </c>
      <c r="C44" s="245"/>
      <c r="D44" s="253">
        <f>-'WSS-28'!P652</f>
        <v>-298011.92947084259</v>
      </c>
      <c r="E44" s="253">
        <v>0</v>
      </c>
      <c r="F44" s="254">
        <f>D44</f>
        <v>-298011.92947084259</v>
      </c>
      <c r="G44" s="254">
        <v>0</v>
      </c>
      <c r="H44" s="254">
        <v>0</v>
      </c>
      <c r="I44" s="254">
        <v>0</v>
      </c>
      <c r="J44" s="254">
        <v>0</v>
      </c>
      <c r="K44" s="249">
        <f>SUM(E44:J44)</f>
        <v>-298011.92947084259</v>
      </c>
      <c r="L44" s="250" t="str">
        <f>IF(ABS(K44-D44)&lt;0.01,"ok","err")</f>
        <v>ok</v>
      </c>
      <c r="M44" s="26"/>
      <c r="N44" s="26"/>
    </row>
    <row r="45" spans="1:14" ht="15.3" x14ac:dyDescent="0.55000000000000004">
      <c r="A45" s="282" t="s">
        <v>1834</v>
      </c>
      <c r="B45" s="244" t="s">
        <v>2469</v>
      </c>
      <c r="C45" s="245"/>
      <c r="D45" s="253">
        <f>-'WSS-28'!P658</f>
        <v>-899965.67718246102</v>
      </c>
      <c r="E45" s="253">
        <v>0</v>
      </c>
      <c r="F45" s="254">
        <v>0</v>
      </c>
      <c r="G45" s="254">
        <f>D45</f>
        <v>-899965.67718246102</v>
      </c>
      <c r="H45" s="254">
        <v>0</v>
      </c>
      <c r="I45" s="254">
        <v>0</v>
      </c>
      <c r="J45" s="254">
        <v>0</v>
      </c>
      <c r="K45" s="249">
        <f>SUM(E45:J45)</f>
        <v>-899965.67718246102</v>
      </c>
      <c r="L45" s="250" t="str">
        <f>IF(ABS(K45-D45)&lt;0.01,"ok","err")</f>
        <v>ok</v>
      </c>
      <c r="M45" s="26"/>
      <c r="N45" s="26"/>
    </row>
    <row r="46" spans="1:14" ht="15.3" x14ac:dyDescent="0.55000000000000004">
      <c r="A46" s="282" t="s">
        <v>1835</v>
      </c>
      <c r="B46" s="244" t="s">
        <v>1833</v>
      </c>
      <c r="C46" s="245"/>
      <c r="D46" s="253">
        <f>-('WSS-28'!P654+'WSS-28'!P655+'WSS-28'!P656+'WSS-28'!P657+'WSS-28'!P660+'WSS-28'!P662+'WSS-28'!P663+'WSS-28'!P664)</f>
        <v>-59166.76724072783</v>
      </c>
      <c r="E46" s="253">
        <f t="shared" ref="E46:J46" si="12">(E14/($D$14)*$D$46)</f>
        <v>-41236.699712727612</v>
      </c>
      <c r="F46" s="254">
        <f t="shared" si="12"/>
        <v>-1518.1942344446625</v>
      </c>
      <c r="G46" s="254">
        <f t="shared" si="12"/>
        <v>-16390.867678598221</v>
      </c>
      <c r="H46" s="254">
        <f t="shared" si="12"/>
        <v>0</v>
      </c>
      <c r="I46" s="254">
        <f t="shared" si="12"/>
        <v>-20.597006684326043</v>
      </c>
      <c r="J46" s="254">
        <f t="shared" si="12"/>
        <v>-0.40860827301175251</v>
      </c>
      <c r="K46" s="249">
        <f>SUM(E46:J46)</f>
        <v>-59166.767240727837</v>
      </c>
      <c r="L46" s="250" t="str">
        <f>IF(ABS(K46-D46)&lt;0.01,"ok","err")</f>
        <v>ok</v>
      </c>
      <c r="M46" s="26"/>
      <c r="N46" s="26"/>
    </row>
    <row r="47" spans="1:14" ht="15.3" x14ac:dyDescent="0.55000000000000004">
      <c r="A47" s="282" t="s">
        <v>1841</v>
      </c>
      <c r="B47" s="244" t="s">
        <v>1836</v>
      </c>
      <c r="C47" s="245"/>
      <c r="D47" s="253">
        <f>SUM(D43:D46)</f>
        <v>-1291915.0588396566</v>
      </c>
      <c r="E47" s="253">
        <f t="shared" ref="E47:J47" si="13">SUM(E43:E46)</f>
        <v>-76007.384658352908</v>
      </c>
      <c r="F47" s="254">
        <f t="shared" si="13"/>
        <v>-299530.12370528723</v>
      </c>
      <c r="G47" s="254">
        <f t="shared" si="13"/>
        <v>-916356.54486105929</v>
      </c>
      <c r="H47" s="254">
        <f t="shared" si="13"/>
        <v>0</v>
      </c>
      <c r="I47" s="254">
        <f t="shared" si="13"/>
        <v>-20.597006684326043</v>
      </c>
      <c r="J47" s="254">
        <f t="shared" si="13"/>
        <v>-0.40860827301175251</v>
      </c>
      <c r="K47" s="249">
        <f>SUM(E47:J47)</f>
        <v>-1291915.0588396569</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22265797.787877329</v>
      </c>
      <c r="E49" s="253">
        <f t="shared" ref="E49:J49" si="14">E41+E47</f>
        <v>141061.08577184382</v>
      </c>
      <c r="F49" s="254">
        <f t="shared" si="14"/>
        <v>18483158.617735799</v>
      </c>
      <c r="G49" s="254">
        <f t="shared" si="14"/>
        <v>3625036.8489521914</v>
      </c>
      <c r="H49" s="254">
        <f t="shared" si="14"/>
        <v>0</v>
      </c>
      <c r="I49" s="254">
        <f t="shared" si="14"/>
        <v>12354.089198375994</v>
      </c>
      <c r="J49" s="254">
        <f t="shared" si="14"/>
        <v>4187.1462191233886</v>
      </c>
      <c r="K49" s="249">
        <f>SUM(E49:J49)</f>
        <v>22265797.787877336</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1647006</v>
      </c>
      <c r="F51" s="252">
        <f>'Billing Det'!$C$26</f>
        <v>605890405</v>
      </c>
      <c r="G51" s="252">
        <v>2437966</v>
      </c>
      <c r="H51" s="265">
        <f>G51</f>
        <v>2437966</v>
      </c>
      <c r="I51" s="265">
        <f>'WSS-28'!P831</f>
        <v>12</v>
      </c>
      <c r="J51" s="265">
        <f>I51</f>
        <v>12</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2472</v>
      </c>
      <c r="B53" s="266" t="s">
        <v>1813</v>
      </c>
      <c r="C53" s="267"/>
      <c r="D53" s="268"/>
      <c r="E53" s="450">
        <f t="shared" ref="E53:J53" si="15">E49/E51</f>
        <v>8.5646977468111118E-2</v>
      </c>
      <c r="F53" s="270">
        <f t="shared" si="15"/>
        <v>3.0505778710484446E-2</v>
      </c>
      <c r="G53" s="447">
        <f t="shared" si="15"/>
        <v>1.4869103379424453</v>
      </c>
      <c r="H53" s="270">
        <f t="shared" si="15"/>
        <v>0</v>
      </c>
      <c r="I53" s="271">
        <f>I49/I51</f>
        <v>1029.5074331979995</v>
      </c>
      <c r="J53" s="271">
        <f t="shared" si="15"/>
        <v>348.92885159361572</v>
      </c>
      <c r="K53" s="272">
        <f>I53+J53</f>
        <v>1378.4362847916152</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1378.4362847916152</v>
      </c>
      <c r="L55" s="291">
        <f>ROUND(K55/30.5,2)</f>
        <v>45.19</v>
      </c>
      <c r="M55" s="26"/>
      <c r="N55" s="26"/>
    </row>
    <row r="56" spans="1:14" ht="15.3" x14ac:dyDescent="0.55000000000000004">
      <c r="A56" s="26"/>
      <c r="B56" s="26"/>
      <c r="C56" s="26"/>
      <c r="D56" s="290"/>
      <c r="E56" s="26"/>
      <c r="F56" s="26"/>
      <c r="G56" s="26"/>
      <c r="H56" s="26"/>
      <c r="I56" s="26"/>
      <c r="J56" s="26" t="s">
        <v>2266</v>
      </c>
      <c r="K56" s="279">
        <f>E53+G53+H53</f>
        <v>1.5725573154105565</v>
      </c>
      <c r="L56" s="26"/>
      <c r="M56" s="26"/>
      <c r="N56" s="26"/>
    </row>
    <row r="57" spans="1:14" ht="15.3" x14ac:dyDescent="0.55000000000000004">
      <c r="A57" s="26"/>
      <c r="B57" s="26"/>
      <c r="C57" s="26"/>
      <c r="D57" s="279"/>
      <c r="E57" s="26"/>
      <c r="F57" s="26"/>
      <c r="G57" s="26"/>
      <c r="H57" s="26"/>
      <c r="I57" s="26"/>
      <c r="J57" s="26" t="s">
        <v>2271</v>
      </c>
      <c r="K57" s="289">
        <f>F53</f>
        <v>3.0505778710484446E-2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118"/>
  <sheetViews>
    <sheetView zoomScale="75" zoomScaleNormal="75" workbookViewId="0">
      <selection activeCell="E13" sqref="E13"/>
    </sheetView>
  </sheetViews>
  <sheetFormatPr defaultRowHeight="14.1" x14ac:dyDescent="0.5"/>
  <cols>
    <col min="1" max="1" width="48.41796875" bestFit="1" customWidth="1"/>
    <col min="2" max="2" width="2.68359375" customWidth="1"/>
    <col min="3" max="4" width="19.578125" customWidth="1"/>
    <col min="5" max="5" width="15.68359375" style="40" bestFit="1" customWidth="1"/>
    <col min="6" max="6" width="15.68359375" style="40" customWidth="1"/>
    <col min="7" max="7" width="15.578125" style="117" bestFit="1" customWidth="1"/>
    <col min="8" max="8" width="12" customWidth="1"/>
    <col min="9" max="10" width="16" bestFit="1" customWidth="1"/>
    <col min="11" max="12" width="16" customWidth="1"/>
    <col min="13" max="13" width="12.68359375" customWidth="1"/>
    <col min="14" max="14" width="20.26171875" customWidth="1"/>
    <col min="15" max="15" width="11.83984375" customWidth="1"/>
    <col min="16" max="16" width="15.578125" customWidth="1"/>
    <col min="17" max="17" width="13" customWidth="1"/>
    <col min="18" max="18" width="2.68359375" customWidth="1"/>
    <col min="19" max="19" width="12.578125" customWidth="1"/>
    <col min="20" max="20" width="13.68359375" customWidth="1"/>
  </cols>
  <sheetData>
    <row r="1" spans="1:21" ht="17.399999999999999" x14ac:dyDescent="0.55000000000000004">
      <c r="A1" s="4" t="s">
        <v>1360</v>
      </c>
    </row>
    <row r="2" spans="1:21" ht="15.3" x14ac:dyDescent="0.55000000000000004">
      <c r="A2" s="26" t="s">
        <v>895</v>
      </c>
    </row>
    <row r="3" spans="1:21" ht="15.3" x14ac:dyDescent="0.55000000000000004">
      <c r="A3" s="26" t="s">
        <v>2093</v>
      </c>
    </row>
    <row r="4" spans="1:21" ht="15.3" x14ac:dyDescent="0.55000000000000004">
      <c r="A4" s="33"/>
    </row>
    <row r="5" spans="1:21" x14ac:dyDescent="0.5">
      <c r="C5" s="62" t="s">
        <v>2490</v>
      </c>
      <c r="D5" s="62" t="s">
        <v>2491</v>
      </c>
      <c r="E5" s="62" t="s">
        <v>2492</v>
      </c>
      <c r="F5" s="62" t="s">
        <v>2493</v>
      </c>
      <c r="G5" s="45"/>
    </row>
    <row r="6" spans="1:21" x14ac:dyDescent="0.5">
      <c r="C6" s="62" t="s">
        <v>2090</v>
      </c>
      <c r="D6" s="62" t="s">
        <v>2090</v>
      </c>
      <c r="E6" s="62" t="s">
        <v>2168</v>
      </c>
      <c r="F6" s="62" t="s">
        <v>2168</v>
      </c>
      <c r="G6" s="62" t="s">
        <v>62</v>
      </c>
      <c r="H6" s="116"/>
    </row>
    <row r="7" spans="1:21" x14ac:dyDescent="0.5">
      <c r="C7" s="46" t="s">
        <v>2091</v>
      </c>
      <c r="D7" s="62" t="s">
        <v>2091</v>
      </c>
      <c r="E7" s="62" t="s">
        <v>817</v>
      </c>
      <c r="F7" s="62" t="s">
        <v>817</v>
      </c>
      <c r="G7" s="62" t="s">
        <v>2090</v>
      </c>
      <c r="H7" s="61" t="s">
        <v>98</v>
      </c>
      <c r="I7" s="111"/>
      <c r="J7" s="111"/>
      <c r="K7" s="111"/>
      <c r="L7" s="42"/>
      <c r="M7" s="25"/>
      <c r="N7" s="118"/>
      <c r="O7" s="119"/>
      <c r="P7" s="119"/>
      <c r="Q7" s="119"/>
      <c r="R7" s="119"/>
      <c r="S7" s="119"/>
      <c r="T7" s="119"/>
      <c r="U7" s="45"/>
    </row>
    <row r="8" spans="1:21" ht="14.4" thickBot="1" x14ac:dyDescent="0.55000000000000004">
      <c r="A8" s="19" t="s">
        <v>1362</v>
      </c>
      <c r="B8" s="19"/>
      <c r="C8" s="47" t="s">
        <v>507</v>
      </c>
      <c r="D8" s="47" t="s">
        <v>507</v>
      </c>
      <c r="E8" s="47" t="s">
        <v>506</v>
      </c>
      <c r="F8" s="47" t="s">
        <v>506</v>
      </c>
      <c r="G8" s="47" t="s">
        <v>507</v>
      </c>
      <c r="H8" s="73" t="s">
        <v>2092</v>
      </c>
      <c r="I8" s="111"/>
      <c r="J8" s="111"/>
      <c r="K8" s="111"/>
      <c r="L8" s="42"/>
      <c r="M8" s="25"/>
      <c r="N8" s="119"/>
      <c r="O8" s="119"/>
      <c r="P8" s="526"/>
      <c r="Q8" s="526"/>
      <c r="R8" s="119"/>
      <c r="S8" s="120"/>
      <c r="T8" s="119"/>
      <c r="U8" s="45"/>
    </row>
    <row r="9" spans="1:21" x14ac:dyDescent="0.5">
      <c r="I9" s="25"/>
      <c r="J9" s="25"/>
      <c r="K9" s="25"/>
      <c r="L9" s="25"/>
      <c r="M9" s="25"/>
      <c r="N9" s="119"/>
      <c r="O9" s="119"/>
      <c r="P9" s="52"/>
      <c r="Q9" s="52"/>
      <c r="R9" s="118"/>
      <c r="S9" s="52"/>
      <c r="T9" s="118"/>
      <c r="U9" s="45"/>
    </row>
    <row r="10" spans="1:21" x14ac:dyDescent="0.5">
      <c r="A10" s="7" t="s">
        <v>1482</v>
      </c>
      <c r="C10" s="133">
        <v>67.1884163</v>
      </c>
      <c r="D10" s="133">
        <v>146.1884163</v>
      </c>
      <c r="E10" s="134">
        <f>'Billing Det'!B8</f>
        <v>441695.83493150683</v>
      </c>
      <c r="F10" s="134"/>
      <c r="G10" s="133">
        <f>C10*E10</f>
        <v>29676843.635354165</v>
      </c>
      <c r="H10" s="54">
        <f>G10/$G$47</f>
        <v>0.60325224703262326</v>
      </c>
      <c r="I10" s="25"/>
      <c r="J10" s="25"/>
      <c r="K10" s="25"/>
      <c r="L10" s="113"/>
      <c r="M10" s="129"/>
      <c r="N10" s="119"/>
      <c r="O10" s="119"/>
      <c r="P10" s="52"/>
      <c r="Q10" s="52"/>
      <c r="R10" s="118"/>
      <c r="S10" s="121"/>
      <c r="T10" s="52"/>
      <c r="U10" s="45"/>
    </row>
    <row r="11" spans="1:21" x14ac:dyDescent="0.5">
      <c r="C11" s="133"/>
      <c r="D11" s="133"/>
      <c r="E11" s="134"/>
      <c r="F11" s="134"/>
      <c r="G11" s="133"/>
      <c r="H11" s="134"/>
      <c r="I11" s="25"/>
      <c r="J11" s="25"/>
      <c r="K11" s="25"/>
      <c r="L11" s="25"/>
      <c r="M11" s="25"/>
      <c r="N11" s="122"/>
      <c r="O11" s="119"/>
      <c r="P11" s="74"/>
      <c r="Q11" s="123"/>
      <c r="R11" s="119"/>
      <c r="S11" s="124"/>
      <c r="T11" s="125"/>
      <c r="U11" s="45"/>
    </row>
    <row r="12" spans="1:21" x14ac:dyDescent="0.5">
      <c r="A12" s="390" t="s">
        <v>2569</v>
      </c>
      <c r="C12" s="133">
        <f>C10</f>
        <v>67.1884163</v>
      </c>
      <c r="D12" s="133">
        <f>D10</f>
        <v>146.1884163</v>
      </c>
      <c r="E12" s="134">
        <f>'Billing Det'!B10</f>
        <v>646.25</v>
      </c>
      <c r="F12" s="134"/>
      <c r="G12" s="133">
        <f>C12*E12</f>
        <v>43420.514033874999</v>
      </c>
      <c r="H12" s="54">
        <f>G12/$G$47</f>
        <v>8.826249509581327E-4</v>
      </c>
      <c r="I12" s="25"/>
      <c r="J12" s="25"/>
      <c r="K12" s="25"/>
      <c r="L12" s="25"/>
      <c r="M12" s="25"/>
      <c r="N12" s="122"/>
      <c r="O12" s="119"/>
      <c r="P12" s="74"/>
      <c r="Q12" s="123"/>
      <c r="R12" s="119"/>
      <c r="S12" s="124"/>
      <c r="T12" s="125"/>
      <c r="U12" s="45"/>
    </row>
    <row r="13" spans="1:21" x14ac:dyDescent="0.5">
      <c r="C13" s="133"/>
      <c r="D13" s="133"/>
      <c r="E13" s="134"/>
      <c r="F13" s="134"/>
      <c r="G13" s="133"/>
      <c r="H13" s="134"/>
      <c r="I13" s="25"/>
      <c r="J13" s="25"/>
      <c r="K13" s="25"/>
      <c r="L13" s="25"/>
      <c r="M13" s="25"/>
      <c r="N13" s="122"/>
      <c r="O13" s="119"/>
      <c r="P13" s="74"/>
      <c r="Q13" s="123"/>
      <c r="R13" s="119"/>
      <c r="S13" s="124"/>
      <c r="T13" s="125"/>
      <c r="U13" s="45"/>
    </row>
    <row r="14" spans="1:21" x14ac:dyDescent="0.5">
      <c r="A14" s="7" t="s">
        <v>2163</v>
      </c>
      <c r="C14" s="133">
        <v>76.72156767794101</v>
      </c>
      <c r="D14" s="133">
        <v>154.94281406695487</v>
      </c>
      <c r="E14" s="134">
        <f>23120463/365</f>
        <v>63343.734246575339</v>
      </c>
      <c r="F14" s="134"/>
      <c r="G14" s="133">
        <f>C14*E14</f>
        <v>4859830.59397214</v>
      </c>
      <c r="H14" s="54">
        <f>G14/$G$47</f>
        <v>9.8787585433075795E-2</v>
      </c>
      <c r="I14" s="25"/>
      <c r="J14" s="25"/>
      <c r="K14" s="25"/>
      <c r="L14" s="25"/>
      <c r="M14" s="25"/>
      <c r="N14" s="122"/>
      <c r="O14" s="119"/>
      <c r="P14" s="74"/>
      <c r="Q14" s="123"/>
      <c r="R14" s="119"/>
      <c r="S14" s="124"/>
      <c r="T14" s="125"/>
      <c r="U14" s="45"/>
    </row>
    <row r="15" spans="1:21" x14ac:dyDescent="0.5">
      <c r="A15" s="7"/>
      <c r="C15" s="133"/>
      <c r="D15" s="133"/>
      <c r="E15" s="134"/>
      <c r="F15" s="134"/>
      <c r="G15" s="133"/>
      <c r="H15" s="134"/>
      <c r="I15" s="25"/>
      <c r="J15" s="25"/>
      <c r="K15" s="25"/>
      <c r="L15" s="25"/>
      <c r="M15" s="25"/>
      <c r="N15" s="122"/>
      <c r="O15" s="119"/>
      <c r="P15" s="74"/>
      <c r="Q15" s="123"/>
      <c r="R15" s="119"/>
      <c r="S15" s="124"/>
      <c r="T15" s="125"/>
      <c r="U15" s="45"/>
    </row>
    <row r="16" spans="1:21" x14ac:dyDescent="0.5">
      <c r="A16" s="7" t="s">
        <v>2164</v>
      </c>
      <c r="C16" s="133">
        <v>366.92072264277101</v>
      </c>
      <c r="D16" s="133">
        <v>413.95382326279741</v>
      </c>
      <c r="E16" s="134">
        <f>7095842/365</f>
        <v>19440.663013698631</v>
      </c>
      <c r="F16" s="134"/>
      <c r="G16" s="133">
        <f>C16*E16</f>
        <v>7133182.1216408927</v>
      </c>
      <c r="H16" s="54">
        <f>G16/$G$47</f>
        <v>0.14499884813378502</v>
      </c>
      <c r="I16" s="25"/>
      <c r="J16" s="25"/>
      <c r="K16" s="25"/>
      <c r="L16" s="113"/>
      <c r="M16" s="129"/>
      <c r="N16" s="122"/>
      <c r="O16" s="119"/>
      <c r="P16" s="74"/>
      <c r="Q16" s="123"/>
      <c r="R16" s="119"/>
      <c r="S16" s="124"/>
      <c r="T16" s="125"/>
      <c r="U16" s="45"/>
    </row>
    <row r="17" spans="1:21" x14ac:dyDescent="0.5">
      <c r="C17" s="133"/>
      <c r="D17" s="133"/>
      <c r="E17" s="134"/>
      <c r="F17" s="134"/>
      <c r="G17" s="133"/>
      <c r="H17" s="134"/>
      <c r="I17" s="25"/>
      <c r="J17" s="25"/>
      <c r="K17" s="25"/>
      <c r="L17" s="25"/>
      <c r="M17" s="25"/>
      <c r="N17" s="122"/>
      <c r="O17" s="119"/>
      <c r="P17" s="74"/>
      <c r="Q17" s="123"/>
      <c r="R17" s="119"/>
      <c r="S17" s="124"/>
      <c r="T17" s="125"/>
      <c r="U17" s="45"/>
    </row>
    <row r="18" spans="1:21" x14ac:dyDescent="0.5">
      <c r="A18" s="7" t="s">
        <v>2165</v>
      </c>
      <c r="C18" s="133">
        <v>165.57581329091394</v>
      </c>
      <c r="D18" s="133">
        <v>233.49686592249287</v>
      </c>
      <c r="E18" s="134">
        <f>68064/365</f>
        <v>186.47671232876712</v>
      </c>
      <c r="F18" s="134"/>
      <c r="G18" s="133">
        <f>C18*E18</f>
        <v>30876.033303651417</v>
      </c>
      <c r="H18" s="54">
        <f>G18/$G$47</f>
        <v>6.2762862178821941E-4</v>
      </c>
      <c r="I18" s="25"/>
      <c r="J18" s="25"/>
      <c r="K18" s="25"/>
      <c r="L18" s="113"/>
      <c r="M18" s="129"/>
      <c r="N18" s="122"/>
      <c r="O18" s="119"/>
      <c r="P18" s="74"/>
      <c r="Q18" s="123"/>
      <c r="R18" s="119"/>
      <c r="S18" s="124"/>
      <c r="T18" s="125"/>
      <c r="U18" s="45"/>
    </row>
    <row r="19" spans="1:21" x14ac:dyDescent="0.5">
      <c r="A19" s="7"/>
      <c r="C19" s="117"/>
      <c r="D19" s="117"/>
      <c r="E19" s="134"/>
      <c r="F19" s="134"/>
      <c r="G19" s="133"/>
      <c r="H19" s="134"/>
      <c r="I19" s="25"/>
      <c r="J19" s="25"/>
      <c r="K19" s="25"/>
      <c r="L19" s="25"/>
      <c r="M19" s="25"/>
      <c r="N19" s="122"/>
      <c r="O19" s="119"/>
      <c r="P19" s="74"/>
      <c r="Q19" s="123"/>
      <c r="R19" s="119"/>
      <c r="S19" s="124"/>
      <c r="T19" s="125"/>
      <c r="U19" s="45"/>
    </row>
    <row r="20" spans="1:21" x14ac:dyDescent="0.5">
      <c r="A20" s="7" t="s">
        <v>2166</v>
      </c>
      <c r="C20" s="280">
        <v>901.37265127904539</v>
      </c>
      <c r="D20" s="280">
        <v>948.37265127904539</v>
      </c>
      <c r="E20" s="134">
        <f>86627/365</f>
        <v>237.33424657534246</v>
      </c>
      <c r="F20" s="134"/>
      <c r="G20" s="133">
        <f>C20*E20</f>
        <v>213926.59907493115</v>
      </c>
      <c r="H20" s="54">
        <f>G20/$G$47</f>
        <v>4.3485656081787422E-3</v>
      </c>
      <c r="I20" s="25"/>
      <c r="J20" s="25"/>
      <c r="K20" s="25"/>
      <c r="L20" s="25"/>
      <c r="M20" s="25"/>
      <c r="N20" s="122"/>
      <c r="O20" s="119"/>
      <c r="P20" s="74"/>
      <c r="Q20" s="123"/>
      <c r="R20" s="119"/>
      <c r="S20" s="124"/>
      <c r="T20" s="125"/>
      <c r="U20" s="45"/>
    </row>
    <row r="21" spans="1:21" x14ac:dyDescent="0.5">
      <c r="C21" s="117"/>
      <c r="D21" s="117"/>
      <c r="E21" s="134"/>
      <c r="F21" s="134"/>
      <c r="G21" s="133"/>
      <c r="H21" s="134"/>
      <c r="I21" s="25"/>
      <c r="J21" s="25"/>
      <c r="K21" s="25"/>
      <c r="L21" s="25"/>
      <c r="M21" s="25"/>
      <c r="N21" s="122"/>
      <c r="O21" s="119"/>
      <c r="P21" s="74"/>
      <c r="Q21" s="123"/>
      <c r="R21" s="119"/>
      <c r="S21" s="124"/>
      <c r="T21" s="125"/>
      <c r="U21" s="45"/>
    </row>
    <row r="22" spans="1:21" x14ac:dyDescent="0.5">
      <c r="A22" s="7" t="s">
        <v>2087</v>
      </c>
      <c r="C22" s="133">
        <v>844.40866328819675</v>
      </c>
      <c r="D22" s="133">
        <v>891.64080614533964</v>
      </c>
      <c r="E22" s="134">
        <f>'Billing Det'!B16</f>
        <v>4440.7013698630135</v>
      </c>
      <c r="F22" s="134"/>
      <c r="G22" s="133">
        <f>C22*E22</f>
        <v>3749766.7077880916</v>
      </c>
      <c r="H22" s="54">
        <f>G22/$G$47</f>
        <v>7.6222903625319874E-2</v>
      </c>
      <c r="I22" s="25"/>
      <c r="J22" s="25"/>
      <c r="K22" s="25"/>
      <c r="L22" s="113"/>
      <c r="M22" s="129"/>
      <c r="N22" s="122"/>
      <c r="O22" s="119"/>
      <c r="P22" s="74"/>
      <c r="Q22" s="123"/>
      <c r="R22" s="119"/>
      <c r="S22" s="124"/>
      <c r="T22" s="125"/>
      <c r="U22" s="45"/>
    </row>
    <row r="23" spans="1:21" x14ac:dyDescent="0.5">
      <c r="C23" s="135"/>
      <c r="D23" s="135"/>
      <c r="E23" s="134"/>
      <c r="F23" s="134"/>
      <c r="G23" s="135"/>
      <c r="H23" s="134"/>
      <c r="I23" s="25"/>
      <c r="J23" s="130"/>
      <c r="K23" s="130"/>
      <c r="L23" s="130"/>
      <c r="M23" s="25"/>
      <c r="N23" s="122"/>
      <c r="O23" s="119"/>
      <c r="P23" s="74"/>
      <c r="Q23" s="123"/>
      <c r="R23" s="119"/>
      <c r="S23" s="124"/>
      <c r="T23" s="125"/>
      <c r="U23" s="45"/>
    </row>
    <row r="24" spans="1:21" x14ac:dyDescent="0.5">
      <c r="A24" s="3" t="s">
        <v>2088</v>
      </c>
      <c r="C24" s="133">
        <v>3598.6104680040303</v>
      </c>
      <c r="D24" s="133">
        <v>3637.8346059350647</v>
      </c>
      <c r="E24" s="134">
        <f>'Billing Det'!B18</f>
        <v>203.77534246575343</v>
      </c>
      <c r="F24" s="134"/>
      <c r="G24" s="133">
        <f>C24*E24</f>
        <v>733308.08051836654</v>
      </c>
      <c r="H24" s="54">
        <f>G24/$G$47</f>
        <v>1.4906226308140371E-2</v>
      </c>
      <c r="I24" s="131"/>
      <c r="J24" s="25"/>
      <c r="K24" s="25"/>
      <c r="L24" s="113"/>
      <c r="M24" s="129"/>
      <c r="N24" s="118"/>
      <c r="O24" s="119"/>
      <c r="P24" s="74"/>
      <c r="Q24" s="123"/>
      <c r="R24" s="119"/>
      <c r="S24" s="124"/>
      <c r="T24" s="125"/>
      <c r="U24" s="45"/>
    </row>
    <row r="25" spans="1:21" x14ac:dyDescent="0.5">
      <c r="C25" s="117"/>
      <c r="D25" s="117"/>
      <c r="E25" s="134"/>
      <c r="F25" s="134"/>
      <c r="H25" s="134"/>
      <c r="I25" s="25"/>
      <c r="J25" s="25"/>
      <c r="K25" s="25"/>
      <c r="L25" s="25"/>
      <c r="M25" s="25"/>
      <c r="N25" s="118"/>
      <c r="O25" s="119"/>
      <c r="P25" s="74"/>
      <c r="Q25" s="123"/>
      <c r="R25" s="119"/>
      <c r="S25" s="124"/>
      <c r="T25" s="125"/>
      <c r="U25" s="45"/>
    </row>
    <row r="26" spans="1:21" x14ac:dyDescent="0.5">
      <c r="A26" s="7" t="s">
        <v>2089</v>
      </c>
      <c r="C26" s="133">
        <v>875.24971635725933</v>
      </c>
      <c r="D26" s="133">
        <v>1295.2497163572593</v>
      </c>
      <c r="E26" s="134">
        <f>'Billing Det'!B20</f>
        <v>766.28493150684926</v>
      </c>
      <c r="F26" s="134"/>
      <c r="G26" s="133">
        <f>C26*E26</f>
        <v>670690.66895021172</v>
      </c>
      <c r="H26" s="54">
        <f>G26/$G$47</f>
        <v>1.3633378875441851E-2</v>
      </c>
      <c r="I26" s="25"/>
      <c r="J26" s="25"/>
      <c r="K26" s="25"/>
      <c r="L26" s="113"/>
      <c r="M26" s="129"/>
      <c r="N26" s="122"/>
      <c r="O26" s="119"/>
      <c r="P26" s="74"/>
      <c r="Q26" s="123"/>
      <c r="R26" s="119"/>
      <c r="S26" s="124"/>
      <c r="T26" s="125"/>
      <c r="U26" s="45"/>
    </row>
    <row r="27" spans="1:21" x14ac:dyDescent="0.5">
      <c r="C27" s="117"/>
      <c r="D27" s="117"/>
      <c r="E27" s="134"/>
      <c r="F27" s="134"/>
      <c r="G27" s="133"/>
      <c r="H27" s="134"/>
      <c r="I27" s="25"/>
      <c r="J27" s="25"/>
      <c r="K27" s="25"/>
      <c r="L27" s="25"/>
      <c r="M27" s="25"/>
      <c r="N27" s="122"/>
      <c r="O27" s="119"/>
      <c r="P27" s="74"/>
      <c r="Q27" s="123"/>
      <c r="R27" s="119"/>
      <c r="S27" s="124"/>
      <c r="T27" s="125"/>
      <c r="U27" s="45"/>
    </row>
    <row r="28" spans="1:21" x14ac:dyDescent="0.5">
      <c r="A28" s="7" t="s">
        <v>2167</v>
      </c>
      <c r="C28" s="133">
        <v>5083.5477584888149</v>
      </c>
      <c r="D28" s="133">
        <v>5503.5477584888149</v>
      </c>
      <c r="E28" s="134">
        <f>'Billing Det'!B22</f>
        <v>255.53698630136986</v>
      </c>
      <c r="F28" s="134"/>
      <c r="G28" s="133">
        <f>C28*E28</f>
        <v>1299034.4739233158</v>
      </c>
      <c r="H28" s="54">
        <f>G28/$G$47</f>
        <v>2.6405957284268641E-2</v>
      </c>
      <c r="I28" s="25"/>
      <c r="J28" s="25"/>
      <c r="K28" s="25"/>
      <c r="L28" s="113"/>
      <c r="M28" s="129"/>
      <c r="N28" s="118"/>
      <c r="O28" s="119"/>
      <c r="P28" s="74"/>
      <c r="Q28" s="123"/>
      <c r="R28" s="119"/>
      <c r="S28" s="124"/>
      <c r="T28" s="125"/>
      <c r="U28" s="45"/>
    </row>
    <row r="29" spans="1:21" x14ac:dyDescent="0.5">
      <c r="C29" s="135"/>
      <c r="D29" s="135"/>
      <c r="E29" s="134"/>
      <c r="F29" s="134"/>
      <c r="G29" s="135"/>
      <c r="H29" s="134"/>
      <c r="I29" s="25"/>
      <c r="J29" s="25"/>
      <c r="K29" s="25"/>
      <c r="L29" s="25"/>
      <c r="M29" s="25"/>
      <c r="N29" s="118"/>
      <c r="O29" s="119"/>
      <c r="P29" s="74"/>
      <c r="Q29" s="123"/>
      <c r="R29" s="119"/>
      <c r="S29" s="124"/>
      <c r="T29" s="125"/>
      <c r="U29" s="45"/>
    </row>
    <row r="30" spans="1:21" x14ac:dyDescent="0.5">
      <c r="A30" s="7" t="s">
        <v>1794</v>
      </c>
      <c r="C30" s="133">
        <v>32202.600741446153</v>
      </c>
      <c r="D30" s="133">
        <v>32249.600741446153</v>
      </c>
      <c r="E30" s="134">
        <f>'Billing Det'!B24</f>
        <v>20</v>
      </c>
      <c r="F30" s="134"/>
      <c r="G30" s="133">
        <f>C30*E30</f>
        <v>644052.01482892304</v>
      </c>
      <c r="H30" s="54">
        <f>G30/$G$47</f>
        <v>1.309188503755108E-2</v>
      </c>
      <c r="I30" s="25"/>
      <c r="J30" s="25"/>
      <c r="K30" s="25"/>
      <c r="L30" s="113"/>
      <c r="M30" s="129"/>
      <c r="N30" s="122"/>
      <c r="O30" s="119"/>
      <c r="P30" s="74"/>
      <c r="Q30" s="123"/>
      <c r="R30" s="119"/>
      <c r="S30" s="124"/>
      <c r="T30" s="125"/>
      <c r="U30" s="45"/>
    </row>
    <row r="31" spans="1:21" x14ac:dyDescent="0.5">
      <c r="A31" s="7"/>
      <c r="C31" s="117"/>
      <c r="D31" s="117"/>
      <c r="E31" s="134"/>
      <c r="F31" s="134"/>
      <c r="H31" s="134"/>
      <c r="I31" s="25"/>
      <c r="J31" s="25"/>
      <c r="K31" s="25"/>
      <c r="L31" s="25"/>
      <c r="M31" s="25"/>
      <c r="N31" s="118"/>
      <c r="O31" s="119"/>
      <c r="P31" s="74"/>
      <c r="Q31" s="123"/>
      <c r="R31" s="119"/>
      <c r="S31" s="124"/>
      <c r="T31" s="125"/>
      <c r="U31" s="45"/>
    </row>
    <row r="32" spans="1:21" x14ac:dyDescent="0.5">
      <c r="A32" s="7" t="s">
        <v>2086</v>
      </c>
      <c r="C32" s="133">
        <v>39757.048914100007</v>
      </c>
      <c r="D32" s="133">
        <v>39804.048914100007</v>
      </c>
      <c r="E32" s="134">
        <f>'Billing Det'!B26</f>
        <v>1</v>
      </c>
      <c r="F32" s="134"/>
      <c r="G32" s="133">
        <f>C32*E32</f>
        <v>39757.048914100007</v>
      </c>
      <c r="H32" s="54">
        <f>G32/$G$47</f>
        <v>8.0815633183594531E-4</v>
      </c>
      <c r="I32" s="25"/>
      <c r="J32" s="25"/>
      <c r="K32" s="25"/>
      <c r="L32" s="113"/>
      <c r="M32" s="25"/>
      <c r="N32" s="122"/>
      <c r="O32" s="119"/>
      <c r="P32" s="74"/>
      <c r="Q32" s="123"/>
      <c r="R32" s="119"/>
      <c r="S32" s="124"/>
      <c r="T32" s="125"/>
      <c r="U32" s="45"/>
    </row>
    <row r="33" spans="1:21" x14ac:dyDescent="0.5">
      <c r="A33" s="7"/>
      <c r="C33" s="133"/>
      <c r="D33" s="133"/>
      <c r="E33" s="134"/>
      <c r="F33" s="134"/>
      <c r="G33" s="133"/>
      <c r="H33" s="134"/>
      <c r="I33" s="25"/>
      <c r="J33" s="25"/>
      <c r="K33" s="25"/>
      <c r="L33" s="113"/>
      <c r="M33" s="25"/>
      <c r="N33" s="122"/>
      <c r="O33" s="119"/>
      <c r="P33" s="74"/>
      <c r="Q33" s="123"/>
      <c r="R33" s="119"/>
      <c r="S33" s="124"/>
      <c r="T33" s="125"/>
      <c r="U33" s="45"/>
    </row>
    <row r="34" spans="1:21" x14ac:dyDescent="0.5">
      <c r="A34" s="7" t="s">
        <v>2102</v>
      </c>
      <c r="C34" s="133">
        <v>0</v>
      </c>
      <c r="D34" s="133">
        <v>0</v>
      </c>
      <c r="E34" s="134">
        <f>'Billing Det'!B28</f>
        <v>173293</v>
      </c>
      <c r="F34" s="134"/>
      <c r="G34" s="133">
        <f>C34*E34</f>
        <v>0</v>
      </c>
      <c r="H34" s="54">
        <f>G34/$G$47</f>
        <v>0</v>
      </c>
      <c r="I34" s="25"/>
      <c r="J34" s="25"/>
      <c r="K34" s="25"/>
      <c r="L34" s="113"/>
      <c r="M34" s="25"/>
      <c r="N34" s="122"/>
      <c r="O34" s="119"/>
      <c r="P34" s="74"/>
      <c r="Q34" s="123"/>
      <c r="R34" s="119"/>
      <c r="S34" s="124"/>
      <c r="T34" s="125"/>
      <c r="U34" s="45"/>
    </row>
    <row r="35" spans="1:21" x14ac:dyDescent="0.5">
      <c r="A35" s="7"/>
      <c r="C35" s="133"/>
      <c r="D35" s="133"/>
      <c r="E35" s="134"/>
      <c r="F35" s="134"/>
      <c r="G35" s="133"/>
      <c r="H35" s="134"/>
      <c r="I35" s="25"/>
      <c r="J35" s="25"/>
      <c r="K35" s="25"/>
      <c r="L35" s="113"/>
      <c r="M35" s="25"/>
      <c r="N35" s="122"/>
      <c r="O35" s="119"/>
      <c r="P35" s="74"/>
      <c r="Q35" s="123"/>
      <c r="R35" s="119"/>
      <c r="S35" s="124"/>
      <c r="T35" s="125"/>
      <c r="U35" s="45"/>
    </row>
    <row r="36" spans="1:21" x14ac:dyDescent="0.5">
      <c r="A36" s="7" t="s">
        <v>2103</v>
      </c>
      <c r="C36" s="133">
        <f>C10</f>
        <v>67.1884163</v>
      </c>
      <c r="D36" s="133">
        <f>D10</f>
        <v>146.1884163</v>
      </c>
      <c r="E36" s="134">
        <f>'Billing Det'!B30</f>
        <v>108</v>
      </c>
      <c r="F36" s="134"/>
      <c r="G36" s="133">
        <f>C36*E36</f>
        <v>7256.3489603999997</v>
      </c>
      <c r="H36" s="54">
        <f>G36/$G$47</f>
        <v>1.4750250631099163E-4</v>
      </c>
      <c r="I36" s="25"/>
      <c r="J36" s="25"/>
      <c r="K36" s="25"/>
      <c r="L36" s="113"/>
      <c r="M36" s="25"/>
      <c r="N36" s="122"/>
      <c r="O36" s="119"/>
      <c r="P36" s="74"/>
      <c r="Q36" s="123"/>
      <c r="R36" s="119"/>
      <c r="S36" s="124"/>
      <c r="T36" s="125"/>
      <c r="U36" s="45"/>
    </row>
    <row r="37" spans="1:21" x14ac:dyDescent="0.5">
      <c r="A37" s="7"/>
      <c r="C37" s="133"/>
      <c r="D37" s="133"/>
      <c r="E37" s="134"/>
      <c r="F37" s="134"/>
      <c r="G37" s="133"/>
      <c r="H37" s="54"/>
      <c r="I37" s="25"/>
      <c r="J37" s="25"/>
      <c r="K37" s="25"/>
      <c r="L37" s="113"/>
      <c r="M37" s="25"/>
      <c r="N37" s="122"/>
      <c r="O37" s="119"/>
      <c r="P37" s="74"/>
      <c r="Q37" s="123"/>
      <c r="R37" s="119"/>
      <c r="S37" s="124"/>
      <c r="T37" s="125"/>
      <c r="U37" s="45"/>
    </row>
    <row r="38" spans="1:21" x14ac:dyDescent="0.5">
      <c r="A38" s="7" t="s">
        <v>2104</v>
      </c>
      <c r="C38" s="133">
        <f>C10</f>
        <v>67.1884163</v>
      </c>
      <c r="D38" s="133">
        <f>D10</f>
        <v>146.1884163</v>
      </c>
      <c r="E38" s="134">
        <f>'Billing Det'!B32</f>
        <v>1331</v>
      </c>
      <c r="F38" s="134"/>
      <c r="G38" s="133">
        <f>C38*E38</f>
        <v>89427.782095300005</v>
      </c>
      <c r="H38" s="54">
        <f>G38/$G$47</f>
        <v>1.8178318138882396E-3</v>
      </c>
      <c r="I38" s="25"/>
      <c r="J38" s="25"/>
      <c r="K38" s="25"/>
      <c r="L38" s="113"/>
      <c r="M38" s="25"/>
      <c r="N38" s="122"/>
      <c r="O38" s="119"/>
      <c r="P38" s="74"/>
      <c r="Q38" s="123"/>
      <c r="R38" s="119"/>
      <c r="S38" s="124"/>
      <c r="T38" s="125"/>
      <c r="U38" s="45"/>
    </row>
    <row r="39" spans="1:21" x14ac:dyDescent="0.5">
      <c r="A39" s="7"/>
      <c r="C39" s="133"/>
      <c r="D39" s="133"/>
      <c r="E39" s="134"/>
      <c r="F39" s="134"/>
      <c r="G39" s="133"/>
      <c r="H39" s="54"/>
      <c r="I39" s="25"/>
      <c r="J39" s="25"/>
      <c r="K39" s="25"/>
      <c r="L39" s="113"/>
      <c r="M39" s="25"/>
      <c r="N39" s="122"/>
      <c r="O39" s="119"/>
      <c r="P39" s="74"/>
      <c r="Q39" s="123"/>
      <c r="R39" s="119"/>
      <c r="S39" s="124"/>
      <c r="T39" s="125"/>
      <c r="U39" s="45"/>
    </row>
    <row r="40" spans="1:21" x14ac:dyDescent="0.5">
      <c r="A40" s="7" t="str">
        <f>'Billing Det'!A34</f>
        <v>Outdoor Sports Lighting Rate OSL</v>
      </c>
      <c r="C40" s="133">
        <f>C22</f>
        <v>844.40866328819675</v>
      </c>
      <c r="D40" s="133">
        <f>D22</f>
        <v>891.64080614533964</v>
      </c>
      <c r="E40" s="134">
        <f>'Billing Det'!B34</f>
        <v>4</v>
      </c>
      <c r="F40" s="134"/>
      <c r="G40" s="133">
        <f>C40*E40</f>
        <v>3377.634653152787</v>
      </c>
      <c r="H40" s="54">
        <f>G40/$G$47</f>
        <v>6.8658436833973541E-5</v>
      </c>
      <c r="I40" s="25"/>
      <c r="J40" s="25"/>
      <c r="K40" s="25"/>
      <c r="L40" s="113"/>
      <c r="M40" s="25"/>
      <c r="N40" s="122"/>
      <c r="O40" s="119"/>
      <c r="P40" s="74"/>
      <c r="Q40" s="123"/>
      <c r="R40" s="119"/>
      <c r="S40" s="124"/>
      <c r="T40" s="125"/>
      <c r="U40" s="45"/>
    </row>
    <row r="41" spans="1:21" x14ac:dyDescent="0.5">
      <c r="A41" s="7"/>
      <c r="C41" s="133"/>
      <c r="D41" s="133"/>
      <c r="E41" s="134"/>
      <c r="F41" s="134"/>
      <c r="G41" s="133"/>
      <c r="H41" s="54"/>
      <c r="I41" s="25"/>
      <c r="J41" s="25"/>
      <c r="K41" s="25"/>
      <c r="L41" s="113"/>
      <c r="M41" s="25"/>
      <c r="N41" s="122"/>
      <c r="O41" s="119"/>
      <c r="P41" s="74"/>
      <c r="Q41" s="123"/>
      <c r="R41" s="119"/>
      <c r="S41" s="124"/>
      <c r="T41" s="125"/>
      <c r="U41" s="45"/>
    </row>
    <row r="42" spans="1:21" x14ac:dyDescent="0.5">
      <c r="A42" s="7" t="s">
        <v>2347</v>
      </c>
      <c r="C42" s="133">
        <v>0</v>
      </c>
      <c r="D42" s="133">
        <v>0</v>
      </c>
      <c r="E42" s="134">
        <f>'Billing Det'!B36</f>
        <v>10</v>
      </c>
      <c r="F42" s="134"/>
      <c r="G42" s="133">
        <f>C42*E42</f>
        <v>0</v>
      </c>
      <c r="H42" s="54">
        <f>G42/$G$47</f>
        <v>0</v>
      </c>
      <c r="I42" s="25"/>
      <c r="J42" s="25"/>
      <c r="K42" s="25"/>
      <c r="L42" s="113"/>
      <c r="M42" s="25"/>
      <c r="N42" s="122"/>
      <c r="O42" s="119"/>
      <c r="P42" s="74"/>
      <c r="Q42" s="123"/>
      <c r="R42" s="119"/>
      <c r="S42" s="124"/>
      <c r="T42" s="125"/>
      <c r="U42" s="45"/>
    </row>
    <row r="43" spans="1:21" x14ac:dyDescent="0.5">
      <c r="A43" s="395"/>
      <c r="C43" s="133"/>
      <c r="D43" s="133"/>
      <c r="E43" s="134"/>
      <c r="F43" s="134"/>
      <c r="G43" s="133"/>
      <c r="H43" s="54"/>
      <c r="I43" s="25"/>
      <c r="J43" s="25"/>
      <c r="K43" s="25"/>
      <c r="L43" s="113"/>
      <c r="M43" s="25"/>
      <c r="N43" s="122"/>
      <c r="O43" s="119"/>
      <c r="P43" s="74"/>
      <c r="Q43" s="123"/>
      <c r="R43" s="119"/>
      <c r="S43" s="124"/>
      <c r="T43" s="125"/>
      <c r="U43" s="45"/>
    </row>
    <row r="44" spans="1:21" x14ac:dyDescent="0.5">
      <c r="A44" s="7" t="s">
        <v>2348</v>
      </c>
      <c r="C44" s="133">
        <v>0</v>
      </c>
      <c r="D44" s="133">
        <v>0</v>
      </c>
      <c r="E44" s="134">
        <f>'Billing Det'!B38</f>
        <v>0</v>
      </c>
      <c r="F44" s="134"/>
      <c r="G44" s="133">
        <f>C44*E44</f>
        <v>0</v>
      </c>
      <c r="H44" s="54">
        <f>G44/$G$47</f>
        <v>0</v>
      </c>
      <c r="I44" s="25"/>
      <c r="J44" s="25"/>
      <c r="K44" s="25"/>
      <c r="L44" s="113"/>
      <c r="M44" s="25"/>
      <c r="N44" s="122"/>
      <c r="O44" s="119"/>
      <c r="P44" s="74"/>
      <c r="Q44" s="123"/>
      <c r="R44" s="119"/>
      <c r="S44" s="124"/>
      <c r="T44" s="125"/>
      <c r="U44" s="45"/>
    </row>
    <row r="45" spans="1:21" x14ac:dyDescent="0.5">
      <c r="A45" s="7"/>
      <c r="C45" s="133"/>
      <c r="D45" s="133"/>
      <c r="E45" s="134"/>
      <c r="F45" s="134"/>
      <c r="G45" s="133"/>
      <c r="H45" s="54"/>
      <c r="I45" s="25"/>
      <c r="J45" s="25"/>
      <c r="K45" s="25"/>
      <c r="L45" s="113"/>
      <c r="M45" s="25"/>
      <c r="N45" s="122"/>
      <c r="O45" s="119"/>
      <c r="P45" s="74"/>
      <c r="Q45" s="123"/>
      <c r="R45" s="119"/>
      <c r="S45" s="124"/>
      <c r="T45" s="125"/>
      <c r="U45" s="45"/>
    </row>
    <row r="46" spans="1:21" x14ac:dyDescent="0.5">
      <c r="A46" s="465" t="s">
        <v>2552</v>
      </c>
      <c r="B46" s="137"/>
      <c r="C46" s="138">
        <v>0</v>
      </c>
      <c r="D46" s="138">
        <v>0</v>
      </c>
      <c r="E46" s="139">
        <f>'Billing Det'!B40</f>
        <v>0</v>
      </c>
      <c r="F46" s="139"/>
      <c r="G46" s="138">
        <f>C46*E46</f>
        <v>0</v>
      </c>
      <c r="H46" s="175">
        <f>G46/$G$47</f>
        <v>0</v>
      </c>
      <c r="I46" s="25"/>
      <c r="J46" s="25"/>
      <c r="K46" s="25"/>
      <c r="L46" s="113"/>
      <c r="M46" s="25"/>
      <c r="N46" s="122"/>
      <c r="O46" s="119"/>
      <c r="P46" s="74"/>
      <c r="Q46" s="123"/>
      <c r="R46" s="119"/>
      <c r="S46" s="124"/>
      <c r="T46" s="125"/>
      <c r="U46" s="45"/>
    </row>
    <row r="47" spans="1:21" x14ac:dyDescent="0.5">
      <c r="A47" s="3" t="s">
        <v>62</v>
      </c>
      <c r="C47" s="133"/>
      <c r="D47" s="133"/>
      <c r="E47" s="140">
        <f>SUM(E4:E46)</f>
        <v>705983.59178082191</v>
      </c>
      <c r="F47" s="140"/>
      <c r="G47" s="91">
        <f>SUM(G4:G46)</f>
        <v>49194750.258011512</v>
      </c>
      <c r="H47" s="54">
        <f>SUM(H10:H46)</f>
        <v>1.0000000000000002</v>
      </c>
      <c r="I47" s="5"/>
      <c r="J47" s="5"/>
      <c r="K47" s="5"/>
      <c r="L47" s="132"/>
      <c r="M47" s="25"/>
      <c r="N47" s="118"/>
      <c r="O47" s="119"/>
      <c r="P47" s="74"/>
      <c r="Q47" s="123"/>
      <c r="R47" s="119"/>
      <c r="S47" s="124"/>
      <c r="T47" s="125"/>
      <c r="U47" s="45"/>
    </row>
    <row r="48" spans="1:21" x14ac:dyDescent="0.5">
      <c r="H48" s="173"/>
      <c r="N48" s="122"/>
      <c r="O48" s="119"/>
      <c r="P48" s="74"/>
      <c r="Q48" s="123"/>
      <c r="R48" s="119"/>
      <c r="S48" s="124"/>
      <c r="T48" s="125"/>
      <c r="U48" s="45"/>
    </row>
    <row r="49" spans="1:21" x14ac:dyDescent="0.5">
      <c r="H49" s="174"/>
      <c r="N49" s="122"/>
      <c r="O49" s="119"/>
      <c r="P49" s="74"/>
      <c r="Q49" s="123"/>
      <c r="R49" s="119"/>
      <c r="S49" s="124"/>
      <c r="T49" s="125"/>
      <c r="U49" s="45"/>
    </row>
    <row r="50" spans="1:21" x14ac:dyDescent="0.5">
      <c r="C50" s="110"/>
      <c r="D50" s="110"/>
      <c r="G50" s="133"/>
      <c r="H50" s="2"/>
      <c r="N50" s="122"/>
      <c r="O50" s="119"/>
      <c r="P50" s="74"/>
      <c r="Q50" s="123"/>
      <c r="R50" s="119"/>
      <c r="S50" s="124"/>
      <c r="T50" s="125"/>
      <c r="U50" s="45"/>
    </row>
    <row r="51" spans="1:21" x14ac:dyDescent="0.5">
      <c r="C51" s="53" t="s">
        <v>2094</v>
      </c>
      <c r="D51" s="53"/>
      <c r="E51" s="53"/>
      <c r="F51" s="53"/>
      <c r="G51" s="60">
        <f>'WSS-26'!F41</f>
        <v>74150151</v>
      </c>
      <c r="N51" s="122"/>
      <c r="O51" s="119"/>
      <c r="P51" s="74"/>
      <c r="Q51" s="123"/>
      <c r="R51" s="119"/>
      <c r="S51" s="124"/>
      <c r="T51" s="125"/>
      <c r="U51" s="45"/>
    </row>
    <row r="52" spans="1:21" x14ac:dyDescent="0.5">
      <c r="C52" s="110"/>
      <c r="D52" s="110"/>
      <c r="G52" s="133"/>
      <c r="H52" s="2"/>
      <c r="N52" s="119"/>
      <c r="O52" s="119"/>
      <c r="P52" s="74"/>
      <c r="Q52" s="126"/>
      <c r="R52" s="119"/>
      <c r="S52" s="124"/>
      <c r="T52" s="126"/>
      <c r="U52" s="45"/>
    </row>
    <row r="53" spans="1:21" x14ac:dyDescent="0.5">
      <c r="C53" s="110"/>
      <c r="D53" s="110"/>
      <c r="G53" s="136"/>
      <c r="H53" s="2"/>
      <c r="N53" s="119"/>
      <c r="O53" s="119"/>
      <c r="P53" s="119"/>
      <c r="Q53" s="119"/>
      <c r="R53" s="119"/>
      <c r="S53" s="127"/>
      <c r="T53" s="119"/>
      <c r="U53" s="45"/>
    </row>
    <row r="54" spans="1:21" x14ac:dyDescent="0.5">
      <c r="A54" s="7"/>
      <c r="C54" s="110"/>
      <c r="D54" s="110"/>
      <c r="G54" s="133"/>
      <c r="H54" s="2"/>
      <c r="N54" s="119"/>
      <c r="O54" s="119"/>
      <c r="P54" s="119"/>
      <c r="Q54" s="119"/>
      <c r="R54" s="119"/>
      <c r="S54" s="120"/>
      <c r="T54" s="119"/>
      <c r="U54" s="45"/>
    </row>
    <row r="55" spans="1:21" x14ac:dyDescent="0.5">
      <c r="C55" s="110"/>
      <c r="D55" s="110"/>
      <c r="H55" s="2"/>
      <c r="N55" s="119"/>
      <c r="O55" s="119"/>
      <c r="P55" s="119"/>
      <c r="Q55" s="119"/>
      <c r="R55" s="119"/>
      <c r="S55" s="74"/>
      <c r="T55" s="119"/>
      <c r="U55" s="45"/>
    </row>
    <row r="56" spans="1:21" x14ac:dyDescent="0.5">
      <c r="A56" s="7"/>
      <c r="C56" s="110"/>
      <c r="D56" s="110"/>
      <c r="G56" s="133"/>
      <c r="H56" s="2"/>
      <c r="N56" s="128"/>
      <c r="O56" s="128"/>
      <c r="P56" s="128"/>
      <c r="Q56" s="128"/>
      <c r="R56" s="128"/>
      <c r="S56" s="128"/>
      <c r="T56" s="128"/>
    </row>
    <row r="57" spans="1:21" x14ac:dyDescent="0.5">
      <c r="A57" s="7"/>
      <c r="C57" s="114"/>
      <c r="D57" s="114"/>
      <c r="H57" s="2"/>
      <c r="N57" s="128"/>
      <c r="O57" s="128"/>
      <c r="P57" s="128"/>
      <c r="Q57" s="128"/>
      <c r="R57" s="128"/>
      <c r="S57" s="128"/>
      <c r="T57" s="128"/>
    </row>
    <row r="58" spans="1:21" x14ac:dyDescent="0.5">
      <c r="A58" s="7"/>
      <c r="E58" s="43"/>
      <c r="F58" s="43"/>
      <c r="G58" s="133"/>
      <c r="H58" s="2"/>
      <c r="N58" s="128"/>
      <c r="O58" s="128"/>
      <c r="P58" s="128"/>
      <c r="Q58" s="128"/>
      <c r="R58" s="128"/>
      <c r="S58" s="128"/>
      <c r="T58" s="128"/>
    </row>
    <row r="59" spans="1:21" x14ac:dyDescent="0.5">
      <c r="A59" s="7"/>
      <c r="C59" s="114"/>
      <c r="D59" s="114"/>
      <c r="H59" s="2"/>
    </row>
    <row r="60" spans="1:21" x14ac:dyDescent="0.5">
      <c r="A60" s="7"/>
      <c r="C60" s="110"/>
      <c r="D60" s="110"/>
      <c r="E60" s="43"/>
      <c r="F60" s="43"/>
      <c r="G60" s="133"/>
      <c r="H60" s="2"/>
    </row>
    <row r="61" spans="1:21" x14ac:dyDescent="0.5">
      <c r="A61" s="112"/>
      <c r="B61" s="25"/>
      <c r="C61" s="115"/>
      <c r="D61" s="115"/>
      <c r="H61" s="2"/>
    </row>
    <row r="62" spans="1:21" x14ac:dyDescent="0.5">
      <c r="C62" s="114"/>
      <c r="D62" s="114"/>
      <c r="E62" s="113"/>
      <c r="F62" s="113"/>
      <c r="G62" s="133"/>
      <c r="H62" s="2"/>
    </row>
    <row r="63" spans="1:21" x14ac:dyDescent="0.5">
      <c r="C63" s="114"/>
      <c r="D63" s="114"/>
      <c r="E63" s="43"/>
      <c r="F63" s="43"/>
      <c r="H63" s="2"/>
    </row>
    <row r="64" spans="1:21" x14ac:dyDescent="0.5">
      <c r="C64" s="114"/>
      <c r="D64" s="114"/>
      <c r="G64" s="133"/>
      <c r="H64" s="2"/>
    </row>
    <row r="65" spans="3:8" x14ac:dyDescent="0.5">
      <c r="C65" s="114"/>
      <c r="D65" s="114"/>
      <c r="H65" s="2"/>
    </row>
    <row r="66" spans="3:8" x14ac:dyDescent="0.5">
      <c r="C66" s="114"/>
      <c r="D66" s="114"/>
      <c r="G66" s="133"/>
      <c r="H66" s="2"/>
    </row>
    <row r="67" spans="3:8" x14ac:dyDescent="0.5">
      <c r="C67" s="114"/>
      <c r="D67" s="114"/>
      <c r="H67" s="2"/>
    </row>
    <row r="68" spans="3:8" x14ac:dyDescent="0.5">
      <c r="C68" s="114"/>
      <c r="D68" s="114"/>
      <c r="G68" s="133"/>
      <c r="H68" s="2"/>
    </row>
    <row r="69" spans="3:8" x14ac:dyDescent="0.5">
      <c r="C69" s="114"/>
      <c r="D69" s="114"/>
      <c r="H69" s="2"/>
    </row>
    <row r="70" spans="3:8" x14ac:dyDescent="0.5">
      <c r="G70" s="133">
        <f>SUM(G10:G69)</f>
        <v>172539651.51602304</v>
      </c>
      <c r="H70" s="2">
        <f>SUM(H10:H69)</f>
        <v>2.0000000000000004</v>
      </c>
    </row>
    <row r="71" spans="3:8" x14ac:dyDescent="0.5">
      <c r="C71" s="1"/>
      <c r="D71" s="1"/>
    </row>
    <row r="83" spans="5:13" x14ac:dyDescent="0.5">
      <c r="E83" s="45"/>
      <c r="F83" s="45"/>
      <c r="G83" s="53"/>
      <c r="H83" s="45"/>
      <c r="I83" s="45"/>
      <c r="J83" s="45"/>
      <c r="K83" s="45"/>
      <c r="L83" s="45"/>
      <c r="M83" s="53"/>
    </row>
    <row r="112" spans="14:21" x14ac:dyDescent="0.5">
      <c r="N112" s="45"/>
      <c r="O112" s="45"/>
      <c r="P112" s="45"/>
      <c r="Q112" s="45"/>
      <c r="R112" s="45"/>
      <c r="S112" s="53"/>
      <c r="T112" s="45"/>
      <c r="U112" s="45"/>
    </row>
    <row r="113" spans="16:16" x14ac:dyDescent="0.5">
      <c r="P113" s="45"/>
    </row>
    <row r="114" spans="16:16" x14ac:dyDescent="0.5">
      <c r="P114" s="45"/>
    </row>
    <row r="115" spans="16:16" x14ac:dyDescent="0.5">
      <c r="P115" s="45"/>
    </row>
    <row r="116" spans="16:16" x14ac:dyDescent="0.5">
      <c r="P116" s="45"/>
    </row>
    <row r="117" spans="16:16" x14ac:dyDescent="0.5">
      <c r="P117" s="45"/>
    </row>
    <row r="118" spans="16:16" x14ac:dyDescent="0.5">
      <c r="P118" s="45"/>
    </row>
  </sheetData>
  <mergeCells count="1">
    <mergeCell ref="P8:Q8"/>
  </mergeCells>
  <phoneticPr fontId="0" type="noConversion"/>
  <pageMargins left="1" right="0.25" top="0.75" bottom="0.62" header="0.5" footer="0.2"/>
  <pageSetup scale="79" orientation="portrait" horizontalDpi="200" verticalDpi="200" r:id="rId1"/>
  <headerFooter alignWithMargins="0">
    <oddFooter>&amp;C&amp;12Meters&amp;R&amp;12Exhibit 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V327"/>
  <sheetViews>
    <sheetView topLeftCell="A4" zoomScale="75" zoomScaleNormal="75" workbookViewId="0">
      <selection activeCell="A12" sqref="A12"/>
    </sheetView>
  </sheetViews>
  <sheetFormatPr defaultColWidth="9.15625" defaultRowHeight="12.6" x14ac:dyDescent="0.45"/>
  <cols>
    <col min="1" max="1" width="53.41796875" style="45" customWidth="1"/>
    <col min="2" max="2" width="2.68359375" style="45" customWidth="1"/>
    <col min="3" max="3" width="19.68359375" style="45" customWidth="1"/>
    <col min="4" max="4" width="18.578125" style="45" customWidth="1"/>
    <col min="5" max="5" width="17.26171875" style="45" bestFit="1" customWidth="1"/>
    <col min="6" max="6" width="10.26171875" style="53" customWidth="1"/>
    <col min="7" max="8" width="15.15625" style="45" customWidth="1"/>
    <col min="9" max="9" width="32.15625" style="45" hidden="1" customWidth="1"/>
    <col min="10" max="10" width="21.26171875" style="39" hidden="1" customWidth="1"/>
    <col min="11" max="13" width="13.15625" style="64" hidden="1" customWidth="1"/>
    <col min="14" max="14" width="16.26171875" style="45" customWidth="1"/>
    <col min="15" max="15" width="4.41796875" style="45" customWidth="1"/>
    <col min="16" max="16" width="16.15625" style="45" customWidth="1"/>
    <col min="17" max="17" width="13.68359375" style="45" customWidth="1"/>
    <col min="18" max="18" width="3.26171875" style="45" customWidth="1"/>
    <col min="19" max="19" width="19.41796875" style="45" customWidth="1"/>
    <col min="20" max="20" width="13.41796875" style="45" customWidth="1"/>
    <col min="21" max="21" width="9.15625" style="45"/>
    <col min="22" max="22" width="20.578125" style="45" customWidth="1"/>
    <col min="23" max="16384" width="9.15625" style="45"/>
  </cols>
  <sheetData>
    <row r="1" spans="1:22" ht="17.399999999999999" x14ac:dyDescent="0.55000000000000004">
      <c r="A1" s="4" t="s">
        <v>1360</v>
      </c>
      <c r="B1"/>
      <c r="C1"/>
      <c r="D1" s="40"/>
      <c r="E1" s="117"/>
      <c r="F1"/>
    </row>
    <row r="2" spans="1:22" ht="15.3" x14ac:dyDescent="0.55000000000000004">
      <c r="A2" s="26" t="s">
        <v>1361</v>
      </c>
      <c r="B2"/>
      <c r="C2"/>
      <c r="D2" s="40"/>
      <c r="E2" s="117"/>
      <c r="F2"/>
    </row>
    <row r="3" spans="1:22" ht="15.3" x14ac:dyDescent="0.55000000000000004">
      <c r="A3" s="26" t="s">
        <v>2095</v>
      </c>
      <c r="B3"/>
      <c r="C3"/>
      <c r="D3" s="40"/>
      <c r="E3" s="117"/>
      <c r="F3"/>
    </row>
    <row r="4" spans="1:22" ht="15.3" x14ac:dyDescent="0.55000000000000004">
      <c r="A4" s="33"/>
      <c r="B4"/>
      <c r="C4"/>
      <c r="D4" s="40"/>
      <c r="E4" s="117"/>
      <c r="F4"/>
      <c r="N4" s="118"/>
      <c r="O4" s="119"/>
      <c r="P4" s="119"/>
      <c r="Q4" s="119"/>
      <c r="R4" s="119"/>
      <c r="S4" s="119"/>
      <c r="T4" s="119"/>
    </row>
    <row r="5" spans="1:22" ht="14.1" x14ac:dyDescent="0.5">
      <c r="A5"/>
      <c r="B5"/>
      <c r="C5"/>
      <c r="D5" s="41"/>
      <c r="E5" s="117"/>
      <c r="F5"/>
      <c r="N5" s="119"/>
      <c r="O5" s="119"/>
      <c r="P5" s="119"/>
      <c r="Q5" s="119"/>
      <c r="R5" s="119"/>
      <c r="S5" s="119"/>
      <c r="T5" s="119"/>
    </row>
    <row r="6" spans="1:22" ht="14.1" x14ac:dyDescent="0.5">
      <c r="A6"/>
      <c r="B6"/>
      <c r="C6" s="62" t="s">
        <v>2096</v>
      </c>
      <c r="D6" s="62" t="s">
        <v>2168</v>
      </c>
      <c r="E6" s="61" t="s">
        <v>62</v>
      </c>
      <c r="F6" s="116"/>
      <c r="J6" s="44" t="s">
        <v>652</v>
      </c>
      <c r="N6" s="52"/>
      <c r="O6" s="120"/>
      <c r="P6" s="526"/>
      <c r="Q6" s="526"/>
      <c r="R6" s="119"/>
      <c r="S6" s="120"/>
      <c r="T6" s="119"/>
    </row>
    <row r="7" spans="1:22" ht="14.1" x14ac:dyDescent="0.5">
      <c r="A7"/>
      <c r="B7"/>
      <c r="C7" s="46" t="s">
        <v>2091</v>
      </c>
      <c r="D7" s="46" t="s">
        <v>817</v>
      </c>
      <c r="E7" s="61" t="s">
        <v>2096</v>
      </c>
      <c r="F7" s="61" t="s">
        <v>384</v>
      </c>
      <c r="J7" s="70" t="s">
        <v>653</v>
      </c>
      <c r="K7" s="65" t="s">
        <v>388</v>
      </c>
      <c r="L7" s="65"/>
      <c r="M7" s="65"/>
      <c r="N7" s="52"/>
      <c r="O7" s="119"/>
      <c r="P7" s="52"/>
      <c r="Q7" s="52"/>
      <c r="R7" s="119"/>
      <c r="S7" s="52"/>
      <c r="T7" s="118"/>
    </row>
    <row r="8" spans="1:22" ht="14.4" thickBot="1" x14ac:dyDescent="0.55000000000000004">
      <c r="A8" s="19" t="s">
        <v>1362</v>
      </c>
      <c r="B8" s="19"/>
      <c r="C8" s="47" t="s">
        <v>507</v>
      </c>
      <c r="D8" s="47" t="s">
        <v>506</v>
      </c>
      <c r="E8" s="73" t="s">
        <v>507</v>
      </c>
      <c r="F8" s="73" t="s">
        <v>2092</v>
      </c>
      <c r="J8" s="66" t="s">
        <v>654</v>
      </c>
      <c r="K8" s="67" t="s">
        <v>840</v>
      </c>
      <c r="L8" s="65"/>
      <c r="M8" s="65"/>
      <c r="N8" s="52"/>
      <c r="O8" s="119"/>
      <c r="P8" s="52"/>
      <c r="Q8" s="52"/>
      <c r="R8" s="119"/>
      <c r="S8" s="121"/>
      <c r="T8" s="119"/>
    </row>
    <row r="9" spans="1:22" ht="14.1" x14ac:dyDescent="0.5">
      <c r="A9"/>
      <c r="B9"/>
      <c r="C9"/>
      <c r="D9" s="40"/>
      <c r="E9" s="117"/>
      <c r="F9"/>
      <c r="J9" s="68"/>
      <c r="N9" s="52"/>
      <c r="O9" s="142"/>
      <c r="P9" s="119"/>
      <c r="Q9" s="119"/>
      <c r="R9" s="119"/>
      <c r="S9" s="142"/>
      <c r="T9" s="119"/>
    </row>
    <row r="10" spans="1:22" ht="14.1" x14ac:dyDescent="0.5">
      <c r="A10" s="7" t="s">
        <v>1482</v>
      </c>
      <c r="B10"/>
      <c r="C10" s="147">
        <v>788.28</v>
      </c>
      <c r="D10" s="134">
        <f>Meters!E10</f>
        <v>441695.83493150683</v>
      </c>
      <c r="E10" s="133">
        <f>C10*D10</f>
        <v>348179992.75980818</v>
      </c>
      <c r="F10" s="54">
        <f>E10/$E$43</f>
        <v>0.78970813484036173</v>
      </c>
      <c r="G10" s="63"/>
      <c r="H10" s="63"/>
      <c r="I10" s="7" t="s">
        <v>203</v>
      </c>
      <c r="J10" s="50">
        <v>225746</v>
      </c>
      <c r="K10" s="69">
        <f>J10/$J$70</f>
        <v>0.94543002646832175</v>
      </c>
      <c r="L10" s="69"/>
      <c r="M10" s="69"/>
      <c r="N10" s="52"/>
      <c r="O10" s="124"/>
      <c r="P10" s="143"/>
      <c r="Q10" s="144"/>
      <c r="R10" s="118"/>
      <c r="S10" s="145"/>
      <c r="T10" s="146"/>
      <c r="V10" s="63"/>
    </row>
    <row r="11" spans="1:22" ht="14.1" x14ac:dyDescent="0.5">
      <c r="A11"/>
      <c r="B11"/>
      <c r="C11" s="133"/>
      <c r="D11" s="134"/>
      <c r="E11" s="133"/>
      <c r="F11" s="134"/>
      <c r="G11" s="63"/>
      <c r="H11" s="63"/>
      <c r="I11" s="7"/>
      <c r="J11" s="50"/>
      <c r="N11" s="52"/>
      <c r="O11" s="124"/>
      <c r="P11" s="143"/>
      <c r="Q11" s="144"/>
      <c r="R11" s="118"/>
      <c r="S11" s="145"/>
      <c r="T11" s="146"/>
    </row>
    <row r="12" spans="1:22" ht="14.1" x14ac:dyDescent="0.5">
      <c r="A12" s="390" t="s">
        <v>2567</v>
      </c>
      <c r="B12"/>
      <c r="C12" s="133">
        <f>C10</f>
        <v>788.28</v>
      </c>
      <c r="D12" s="134">
        <f>Meters!E12</f>
        <v>646.25</v>
      </c>
      <c r="E12" s="133">
        <f>C12*D12</f>
        <v>509425.94999999995</v>
      </c>
      <c r="F12" s="54">
        <f>E12/$E$43</f>
        <v>1.155430596758339E-3</v>
      </c>
      <c r="G12" s="63"/>
      <c r="H12" s="63"/>
      <c r="I12" s="7"/>
      <c r="J12" s="50"/>
      <c r="N12" s="52"/>
      <c r="O12" s="124"/>
      <c r="P12" s="143"/>
      <c r="Q12" s="144"/>
      <c r="R12" s="118"/>
      <c r="S12" s="145"/>
      <c r="T12" s="146"/>
    </row>
    <row r="13" spans="1:22" ht="14.1" x14ac:dyDescent="0.5">
      <c r="A13"/>
      <c r="B13"/>
      <c r="C13" s="133"/>
      <c r="D13" s="134"/>
      <c r="E13" s="133"/>
      <c r="F13" s="134"/>
      <c r="G13" s="63"/>
      <c r="H13" s="63"/>
      <c r="I13" s="7"/>
      <c r="J13" s="50"/>
      <c r="N13" s="52"/>
      <c r="O13" s="124"/>
      <c r="P13" s="143"/>
      <c r="Q13" s="144"/>
      <c r="R13" s="118"/>
      <c r="S13" s="145"/>
      <c r="T13" s="146"/>
    </row>
    <row r="14" spans="1:22" ht="14.4" x14ac:dyDescent="0.55000000000000004">
      <c r="A14" s="394" t="s">
        <v>2494</v>
      </c>
      <c r="B14"/>
      <c r="C14" s="453">
        <v>1237.5</v>
      </c>
      <c r="D14" s="134">
        <f>Meters!E14</f>
        <v>63343.734246575339</v>
      </c>
      <c r="E14" s="133">
        <f>C14*D14</f>
        <v>78387871.130136982</v>
      </c>
      <c r="F14" s="54">
        <f>E14/$E$43</f>
        <v>0.17779177664292514</v>
      </c>
      <c r="G14" s="63"/>
      <c r="H14" s="63"/>
      <c r="I14" s="7"/>
      <c r="J14" s="50"/>
      <c r="N14" s="52"/>
      <c r="O14" s="124"/>
      <c r="P14" s="143"/>
      <c r="Q14" s="144"/>
      <c r="R14" s="118"/>
      <c r="S14" s="145"/>
      <c r="T14" s="146"/>
    </row>
    <row r="15" spans="1:22" ht="14.1" x14ac:dyDescent="0.5">
      <c r="A15" s="7"/>
      <c r="B15"/>
      <c r="C15" s="133"/>
      <c r="D15" s="134"/>
      <c r="E15" s="133"/>
      <c r="F15" s="134"/>
      <c r="G15" s="63"/>
      <c r="H15" s="63"/>
      <c r="I15" s="7"/>
      <c r="J15" s="50"/>
      <c r="N15" s="52"/>
      <c r="O15" s="124"/>
      <c r="P15" s="143"/>
      <c r="Q15" s="144"/>
      <c r="R15" s="118"/>
      <c r="S15" s="145"/>
      <c r="T15" s="146"/>
    </row>
    <row r="16" spans="1:22" ht="14.1" x14ac:dyDescent="0.5">
      <c r="A16" s="394" t="s">
        <v>2183</v>
      </c>
      <c r="B16"/>
      <c r="C16" s="148">
        <f>C22</f>
        <v>3803.33</v>
      </c>
      <c r="D16" s="134">
        <f>Meters!E18</f>
        <v>186.47671232876712</v>
      </c>
      <c r="E16" s="133">
        <f>C16*D16</f>
        <v>709232.47430136986</v>
      </c>
      <c r="F16" s="54">
        <f>E16/$E$43</f>
        <v>1.6086124019053705E-3</v>
      </c>
      <c r="G16" s="63"/>
      <c r="H16" s="63"/>
      <c r="I16" s="7"/>
      <c r="J16" s="50"/>
      <c r="N16" s="52"/>
      <c r="O16" s="124"/>
      <c r="P16" s="74"/>
      <c r="Q16" s="123"/>
      <c r="R16" s="119"/>
      <c r="S16" s="124"/>
      <c r="T16" s="125"/>
    </row>
    <row r="17" spans="1:20" ht="14.1" x14ac:dyDescent="0.5">
      <c r="A17" s="7"/>
      <c r="B17"/>
      <c r="C17" s="148"/>
      <c r="D17" s="134"/>
      <c r="E17" s="133"/>
      <c r="F17" s="134"/>
      <c r="G17" s="63"/>
      <c r="H17" s="63"/>
      <c r="I17" s="7"/>
      <c r="J17" s="50"/>
      <c r="N17" s="52"/>
      <c r="O17" s="124"/>
      <c r="P17" s="74"/>
      <c r="Q17" s="123"/>
      <c r="R17" s="119"/>
      <c r="S17" s="124"/>
      <c r="T17" s="125"/>
    </row>
    <row r="18" spans="1:20" ht="14.1" x14ac:dyDescent="0.5">
      <c r="A18" s="7" t="s">
        <v>2087</v>
      </c>
      <c r="B18"/>
      <c r="C18" s="148">
        <v>2293.9899999999998</v>
      </c>
      <c r="D18" s="134">
        <f>Meters!E22</f>
        <v>4440.7013698630135</v>
      </c>
      <c r="E18" s="133">
        <f>C18*D18</f>
        <v>10186924.535452053</v>
      </c>
      <c r="F18" s="54">
        <f>E18/$E$43</f>
        <v>2.3104995525119073E-2</v>
      </c>
      <c r="G18" s="63"/>
      <c r="H18" s="63"/>
      <c r="I18" s="7" t="s">
        <v>202</v>
      </c>
      <c r="J18" s="50">
        <v>0</v>
      </c>
      <c r="K18" s="69">
        <f>J18/$J$70</f>
        <v>0</v>
      </c>
      <c r="L18" s="69"/>
      <c r="M18" s="69"/>
      <c r="N18" s="52"/>
      <c r="O18" s="124"/>
      <c r="P18" s="74"/>
      <c r="Q18" s="123"/>
      <c r="R18" s="119"/>
      <c r="S18" s="124"/>
      <c r="T18" s="125"/>
    </row>
    <row r="19" spans="1:20" ht="14.1" x14ac:dyDescent="0.5">
      <c r="A19"/>
      <c r="B19"/>
      <c r="C19" s="148"/>
      <c r="D19" s="134"/>
      <c r="E19" s="135"/>
      <c r="F19" s="134"/>
      <c r="G19" s="63"/>
      <c r="H19" s="63"/>
      <c r="I19" s="7"/>
      <c r="J19" s="50"/>
      <c r="N19" s="52"/>
      <c r="O19" s="124"/>
      <c r="P19" s="74"/>
      <c r="Q19" s="123"/>
      <c r="R19" s="119"/>
      <c r="S19" s="124"/>
      <c r="T19" s="125"/>
    </row>
    <row r="20" spans="1:20" ht="14.1" x14ac:dyDescent="0.5">
      <c r="A20" s="3" t="s">
        <v>2088</v>
      </c>
      <c r="B20"/>
      <c r="C20" s="148">
        <v>0</v>
      </c>
      <c r="D20" s="134">
        <f>Meters!E24</f>
        <v>203.77534246575343</v>
      </c>
      <c r="E20" s="133">
        <f>C20*D20</f>
        <v>0</v>
      </c>
      <c r="F20" s="54">
        <f>E20/$E$43</f>
        <v>0</v>
      </c>
      <c r="G20" s="63"/>
      <c r="H20" s="63"/>
      <c r="I20" s="7" t="s">
        <v>200</v>
      </c>
      <c r="J20" s="71">
        <v>12893</v>
      </c>
      <c r="K20" s="69">
        <f>J20/$J$70</f>
        <v>5.3996214024860122E-2</v>
      </c>
      <c r="L20" s="69"/>
      <c r="M20" s="69"/>
      <c r="N20" s="52"/>
      <c r="O20" s="124"/>
      <c r="P20" s="74"/>
      <c r="Q20" s="123"/>
      <c r="R20" s="119"/>
      <c r="S20" s="124"/>
      <c r="T20" s="125"/>
    </row>
    <row r="21" spans="1:20" ht="14.1" x14ac:dyDescent="0.5">
      <c r="A21"/>
      <c r="B21"/>
      <c r="C21" s="148"/>
      <c r="D21" s="134"/>
      <c r="E21" s="117"/>
      <c r="F21" s="134"/>
      <c r="G21" s="63"/>
      <c r="H21" s="63"/>
      <c r="I21" s="7"/>
      <c r="J21" s="50"/>
      <c r="N21" s="52"/>
      <c r="O21" s="124"/>
      <c r="P21" s="143"/>
      <c r="Q21" s="144"/>
      <c r="R21" s="118"/>
      <c r="S21" s="145"/>
      <c r="T21" s="146"/>
    </row>
    <row r="22" spans="1:20" ht="14.1" x14ac:dyDescent="0.5">
      <c r="A22" s="7" t="s">
        <v>2089</v>
      </c>
      <c r="B22"/>
      <c r="C22" s="148">
        <v>3803.33</v>
      </c>
      <c r="D22" s="134">
        <f>Meters!E26</f>
        <v>766.28493150684926</v>
      </c>
      <c r="E22" s="133">
        <f>C22*D22</f>
        <v>2914434.4685479449</v>
      </c>
      <c r="F22" s="54">
        <f>E22/$E$43</f>
        <v>6.6102379692424872E-3</v>
      </c>
      <c r="G22" s="63"/>
      <c r="H22" s="63"/>
      <c r="I22" s="7" t="s">
        <v>201</v>
      </c>
      <c r="J22" s="50">
        <v>0</v>
      </c>
      <c r="K22" s="69">
        <f>J22/$J$70</f>
        <v>0</v>
      </c>
      <c r="L22" s="69"/>
      <c r="M22" s="69"/>
      <c r="N22" s="52"/>
      <c r="O22" s="124"/>
      <c r="P22" s="74"/>
      <c r="Q22" s="123"/>
      <c r="R22" s="119"/>
      <c r="S22" s="124"/>
      <c r="T22" s="125"/>
    </row>
    <row r="23" spans="1:20" ht="14.1" x14ac:dyDescent="0.5">
      <c r="A23"/>
      <c r="B23"/>
      <c r="C23" s="148"/>
      <c r="D23" s="134"/>
      <c r="E23" s="135"/>
      <c r="F23" s="134"/>
      <c r="G23" s="63"/>
      <c r="H23" s="63"/>
      <c r="I23" s="7"/>
      <c r="J23" s="50"/>
      <c r="N23" s="52"/>
      <c r="O23" s="124"/>
      <c r="P23" s="74"/>
      <c r="Q23" s="123"/>
      <c r="R23" s="119"/>
      <c r="S23" s="124"/>
      <c r="T23" s="125"/>
    </row>
    <row r="24" spans="1:20" ht="14.1" x14ac:dyDescent="0.5">
      <c r="A24" s="7" t="s">
        <v>2167</v>
      </c>
      <c r="B24"/>
      <c r="C24" s="148">
        <v>0</v>
      </c>
      <c r="D24" s="134">
        <f>Meters!E28</f>
        <v>255.53698630136986</v>
      </c>
      <c r="E24" s="133">
        <f>C24*D24</f>
        <v>0</v>
      </c>
      <c r="F24" s="54">
        <f>E24/$E$43</f>
        <v>0</v>
      </c>
      <c r="G24" s="63"/>
      <c r="H24" s="63"/>
      <c r="I24" s="7" t="s">
        <v>205</v>
      </c>
      <c r="J24" s="50">
        <v>0</v>
      </c>
      <c r="K24" s="69">
        <f>J24/$J$70</f>
        <v>0</v>
      </c>
      <c r="L24" s="69"/>
      <c r="M24" s="69"/>
      <c r="N24" s="52"/>
      <c r="O24" s="124"/>
      <c r="P24" s="74"/>
      <c r="Q24" s="123"/>
      <c r="R24" s="119"/>
      <c r="S24" s="124"/>
      <c r="T24" s="125"/>
    </row>
    <row r="25" spans="1:20" ht="14.1" x14ac:dyDescent="0.5">
      <c r="A25"/>
      <c r="B25"/>
      <c r="C25" s="148"/>
      <c r="D25" s="134"/>
      <c r="E25" s="135"/>
      <c r="F25" s="134"/>
      <c r="G25" s="63"/>
      <c r="H25" s="63"/>
      <c r="I25"/>
      <c r="J25" s="72"/>
      <c r="N25" s="52"/>
      <c r="O25" s="124"/>
      <c r="P25" s="74"/>
      <c r="Q25" s="123"/>
      <c r="R25" s="119"/>
      <c r="S25" s="124"/>
      <c r="T25" s="125"/>
    </row>
    <row r="26" spans="1:20" ht="14.1" x14ac:dyDescent="0.5">
      <c r="A26" s="7" t="s">
        <v>1794</v>
      </c>
      <c r="B26"/>
      <c r="C26" s="148">
        <v>0</v>
      </c>
      <c r="D26" s="134">
        <f>Meters!E30</f>
        <v>20</v>
      </c>
      <c r="E26" s="133">
        <f>C26*D26</f>
        <v>0</v>
      </c>
      <c r="F26" s="54">
        <f>E26/$E$43</f>
        <v>0</v>
      </c>
      <c r="G26" s="63"/>
      <c r="H26" s="63"/>
      <c r="I26" s="7" t="s">
        <v>198</v>
      </c>
      <c r="J26" s="50">
        <v>41</v>
      </c>
      <c r="K26" s="69">
        <f>J26/$J$70</f>
        <v>1.7170904948571046E-4</v>
      </c>
      <c r="L26" s="69"/>
      <c r="M26" s="69"/>
      <c r="N26" s="52"/>
      <c r="O26" s="124"/>
      <c r="P26" s="143"/>
      <c r="Q26" s="144"/>
      <c r="R26" s="118"/>
      <c r="S26" s="145"/>
      <c r="T26" s="146"/>
    </row>
    <row r="27" spans="1:20" ht="14.1" x14ac:dyDescent="0.5">
      <c r="A27" s="7"/>
      <c r="B27"/>
      <c r="C27" s="148"/>
      <c r="D27" s="134"/>
      <c r="E27" s="117"/>
      <c r="F27" s="134"/>
      <c r="G27" s="63"/>
      <c r="H27" s="63"/>
      <c r="I27" s="7"/>
      <c r="J27" s="50"/>
      <c r="N27" s="52"/>
      <c r="O27" s="124"/>
      <c r="P27" s="74"/>
      <c r="Q27" s="123"/>
      <c r="R27" s="119"/>
      <c r="S27" s="124"/>
      <c r="T27" s="125"/>
    </row>
    <row r="28" spans="1:20" ht="14.1" x14ac:dyDescent="0.5">
      <c r="A28" s="7" t="s">
        <v>2086</v>
      </c>
      <c r="B28"/>
      <c r="C28" s="148">
        <v>0</v>
      </c>
      <c r="D28" s="134">
        <f>Meters!E32</f>
        <v>1</v>
      </c>
      <c r="E28" s="133">
        <f>C28*D28</f>
        <v>0</v>
      </c>
      <c r="F28" s="54">
        <f>E28/$E$43</f>
        <v>0</v>
      </c>
      <c r="G28" s="63"/>
      <c r="H28" s="63"/>
      <c r="I28" s="7" t="s">
        <v>199</v>
      </c>
      <c r="J28" s="50">
        <v>0</v>
      </c>
      <c r="K28" s="69">
        <f>J28/$J$70</f>
        <v>0</v>
      </c>
      <c r="L28" s="69"/>
      <c r="M28" s="69"/>
      <c r="N28" s="52"/>
      <c r="O28" s="124"/>
      <c r="P28" s="143"/>
      <c r="Q28" s="144"/>
      <c r="R28" s="118"/>
      <c r="S28" s="145"/>
      <c r="T28" s="146"/>
    </row>
    <row r="29" spans="1:20" ht="14.1" x14ac:dyDescent="0.5">
      <c r="A29" s="7"/>
      <c r="B29"/>
      <c r="C29" s="148"/>
      <c r="D29" s="134"/>
      <c r="E29" s="133"/>
      <c r="F29" s="134"/>
      <c r="G29" s="63"/>
      <c r="H29" s="63"/>
      <c r="I29" s="7"/>
      <c r="J29" s="50"/>
      <c r="N29" s="52"/>
      <c r="O29" s="124"/>
      <c r="P29" s="74"/>
      <c r="Q29" s="123"/>
      <c r="R29" s="119"/>
      <c r="S29" s="124"/>
      <c r="T29" s="125"/>
    </row>
    <row r="30" spans="1:20" ht="14.1" x14ac:dyDescent="0.5">
      <c r="A30" s="7" t="s">
        <v>2102</v>
      </c>
      <c r="B30"/>
      <c r="C30" s="148">
        <v>0</v>
      </c>
      <c r="D30" s="134">
        <f>Meters!E34</f>
        <v>173293</v>
      </c>
      <c r="E30" s="133">
        <f>C30*D30</f>
        <v>0</v>
      </c>
      <c r="F30" s="54">
        <f>E30/$E$43</f>
        <v>0</v>
      </c>
      <c r="G30" s="63"/>
      <c r="H30" s="63"/>
      <c r="I30" s="3" t="s">
        <v>208</v>
      </c>
      <c r="J30" s="50">
        <v>0</v>
      </c>
      <c r="K30" s="69">
        <f>J30/$J$70</f>
        <v>0</v>
      </c>
      <c r="L30" s="69"/>
      <c r="M30" s="69"/>
      <c r="N30" s="52"/>
      <c r="O30" s="124"/>
      <c r="P30" s="74"/>
      <c r="Q30" s="123"/>
      <c r="R30" s="119"/>
      <c r="S30" s="124"/>
      <c r="T30" s="125"/>
    </row>
    <row r="31" spans="1:20" ht="14.1" x14ac:dyDescent="0.5">
      <c r="A31" s="7"/>
      <c r="B31"/>
      <c r="C31" s="148"/>
      <c r="D31" s="134"/>
      <c r="E31" s="133"/>
      <c r="F31" s="54"/>
      <c r="G31" s="63"/>
      <c r="H31" s="63"/>
      <c r="I31" s="3"/>
      <c r="J31" s="50"/>
      <c r="K31" s="69"/>
      <c r="L31" s="69"/>
      <c r="M31" s="69"/>
      <c r="N31" s="52"/>
      <c r="O31" s="124"/>
      <c r="P31" s="74"/>
      <c r="Q31" s="123"/>
      <c r="R31" s="119"/>
      <c r="S31" s="124"/>
      <c r="T31" s="125"/>
    </row>
    <row r="32" spans="1:20" ht="14.1" x14ac:dyDescent="0.5">
      <c r="A32" s="7" t="s">
        <v>2103</v>
      </c>
      <c r="B32"/>
      <c r="C32" s="148">
        <v>0</v>
      </c>
      <c r="D32" s="134">
        <f>Meters!E36</f>
        <v>108</v>
      </c>
      <c r="E32" s="133">
        <f>C32*D32</f>
        <v>0</v>
      </c>
      <c r="F32" s="54">
        <f>E32/$E$43</f>
        <v>0</v>
      </c>
      <c r="G32" s="63"/>
      <c r="H32" s="63"/>
      <c r="I32" s="3"/>
      <c r="J32" s="50"/>
      <c r="K32" s="69"/>
      <c r="L32" s="69"/>
      <c r="M32" s="69"/>
      <c r="N32" s="52"/>
      <c r="O32" s="124"/>
      <c r="P32" s="74"/>
      <c r="Q32" s="123"/>
      <c r="R32" s="119"/>
      <c r="S32" s="124"/>
      <c r="T32" s="125"/>
    </row>
    <row r="33" spans="1:20" ht="14.1" x14ac:dyDescent="0.5">
      <c r="A33" s="7"/>
      <c r="B33"/>
      <c r="C33" s="148"/>
      <c r="D33" s="134"/>
      <c r="E33" s="133"/>
      <c r="F33" s="54"/>
      <c r="G33" s="63"/>
      <c r="H33" s="63"/>
      <c r="I33" s="3"/>
      <c r="J33" s="50"/>
      <c r="K33" s="69"/>
      <c r="L33" s="69"/>
      <c r="M33" s="69"/>
      <c r="N33" s="52"/>
      <c r="O33" s="124"/>
      <c r="P33" s="74"/>
      <c r="Q33" s="123"/>
      <c r="R33" s="119"/>
      <c r="S33" s="124"/>
      <c r="T33" s="125"/>
    </row>
    <row r="34" spans="1:20" ht="14.1" x14ac:dyDescent="0.5">
      <c r="A34" s="7" t="s">
        <v>2104</v>
      </c>
      <c r="B34"/>
      <c r="C34" s="148">
        <v>0</v>
      </c>
      <c r="D34" s="134">
        <f>Meters!E38</f>
        <v>1331</v>
      </c>
      <c r="E34" s="133">
        <f>C34*D34</f>
        <v>0</v>
      </c>
      <c r="F34" s="54">
        <f>E34/$E$43</f>
        <v>0</v>
      </c>
      <c r="G34" s="63"/>
      <c r="H34" s="63"/>
      <c r="I34" s="3"/>
      <c r="J34" s="50"/>
      <c r="K34" s="69"/>
      <c r="L34" s="69"/>
      <c r="M34" s="69"/>
      <c r="N34" s="52"/>
      <c r="O34" s="124"/>
      <c r="P34" s="74"/>
      <c r="Q34" s="123"/>
      <c r="R34" s="119"/>
      <c r="S34" s="124"/>
      <c r="T34" s="125"/>
    </row>
    <row r="35" spans="1:20" ht="14.1" x14ac:dyDescent="0.5">
      <c r="A35" s="7"/>
      <c r="B35"/>
      <c r="C35" s="148"/>
      <c r="D35" s="134"/>
      <c r="E35" s="133"/>
      <c r="F35" s="54"/>
      <c r="G35" s="63"/>
      <c r="H35" s="63"/>
      <c r="I35" s="3"/>
      <c r="J35" s="50"/>
      <c r="K35" s="69"/>
      <c r="L35" s="69"/>
      <c r="M35" s="69"/>
      <c r="N35" s="52"/>
      <c r="O35" s="124"/>
      <c r="P35" s="74"/>
      <c r="Q35" s="123"/>
      <c r="R35" s="119"/>
      <c r="S35" s="124"/>
      <c r="T35" s="125"/>
    </row>
    <row r="36" spans="1:20" ht="14.1" x14ac:dyDescent="0.5">
      <c r="A36" s="7" t="str">
        <f>Meters!A40</f>
        <v>Outdoor Sports Lighting Rate OSL</v>
      </c>
      <c r="B36"/>
      <c r="C36" s="148">
        <f>C18</f>
        <v>2293.9899999999998</v>
      </c>
      <c r="D36" s="134">
        <f>Meters!E40</f>
        <v>4</v>
      </c>
      <c r="E36" s="133">
        <f>C36*D36</f>
        <v>9175.9599999999991</v>
      </c>
      <c r="F36" s="54">
        <f>E36/$E$43</f>
        <v>2.0812023687899386E-5</v>
      </c>
      <c r="G36" s="63"/>
      <c r="H36" s="63"/>
      <c r="I36" s="3"/>
      <c r="J36" s="50"/>
      <c r="K36" s="69"/>
      <c r="L36" s="69"/>
      <c r="M36" s="69"/>
      <c r="N36" s="52"/>
      <c r="O36" s="124"/>
      <c r="P36" s="74"/>
      <c r="Q36" s="123"/>
      <c r="R36" s="119"/>
      <c r="S36" s="124"/>
      <c r="T36" s="125"/>
    </row>
    <row r="37" spans="1:20" ht="14.1" x14ac:dyDescent="0.5">
      <c r="A37" s="7"/>
      <c r="B37"/>
      <c r="C37" s="148"/>
      <c r="D37" s="134"/>
      <c r="E37" s="133"/>
      <c r="F37" s="54"/>
      <c r="G37" s="63"/>
      <c r="H37" s="63"/>
      <c r="I37" s="3"/>
      <c r="J37" s="50"/>
      <c r="K37" s="69"/>
      <c r="L37" s="69"/>
      <c r="M37" s="69"/>
      <c r="N37" s="52"/>
      <c r="O37" s="124"/>
      <c r="P37" s="74"/>
      <c r="Q37" s="123"/>
      <c r="R37" s="119"/>
      <c r="S37" s="124"/>
      <c r="T37" s="125"/>
    </row>
    <row r="38" spans="1:20" ht="14.1" x14ac:dyDescent="0.5">
      <c r="A38" s="7" t="str">
        <f>Meters!A42</f>
        <v>Electric Vehicle Charging Rate EV</v>
      </c>
      <c r="B38"/>
      <c r="C38" s="148">
        <v>0</v>
      </c>
      <c r="D38" s="134">
        <f>Meters!E42</f>
        <v>10</v>
      </c>
      <c r="E38" s="133">
        <f>C38*D38</f>
        <v>0</v>
      </c>
      <c r="F38" s="54">
        <f>E38/$E$43</f>
        <v>0</v>
      </c>
      <c r="G38" s="63"/>
      <c r="H38" s="63"/>
      <c r="I38" s="3"/>
      <c r="J38" s="50"/>
      <c r="K38" s="69"/>
      <c r="L38" s="69"/>
      <c r="M38" s="69"/>
      <c r="N38" s="52"/>
      <c r="O38" s="124"/>
      <c r="P38" s="74"/>
      <c r="Q38" s="123"/>
      <c r="R38" s="119"/>
      <c r="S38" s="124"/>
      <c r="T38" s="125"/>
    </row>
    <row r="39" spans="1:20" ht="14.1" x14ac:dyDescent="0.5">
      <c r="A39" s="7"/>
      <c r="B39"/>
      <c r="C39" s="148"/>
      <c r="D39" s="134"/>
      <c r="E39" s="133"/>
      <c r="F39" s="54"/>
      <c r="G39" s="63"/>
      <c r="H39" s="63"/>
      <c r="I39" s="3"/>
      <c r="J39" s="50"/>
      <c r="K39" s="69"/>
      <c r="L39" s="69"/>
      <c r="M39" s="69"/>
      <c r="N39" s="52"/>
      <c r="O39" s="124"/>
      <c r="P39" s="74"/>
      <c r="Q39" s="123"/>
      <c r="R39" s="119"/>
      <c r="S39" s="124"/>
      <c r="T39" s="125"/>
    </row>
    <row r="40" spans="1:20" ht="14.1" x14ac:dyDescent="0.5">
      <c r="A40" s="7" t="str">
        <f>Meters!A44</f>
        <v>Solar Share Rate SSP</v>
      </c>
      <c r="B40"/>
      <c r="C40" s="148">
        <v>0</v>
      </c>
      <c r="D40" s="134">
        <f>Meters!E44</f>
        <v>0</v>
      </c>
      <c r="E40" s="133">
        <f>C40*D40</f>
        <v>0</v>
      </c>
      <c r="F40" s="54">
        <f>E40/$E$43</f>
        <v>0</v>
      </c>
      <c r="G40" s="63"/>
      <c r="H40" s="63"/>
      <c r="I40" s="3"/>
      <c r="J40" s="50"/>
      <c r="K40" s="69"/>
      <c r="L40" s="69"/>
      <c r="M40" s="69"/>
      <c r="N40" s="52"/>
      <c r="O40" s="124"/>
      <c r="P40" s="74"/>
      <c r="Q40" s="123"/>
      <c r="R40" s="119"/>
      <c r="S40" s="124"/>
      <c r="T40" s="125"/>
    </row>
    <row r="41" spans="1:20" ht="14.1" x14ac:dyDescent="0.5">
      <c r="A41" s="7"/>
      <c r="B41"/>
      <c r="C41" s="148"/>
      <c r="D41" s="134"/>
      <c r="E41" s="133"/>
      <c r="F41" s="54"/>
      <c r="G41" s="63"/>
      <c r="H41" s="63"/>
      <c r="I41" s="3"/>
      <c r="J41" s="50"/>
      <c r="K41" s="69"/>
      <c r="L41" s="69"/>
      <c r="M41" s="69"/>
      <c r="N41" s="52"/>
      <c r="O41" s="124"/>
      <c r="P41" s="74"/>
      <c r="Q41" s="123"/>
      <c r="R41" s="119"/>
      <c r="S41" s="124"/>
      <c r="T41" s="125"/>
    </row>
    <row r="42" spans="1:20" ht="14.1" x14ac:dyDescent="0.5">
      <c r="A42" s="20" t="str">
        <f>Meters!A46</f>
        <v>Business Solar Rate BS</v>
      </c>
      <c r="B42" s="137"/>
      <c r="C42" s="149">
        <v>0</v>
      </c>
      <c r="D42" s="139">
        <f>Meters!E46</f>
        <v>0</v>
      </c>
      <c r="E42" s="138">
        <f>C42*D42</f>
        <v>0</v>
      </c>
      <c r="F42" s="175">
        <f>E42/$E$43</f>
        <v>0</v>
      </c>
      <c r="G42" s="63"/>
      <c r="H42" s="63"/>
      <c r="I42" s="3"/>
      <c r="J42" s="50"/>
      <c r="K42" s="69"/>
      <c r="L42" s="69"/>
      <c r="M42" s="69"/>
      <c r="N42" s="52"/>
      <c r="O42" s="124"/>
      <c r="P42" s="74"/>
      <c r="Q42" s="123"/>
      <c r="R42" s="119"/>
      <c r="S42" s="124"/>
      <c r="T42" s="125"/>
    </row>
    <row r="43" spans="1:20" ht="14.1" x14ac:dyDescent="0.5">
      <c r="A43" s="3" t="s">
        <v>62</v>
      </c>
      <c r="B43"/>
      <c r="C43" s="133"/>
      <c r="D43" s="140">
        <f>SUM(D4:D42)</f>
        <v>686305.59452054789</v>
      </c>
      <c r="E43" s="91">
        <f>SUM(E4:E42)</f>
        <v>440897057.27824652</v>
      </c>
      <c r="F43" s="54">
        <f>SUM(F10:F42)</f>
        <v>1</v>
      </c>
      <c r="I43" s="3" t="s">
        <v>209</v>
      </c>
      <c r="J43" s="50">
        <v>0</v>
      </c>
      <c r="K43" s="69">
        <f>J43/$J$70</f>
        <v>0</v>
      </c>
      <c r="L43" s="69"/>
      <c r="M43" s="69"/>
      <c r="N43" s="52"/>
      <c r="O43" s="124"/>
      <c r="P43" s="74"/>
      <c r="Q43" s="123"/>
      <c r="R43" s="119"/>
      <c r="S43" s="124"/>
      <c r="T43" s="125"/>
    </row>
    <row r="44" spans="1:20" ht="13.8" x14ac:dyDescent="0.45">
      <c r="A44" s="48"/>
      <c r="D44" s="56"/>
      <c r="I44" s="7"/>
      <c r="J44" s="50"/>
      <c r="N44" s="52"/>
      <c r="O44" s="124"/>
      <c r="P44" s="74"/>
      <c r="Q44" s="123"/>
      <c r="R44" s="119"/>
      <c r="S44" s="124"/>
      <c r="T44" s="125"/>
    </row>
    <row r="45" spans="1:20" ht="13.8" x14ac:dyDescent="0.45">
      <c r="A45" s="118"/>
      <c r="B45" s="119"/>
      <c r="C45" s="74"/>
      <c r="D45" s="123"/>
      <c r="E45" s="74"/>
      <c r="F45" s="74"/>
      <c r="I45" s="3" t="s">
        <v>206</v>
      </c>
      <c r="J45" s="50">
        <v>0</v>
      </c>
      <c r="K45" s="69">
        <f>J45/$J$70</f>
        <v>0</v>
      </c>
      <c r="L45" s="69"/>
      <c r="M45" s="69"/>
      <c r="N45" s="52"/>
      <c r="O45" s="124"/>
      <c r="P45" s="74"/>
      <c r="Q45" s="123"/>
      <c r="R45" s="119"/>
      <c r="S45" s="124"/>
      <c r="T45" s="123"/>
    </row>
    <row r="46" spans="1:20" ht="13.8" x14ac:dyDescent="0.45">
      <c r="A46" s="122"/>
      <c r="B46" s="119"/>
      <c r="C46" s="74"/>
      <c r="D46" s="123"/>
      <c r="E46" s="74"/>
      <c r="F46" s="74"/>
      <c r="I46" s="7"/>
      <c r="J46" s="50"/>
      <c r="N46" s="57"/>
      <c r="O46" s="127"/>
      <c r="P46" s="119"/>
      <c r="Q46" s="119"/>
      <c r="R46" s="119"/>
      <c r="S46" s="127"/>
      <c r="T46" s="119"/>
    </row>
    <row r="47" spans="1:20" ht="13.8" x14ac:dyDescent="0.45">
      <c r="A47" s="118"/>
      <c r="B47" s="119"/>
      <c r="C47" s="53" t="s">
        <v>2094</v>
      </c>
      <c r="D47" s="53"/>
      <c r="E47" s="60">
        <f>'WSS-26'!F40</f>
        <v>124944572</v>
      </c>
      <c r="F47" s="74"/>
      <c r="I47" s="3" t="s">
        <v>207</v>
      </c>
      <c r="J47" s="50">
        <v>0</v>
      </c>
      <c r="K47" s="69">
        <f>J47/$J$70</f>
        <v>0</v>
      </c>
      <c r="L47" s="69"/>
      <c r="M47" s="69"/>
      <c r="N47" s="57"/>
      <c r="O47" s="120"/>
      <c r="P47" s="119"/>
      <c r="Q47" s="119"/>
      <c r="R47" s="119"/>
      <c r="S47" s="120"/>
      <c r="T47" s="119"/>
    </row>
    <row r="48" spans="1:20" ht="13.8" x14ac:dyDescent="0.45">
      <c r="A48" s="122"/>
      <c r="B48" s="119"/>
      <c r="C48" s="119"/>
      <c r="D48" s="123"/>
      <c r="E48" s="119"/>
      <c r="F48" s="119"/>
      <c r="I48" s="7"/>
      <c r="J48" s="50"/>
      <c r="N48" s="57"/>
      <c r="O48" s="74"/>
      <c r="P48" s="119"/>
      <c r="Q48" s="119"/>
      <c r="R48" s="119"/>
      <c r="S48" s="74"/>
      <c r="T48" s="119"/>
    </row>
    <row r="49" spans="1:20" ht="13.8" x14ac:dyDescent="0.45">
      <c r="A49" s="118"/>
      <c r="B49" s="119"/>
      <c r="C49" s="74"/>
      <c r="D49" s="123"/>
      <c r="E49" s="74"/>
      <c r="F49" s="74"/>
      <c r="I49" s="7" t="s">
        <v>650</v>
      </c>
      <c r="J49" s="50">
        <v>0</v>
      </c>
      <c r="K49" s="69">
        <f>J49/$J$70</f>
        <v>0</v>
      </c>
      <c r="L49" s="69"/>
      <c r="M49" s="69"/>
      <c r="N49" s="119"/>
      <c r="O49" s="119"/>
      <c r="P49" s="119"/>
      <c r="Q49" s="119"/>
      <c r="R49" s="119"/>
      <c r="S49" s="119"/>
      <c r="T49" s="119"/>
    </row>
    <row r="50" spans="1:20" ht="13.8" x14ac:dyDescent="0.45">
      <c r="A50" s="122"/>
      <c r="B50" s="119"/>
      <c r="C50" s="119"/>
      <c r="D50" s="123"/>
      <c r="E50" s="119"/>
      <c r="F50" s="119"/>
      <c r="I50" s="7"/>
      <c r="J50" s="50"/>
    </row>
    <row r="51" spans="1:20" ht="13.8" x14ac:dyDescent="0.45">
      <c r="A51" s="118"/>
      <c r="B51" s="119"/>
      <c r="C51" s="74"/>
      <c r="D51" s="123"/>
      <c r="E51" s="74"/>
      <c r="F51" s="74"/>
      <c r="I51" s="7" t="s">
        <v>371</v>
      </c>
      <c r="J51" s="50">
        <v>0</v>
      </c>
      <c r="K51" s="69">
        <f>J51/$J$70</f>
        <v>0</v>
      </c>
      <c r="L51" s="69"/>
      <c r="M51" s="69"/>
      <c r="N51" s="53"/>
      <c r="O51" s="53"/>
      <c r="S51" s="53"/>
    </row>
    <row r="52" spans="1:20" ht="13.8" x14ac:dyDescent="0.45">
      <c r="A52" s="122"/>
      <c r="B52" s="119"/>
      <c r="C52" s="119"/>
      <c r="D52" s="123"/>
      <c r="E52" s="119"/>
      <c r="F52" s="119"/>
      <c r="I52" s="7"/>
      <c r="J52" s="50"/>
    </row>
    <row r="53" spans="1:20" ht="13.8" x14ac:dyDescent="0.45">
      <c r="A53" s="122"/>
      <c r="B53" s="119"/>
      <c r="C53" s="74"/>
      <c r="D53" s="123"/>
      <c r="E53" s="74"/>
      <c r="F53" s="74"/>
      <c r="I53" s="7" t="s">
        <v>651</v>
      </c>
      <c r="J53" s="50">
        <v>0</v>
      </c>
      <c r="K53" s="69">
        <f>J53/$J$70</f>
        <v>0</v>
      </c>
      <c r="L53" s="69"/>
      <c r="M53" s="69"/>
    </row>
    <row r="54" spans="1:20" x14ac:dyDescent="0.45">
      <c r="A54" s="122"/>
      <c r="B54" s="119"/>
      <c r="C54" s="119"/>
      <c r="D54" s="123"/>
      <c r="E54" s="119"/>
      <c r="F54" s="119"/>
      <c r="H54" s="53"/>
      <c r="I54" s="53"/>
      <c r="J54" s="53"/>
      <c r="K54" s="53"/>
      <c r="L54" s="53"/>
      <c r="M54" s="53"/>
      <c r="N54" s="53"/>
      <c r="O54" s="53"/>
      <c r="P54" s="53"/>
      <c r="Q54" s="53"/>
      <c r="R54" s="53"/>
      <c r="S54" s="53"/>
    </row>
    <row r="55" spans="1:20" x14ac:dyDescent="0.45">
      <c r="A55" s="118"/>
      <c r="B55" s="119"/>
      <c r="C55" s="74"/>
      <c r="D55" s="123"/>
      <c r="E55" s="74"/>
      <c r="F55" s="74"/>
      <c r="H55" s="53"/>
      <c r="I55" s="53"/>
      <c r="J55" s="53"/>
      <c r="K55" s="53"/>
      <c r="L55" s="53"/>
      <c r="M55" s="53"/>
      <c r="N55" s="53"/>
      <c r="O55" s="53"/>
      <c r="P55" s="53"/>
      <c r="Q55" s="53"/>
      <c r="R55" s="53"/>
      <c r="S55" s="53"/>
    </row>
    <row r="56" spans="1:20" ht="13.8" x14ac:dyDescent="0.45">
      <c r="A56" s="122"/>
      <c r="B56" s="119"/>
      <c r="C56" s="119"/>
      <c r="D56" s="123"/>
      <c r="E56" s="119"/>
      <c r="F56" s="119"/>
      <c r="I56" s="7"/>
      <c r="J56" s="50"/>
    </row>
    <row r="57" spans="1:20" ht="13.8" x14ac:dyDescent="0.45">
      <c r="A57" s="122"/>
      <c r="B57" s="119"/>
      <c r="C57" s="74"/>
      <c r="D57" s="123"/>
      <c r="E57" s="74"/>
      <c r="F57" s="74"/>
      <c r="I57" s="7" t="s">
        <v>818</v>
      </c>
      <c r="J57" s="50">
        <v>0</v>
      </c>
      <c r="K57" s="69">
        <f>J57/$J$70</f>
        <v>0</v>
      </c>
      <c r="L57" s="69"/>
      <c r="M57" s="69"/>
    </row>
    <row r="58" spans="1:20" ht="14.1" x14ac:dyDescent="0.5">
      <c r="A58" s="122"/>
      <c r="B58" s="119"/>
      <c r="C58" s="119"/>
      <c r="D58" s="123"/>
      <c r="E58" s="119"/>
      <c r="F58" s="119"/>
      <c r="I58"/>
      <c r="J58" s="50"/>
    </row>
    <row r="59" spans="1:20" ht="13.8" x14ac:dyDescent="0.45">
      <c r="A59" s="122"/>
      <c r="B59" s="119"/>
      <c r="C59" s="74"/>
      <c r="D59" s="123"/>
      <c r="E59" s="74"/>
      <c r="F59" s="74"/>
      <c r="I59" s="3" t="s">
        <v>819</v>
      </c>
      <c r="J59" s="50">
        <v>96</v>
      </c>
      <c r="K59" s="69">
        <f>J59/$J$70</f>
        <v>4.0205045733239519E-4</v>
      </c>
      <c r="L59" s="69"/>
      <c r="M59" s="69"/>
    </row>
    <row r="60" spans="1:20" ht="14.1" x14ac:dyDescent="0.5">
      <c r="A60" s="122"/>
      <c r="B60" s="119"/>
      <c r="C60" s="119"/>
      <c r="D60" s="123"/>
      <c r="E60" s="119"/>
      <c r="F60" s="119"/>
      <c r="I60"/>
      <c r="J60" s="50"/>
    </row>
    <row r="61" spans="1:20" ht="13.8" x14ac:dyDescent="0.45">
      <c r="A61" s="122"/>
      <c r="B61" s="119"/>
      <c r="C61" s="74"/>
      <c r="D61" s="123"/>
      <c r="E61" s="74"/>
      <c r="F61" s="74"/>
      <c r="I61" s="3" t="s">
        <v>266</v>
      </c>
      <c r="J61" s="50">
        <v>0</v>
      </c>
      <c r="K61" s="69">
        <f>J61/$J$70</f>
        <v>0</v>
      </c>
      <c r="L61" s="69"/>
      <c r="M61" s="69"/>
    </row>
    <row r="62" spans="1:20" ht="13.8" x14ac:dyDescent="0.45">
      <c r="A62" s="122"/>
      <c r="B62" s="119"/>
      <c r="C62" s="119"/>
      <c r="D62" s="123"/>
      <c r="E62" s="119"/>
      <c r="F62" s="119"/>
      <c r="I62" s="7"/>
      <c r="J62" s="50"/>
    </row>
    <row r="63" spans="1:20" ht="13.8" x14ac:dyDescent="0.45">
      <c r="A63" s="122"/>
      <c r="B63" s="119"/>
      <c r="C63" s="74"/>
      <c r="D63" s="123"/>
      <c r="E63" s="74"/>
      <c r="F63" s="74"/>
      <c r="I63" s="7" t="s">
        <v>385</v>
      </c>
      <c r="J63" s="50">
        <v>0</v>
      </c>
      <c r="K63" s="69">
        <f>J63/$J$70</f>
        <v>0</v>
      </c>
      <c r="L63" s="69"/>
      <c r="M63" s="69"/>
    </row>
    <row r="64" spans="1:20" ht="13.8" x14ac:dyDescent="0.45">
      <c r="A64" s="119"/>
      <c r="B64" s="119"/>
      <c r="C64" s="74"/>
      <c r="D64" s="141"/>
      <c r="E64" s="74"/>
      <c r="F64" s="74"/>
      <c r="G64" s="63"/>
      <c r="H64" s="63"/>
      <c r="I64" s="7"/>
      <c r="J64" s="50"/>
    </row>
    <row r="65" spans="1:14" ht="13.8" x14ac:dyDescent="0.45">
      <c r="A65" s="119"/>
      <c r="B65" s="119"/>
      <c r="C65" s="119"/>
      <c r="D65" s="119"/>
      <c r="E65" s="119"/>
      <c r="F65" s="119"/>
      <c r="I65" s="7" t="s">
        <v>372</v>
      </c>
      <c r="J65" s="50">
        <v>0</v>
      </c>
      <c r="K65" s="69">
        <f>J65/$J$70</f>
        <v>0</v>
      </c>
      <c r="L65" s="69"/>
      <c r="M65" s="69"/>
    </row>
    <row r="66" spans="1:14" ht="13.8" x14ac:dyDescent="0.45">
      <c r="C66" s="49"/>
      <c r="E66" s="49"/>
      <c r="F66" s="60"/>
      <c r="I66" s="7"/>
      <c r="J66" s="50"/>
    </row>
    <row r="67" spans="1:14" ht="13.8" x14ac:dyDescent="0.45">
      <c r="I67" s="7" t="s">
        <v>821</v>
      </c>
      <c r="J67" s="50">
        <v>0</v>
      </c>
      <c r="K67" s="69">
        <f>J67/$J$70</f>
        <v>0</v>
      </c>
      <c r="L67" s="69"/>
      <c r="M67" s="69"/>
    </row>
    <row r="68" spans="1:14" ht="13.8" x14ac:dyDescent="0.45">
      <c r="I68" s="7"/>
      <c r="J68" s="72"/>
    </row>
    <row r="69" spans="1:14" ht="13.8" x14ac:dyDescent="0.45">
      <c r="I69" s="20" t="s">
        <v>820</v>
      </c>
      <c r="J69" s="51">
        <v>0</v>
      </c>
      <c r="K69" s="69">
        <f>J69/$J$70</f>
        <v>0</v>
      </c>
      <c r="L69" s="69"/>
      <c r="M69" s="69"/>
    </row>
    <row r="70" spans="1:14" x14ac:dyDescent="0.45">
      <c r="J70" s="50">
        <f>SUM(J10:J69)</f>
        <v>238776</v>
      </c>
      <c r="K70" s="69">
        <f>SUM(K10:K69)</f>
        <v>1</v>
      </c>
      <c r="L70" s="69"/>
      <c r="M70" s="69"/>
    </row>
    <row r="72" spans="1:14" x14ac:dyDescent="0.45">
      <c r="N72" s="59"/>
    </row>
    <row r="73" spans="1:14" x14ac:dyDescent="0.45">
      <c r="N73" s="53"/>
    </row>
    <row r="74" spans="1:14" x14ac:dyDescent="0.45">
      <c r="N74" s="53"/>
    </row>
    <row r="75" spans="1:14" x14ac:dyDescent="0.45">
      <c r="N75" s="53"/>
    </row>
    <row r="76" spans="1:14" x14ac:dyDescent="0.45">
      <c r="N76" s="53"/>
    </row>
    <row r="77" spans="1:14" x14ac:dyDescent="0.45">
      <c r="N77" s="54"/>
    </row>
    <row r="78" spans="1:14" x14ac:dyDescent="0.45">
      <c r="N78" s="55"/>
    </row>
    <row r="79" spans="1:14" x14ac:dyDescent="0.45">
      <c r="N79" s="55"/>
    </row>
    <row r="80" spans="1:14" x14ac:dyDescent="0.45">
      <c r="N80" s="55"/>
    </row>
    <row r="81" spans="14:14" x14ac:dyDescent="0.45">
      <c r="N81" s="55"/>
    </row>
    <row r="82" spans="14:14" x14ac:dyDescent="0.45">
      <c r="N82" s="55"/>
    </row>
    <row r="83" spans="14:14" x14ac:dyDescent="0.45">
      <c r="N83" s="55"/>
    </row>
    <row r="84" spans="14:14" x14ac:dyDescent="0.45">
      <c r="N84" s="55"/>
    </row>
    <row r="85" spans="14:14" x14ac:dyDescent="0.45">
      <c r="N85" s="55"/>
    </row>
    <row r="86" spans="14:14" x14ac:dyDescent="0.45">
      <c r="N86" s="55"/>
    </row>
    <row r="87" spans="14:14" x14ac:dyDescent="0.45">
      <c r="N87" s="55"/>
    </row>
    <row r="88" spans="14:14" x14ac:dyDescent="0.45">
      <c r="N88" s="55"/>
    </row>
    <row r="89" spans="14:14" x14ac:dyDescent="0.45">
      <c r="N89" s="55"/>
    </row>
    <row r="90" spans="14:14" x14ac:dyDescent="0.45">
      <c r="N90" s="55"/>
    </row>
    <row r="91" spans="14:14" x14ac:dyDescent="0.45">
      <c r="N91" s="55"/>
    </row>
    <row r="92" spans="14:14" x14ac:dyDescent="0.45">
      <c r="N92" s="55"/>
    </row>
    <row r="93" spans="14:14" x14ac:dyDescent="0.45">
      <c r="N93" s="55"/>
    </row>
    <row r="94" spans="14:14" x14ac:dyDescent="0.45">
      <c r="N94" s="55"/>
    </row>
    <row r="95" spans="14:14" x14ac:dyDescent="0.45">
      <c r="N95" s="55"/>
    </row>
    <row r="96" spans="14:14" x14ac:dyDescent="0.45">
      <c r="N96" s="55"/>
    </row>
    <row r="97" spans="14:14" x14ac:dyDescent="0.45">
      <c r="N97" s="55"/>
    </row>
    <row r="98" spans="14:14" x14ac:dyDescent="0.45">
      <c r="N98" s="55"/>
    </row>
    <row r="99" spans="14:14" x14ac:dyDescent="0.45">
      <c r="N99" s="55"/>
    </row>
    <row r="100" spans="14:14" x14ac:dyDescent="0.45">
      <c r="N100" s="55"/>
    </row>
    <row r="101" spans="14:14" x14ac:dyDescent="0.45">
      <c r="N101" s="55"/>
    </row>
    <row r="102" spans="14:14" x14ac:dyDescent="0.45">
      <c r="N102" s="55"/>
    </row>
    <row r="103" spans="14:14" x14ac:dyDescent="0.45">
      <c r="N103" s="55"/>
    </row>
    <row r="104" spans="14:14" x14ac:dyDescent="0.45">
      <c r="N104" s="55"/>
    </row>
    <row r="105" spans="14:14" x14ac:dyDescent="0.45">
      <c r="N105" s="58"/>
    </row>
    <row r="106" spans="14:14" x14ac:dyDescent="0.45">
      <c r="N106" s="59"/>
    </row>
    <row r="107" spans="14:14" x14ac:dyDescent="0.45">
      <c r="N107" s="60"/>
    </row>
    <row r="108" spans="14:14" x14ac:dyDescent="0.45">
      <c r="N108" s="53"/>
    </row>
    <row r="109" spans="14:14" x14ac:dyDescent="0.45">
      <c r="N109" s="53"/>
    </row>
    <row r="110" spans="14:14" x14ac:dyDescent="0.45">
      <c r="N110" s="53"/>
    </row>
    <row r="111" spans="14:14" x14ac:dyDescent="0.45">
      <c r="N111" s="53"/>
    </row>
    <row r="112" spans="14:14" x14ac:dyDescent="0.45">
      <c r="N112" s="53"/>
    </row>
    <row r="113" spans="14:14" x14ac:dyDescent="0.45">
      <c r="N113" s="53"/>
    </row>
    <row r="114" spans="14:14" x14ac:dyDescent="0.45">
      <c r="N114" s="53"/>
    </row>
    <row r="115" spans="14:14" x14ac:dyDescent="0.45">
      <c r="N115" s="53"/>
    </row>
    <row r="116" spans="14:14" x14ac:dyDescent="0.45">
      <c r="N116" s="53"/>
    </row>
    <row r="117" spans="14:14" x14ac:dyDescent="0.45">
      <c r="N117" s="53"/>
    </row>
    <row r="118" spans="14:14" x14ac:dyDescent="0.45">
      <c r="N118" s="53"/>
    </row>
    <row r="119" spans="14:14" x14ac:dyDescent="0.45">
      <c r="N119" s="53"/>
    </row>
    <row r="120" spans="14:14" x14ac:dyDescent="0.45">
      <c r="N120" s="53"/>
    </row>
    <row r="121" spans="14:14" x14ac:dyDescent="0.45">
      <c r="N121" s="53"/>
    </row>
    <row r="122" spans="14:14" x14ac:dyDescent="0.45">
      <c r="N122" s="53"/>
    </row>
    <row r="123" spans="14:14" x14ac:dyDescent="0.45">
      <c r="N123" s="53"/>
    </row>
    <row r="124" spans="14:14" x14ac:dyDescent="0.45">
      <c r="N124" s="53"/>
    </row>
    <row r="125" spans="14:14" x14ac:dyDescent="0.45">
      <c r="N125" s="53"/>
    </row>
    <row r="126" spans="14:14" x14ac:dyDescent="0.45">
      <c r="N126" s="53"/>
    </row>
    <row r="127" spans="14:14" x14ac:dyDescent="0.45">
      <c r="N127" s="53"/>
    </row>
    <row r="128" spans="14:14" x14ac:dyDescent="0.45">
      <c r="N128" s="53"/>
    </row>
    <row r="129" spans="14:14" x14ac:dyDescent="0.45">
      <c r="N129" s="53"/>
    </row>
    <row r="130" spans="14:14" x14ac:dyDescent="0.45">
      <c r="N130" s="53"/>
    </row>
    <row r="131" spans="14:14" x14ac:dyDescent="0.45">
      <c r="N131" s="53"/>
    </row>
    <row r="132" spans="14:14" x14ac:dyDescent="0.45">
      <c r="N132" s="53"/>
    </row>
    <row r="133" spans="14:14" x14ac:dyDescent="0.45">
      <c r="N133" s="53"/>
    </row>
    <row r="134" spans="14:14" x14ac:dyDescent="0.45">
      <c r="N134" s="53"/>
    </row>
    <row r="135" spans="14:14" x14ac:dyDescent="0.45">
      <c r="N135" s="53"/>
    </row>
    <row r="136" spans="14:14" x14ac:dyDescent="0.45">
      <c r="N136" s="53"/>
    </row>
    <row r="137" spans="14:14" x14ac:dyDescent="0.45">
      <c r="N137" s="53"/>
    </row>
    <row r="138" spans="14:14" x14ac:dyDescent="0.45">
      <c r="N138" s="53"/>
    </row>
    <row r="139" spans="14:14" x14ac:dyDescent="0.45">
      <c r="N139" s="53"/>
    </row>
    <row r="140" spans="14:14" x14ac:dyDescent="0.45">
      <c r="N140" s="53"/>
    </row>
    <row r="141" spans="14:14" x14ac:dyDescent="0.45">
      <c r="N141" s="53"/>
    </row>
    <row r="142" spans="14:14" x14ac:dyDescent="0.45">
      <c r="N142" s="53"/>
    </row>
    <row r="143" spans="14:14" x14ac:dyDescent="0.45">
      <c r="N143" s="53"/>
    </row>
    <row r="144" spans="14:14" x14ac:dyDescent="0.45">
      <c r="N144" s="53"/>
    </row>
    <row r="145" spans="14:14" x14ac:dyDescent="0.45">
      <c r="N145" s="53"/>
    </row>
    <row r="146" spans="14:14" x14ac:dyDescent="0.45">
      <c r="N146" s="53"/>
    </row>
    <row r="147" spans="14:14" x14ac:dyDescent="0.45">
      <c r="N147" s="53"/>
    </row>
    <row r="148" spans="14:14" x14ac:dyDescent="0.45">
      <c r="N148" s="53"/>
    </row>
    <row r="149" spans="14:14" x14ac:dyDescent="0.45">
      <c r="N149" s="53"/>
    </row>
    <row r="150" spans="14:14" x14ac:dyDescent="0.45">
      <c r="N150" s="53"/>
    </row>
    <row r="151" spans="14:14" x14ac:dyDescent="0.45">
      <c r="N151" s="53"/>
    </row>
    <row r="152" spans="14:14" x14ac:dyDescent="0.45">
      <c r="N152" s="53"/>
    </row>
    <row r="153" spans="14:14" x14ac:dyDescent="0.45">
      <c r="N153" s="53"/>
    </row>
    <row r="154" spans="14:14" x14ac:dyDescent="0.45">
      <c r="N154" s="53"/>
    </row>
    <row r="155" spans="14:14" x14ac:dyDescent="0.45">
      <c r="N155" s="53"/>
    </row>
    <row r="156" spans="14:14" x14ac:dyDescent="0.45">
      <c r="N156" s="53"/>
    </row>
    <row r="157" spans="14:14" x14ac:dyDescent="0.45">
      <c r="N157" s="53"/>
    </row>
    <row r="158" spans="14:14" x14ac:dyDescent="0.45">
      <c r="N158" s="53"/>
    </row>
    <row r="159" spans="14:14" x14ac:dyDescent="0.45">
      <c r="N159" s="53"/>
    </row>
    <row r="160" spans="14:14" x14ac:dyDescent="0.45">
      <c r="N160" s="53"/>
    </row>
    <row r="161" spans="14:14" x14ac:dyDescent="0.45">
      <c r="N161" s="53"/>
    </row>
    <row r="162" spans="14:14" x14ac:dyDescent="0.45">
      <c r="N162" s="53"/>
    </row>
    <row r="163" spans="14:14" x14ac:dyDescent="0.45">
      <c r="N163" s="53"/>
    </row>
    <row r="164" spans="14:14" x14ac:dyDescent="0.45">
      <c r="N164" s="53"/>
    </row>
    <row r="165" spans="14:14" x14ac:dyDescent="0.45">
      <c r="N165" s="53"/>
    </row>
    <row r="166" spans="14:14" x14ac:dyDescent="0.45">
      <c r="N166" s="53"/>
    </row>
    <row r="167" spans="14:14" x14ac:dyDescent="0.45">
      <c r="N167" s="53"/>
    </row>
    <row r="168" spans="14:14" x14ac:dyDescent="0.45">
      <c r="N168" s="53"/>
    </row>
    <row r="169" spans="14:14" x14ac:dyDescent="0.45">
      <c r="N169" s="53"/>
    </row>
    <row r="170" spans="14:14" x14ac:dyDescent="0.45">
      <c r="N170" s="53"/>
    </row>
    <row r="171" spans="14:14" x14ac:dyDescent="0.45">
      <c r="N171" s="53"/>
    </row>
    <row r="172" spans="14:14" x14ac:dyDescent="0.45">
      <c r="N172" s="53"/>
    </row>
    <row r="173" spans="14:14" x14ac:dyDescent="0.45">
      <c r="N173" s="53"/>
    </row>
    <row r="174" spans="14:14" x14ac:dyDescent="0.45">
      <c r="N174" s="53"/>
    </row>
    <row r="175" spans="14:14" x14ac:dyDescent="0.45">
      <c r="N175" s="53"/>
    </row>
    <row r="176" spans="14:14" x14ac:dyDescent="0.45">
      <c r="N176" s="53"/>
    </row>
    <row r="177" spans="14:14" x14ac:dyDescent="0.45">
      <c r="N177" s="53"/>
    </row>
    <row r="178" spans="14:14" x14ac:dyDescent="0.45">
      <c r="N178" s="53"/>
    </row>
    <row r="179" spans="14:14" x14ac:dyDescent="0.45">
      <c r="N179" s="53"/>
    </row>
    <row r="180" spans="14:14" x14ac:dyDescent="0.45">
      <c r="N180" s="53"/>
    </row>
    <row r="181" spans="14:14" x14ac:dyDescent="0.45">
      <c r="N181" s="53"/>
    </row>
    <row r="182" spans="14:14" x14ac:dyDescent="0.45">
      <c r="N182" s="53"/>
    </row>
    <row r="183" spans="14:14" x14ac:dyDescent="0.45">
      <c r="N183" s="53"/>
    </row>
    <row r="184" spans="14:14" x14ac:dyDescent="0.45">
      <c r="N184" s="53"/>
    </row>
    <row r="185" spans="14:14" x14ac:dyDescent="0.45">
      <c r="N185" s="53"/>
    </row>
    <row r="186" spans="14:14" x14ac:dyDescent="0.45">
      <c r="N186" s="53"/>
    </row>
    <row r="187" spans="14:14" x14ac:dyDescent="0.45">
      <c r="N187" s="53"/>
    </row>
    <row r="188" spans="14:14" x14ac:dyDescent="0.45">
      <c r="N188" s="53"/>
    </row>
    <row r="189" spans="14:14" x14ac:dyDescent="0.45">
      <c r="N189" s="53"/>
    </row>
    <row r="190" spans="14:14" x14ac:dyDescent="0.45">
      <c r="N190" s="53"/>
    </row>
    <row r="191" spans="14:14" x14ac:dyDescent="0.45">
      <c r="N191" s="53"/>
    </row>
    <row r="192" spans="14:14" x14ac:dyDescent="0.45">
      <c r="N192" s="53"/>
    </row>
    <row r="193" spans="14:14" x14ac:dyDescent="0.45">
      <c r="N193" s="53"/>
    </row>
    <row r="194" spans="14:14" x14ac:dyDescent="0.45">
      <c r="N194" s="53"/>
    </row>
    <row r="195" spans="14:14" x14ac:dyDescent="0.45">
      <c r="N195" s="53"/>
    </row>
    <row r="196" spans="14:14" x14ac:dyDescent="0.45">
      <c r="N196" s="53"/>
    </row>
    <row r="197" spans="14:14" x14ac:dyDescent="0.45">
      <c r="N197" s="53"/>
    </row>
    <row r="198" spans="14:14" x14ac:dyDescent="0.45">
      <c r="N198" s="53"/>
    </row>
    <row r="199" spans="14:14" x14ac:dyDescent="0.45">
      <c r="N199" s="53"/>
    </row>
    <row r="200" spans="14:14" x14ac:dyDescent="0.45">
      <c r="N200" s="53"/>
    </row>
    <row r="201" spans="14:14" x14ac:dyDescent="0.45">
      <c r="N201" s="53"/>
    </row>
    <row r="202" spans="14:14" x14ac:dyDescent="0.45">
      <c r="N202" s="53"/>
    </row>
    <row r="203" spans="14:14" x14ac:dyDescent="0.45">
      <c r="N203" s="53"/>
    </row>
    <row r="204" spans="14:14" x14ac:dyDescent="0.45">
      <c r="N204" s="53"/>
    </row>
    <row r="205" spans="14:14" x14ac:dyDescent="0.45">
      <c r="N205" s="53"/>
    </row>
    <row r="206" spans="14:14" x14ac:dyDescent="0.45">
      <c r="N206" s="53"/>
    </row>
    <row r="207" spans="14:14" x14ac:dyDescent="0.45">
      <c r="N207" s="53"/>
    </row>
    <row r="208" spans="14:14" x14ac:dyDescent="0.45">
      <c r="N208" s="53"/>
    </row>
    <row r="209" spans="14:14" x14ac:dyDescent="0.45">
      <c r="N209" s="53"/>
    </row>
    <row r="210" spans="14:14" x14ac:dyDescent="0.45">
      <c r="N210" s="53"/>
    </row>
    <row r="211" spans="14:14" x14ac:dyDescent="0.45">
      <c r="N211" s="53"/>
    </row>
    <row r="212" spans="14:14" x14ac:dyDescent="0.45">
      <c r="N212" s="53"/>
    </row>
    <row r="213" spans="14:14" x14ac:dyDescent="0.45">
      <c r="N213" s="53"/>
    </row>
    <row r="214" spans="14:14" x14ac:dyDescent="0.45">
      <c r="N214" s="53"/>
    </row>
    <row r="215" spans="14:14" x14ac:dyDescent="0.45">
      <c r="N215" s="53"/>
    </row>
    <row r="216" spans="14:14" x14ac:dyDescent="0.45">
      <c r="N216" s="53"/>
    </row>
    <row r="217" spans="14:14" x14ac:dyDescent="0.45">
      <c r="N217" s="53"/>
    </row>
    <row r="218" spans="14:14" x14ac:dyDescent="0.45">
      <c r="N218" s="53"/>
    </row>
    <row r="219" spans="14:14" x14ac:dyDescent="0.45">
      <c r="N219" s="53"/>
    </row>
    <row r="220" spans="14:14" x14ac:dyDescent="0.45">
      <c r="N220" s="53"/>
    </row>
    <row r="221" spans="14:14" x14ac:dyDescent="0.45">
      <c r="N221" s="53"/>
    </row>
    <row r="222" spans="14:14" x14ac:dyDescent="0.45">
      <c r="N222" s="53"/>
    </row>
    <row r="223" spans="14:14" x14ac:dyDescent="0.45">
      <c r="N223" s="53"/>
    </row>
    <row r="224" spans="14:14" x14ac:dyDescent="0.45">
      <c r="N224" s="53"/>
    </row>
    <row r="225" spans="14:14" x14ac:dyDescent="0.45">
      <c r="N225" s="53"/>
    </row>
    <row r="226" spans="14:14" x14ac:dyDescent="0.45">
      <c r="N226" s="53"/>
    </row>
    <row r="227" spans="14:14" x14ac:dyDescent="0.45">
      <c r="N227" s="53"/>
    </row>
    <row r="228" spans="14:14" x14ac:dyDescent="0.45">
      <c r="N228" s="53"/>
    </row>
    <row r="229" spans="14:14" x14ac:dyDescent="0.45">
      <c r="N229" s="53"/>
    </row>
    <row r="230" spans="14:14" x14ac:dyDescent="0.45">
      <c r="N230" s="53"/>
    </row>
    <row r="231" spans="14:14" x14ac:dyDescent="0.45">
      <c r="N231" s="53"/>
    </row>
    <row r="232" spans="14:14" x14ac:dyDescent="0.45">
      <c r="N232" s="53"/>
    </row>
    <row r="233" spans="14:14" x14ac:dyDescent="0.45">
      <c r="N233" s="53"/>
    </row>
    <row r="234" spans="14:14" x14ac:dyDescent="0.45">
      <c r="N234" s="53"/>
    </row>
    <row r="235" spans="14:14" x14ac:dyDescent="0.45">
      <c r="N235" s="53"/>
    </row>
    <row r="236" spans="14:14" x14ac:dyDescent="0.45">
      <c r="N236" s="53"/>
    </row>
    <row r="237" spans="14:14" x14ac:dyDescent="0.45">
      <c r="N237" s="53"/>
    </row>
    <row r="238" spans="14:14" x14ac:dyDescent="0.45">
      <c r="N238" s="53"/>
    </row>
    <row r="239" spans="14:14" x14ac:dyDescent="0.45">
      <c r="N239" s="53"/>
    </row>
    <row r="240" spans="14:14" x14ac:dyDescent="0.45">
      <c r="N240" s="53"/>
    </row>
    <row r="241" spans="14:14" x14ac:dyDescent="0.45">
      <c r="N241" s="53"/>
    </row>
    <row r="242" spans="14:14" x14ac:dyDescent="0.45">
      <c r="N242" s="53"/>
    </row>
    <row r="243" spans="14:14" x14ac:dyDescent="0.45">
      <c r="N243" s="53"/>
    </row>
    <row r="244" spans="14:14" x14ac:dyDescent="0.45">
      <c r="N244" s="53"/>
    </row>
    <row r="245" spans="14:14" x14ac:dyDescent="0.45">
      <c r="N245" s="53"/>
    </row>
    <row r="246" spans="14:14" x14ac:dyDescent="0.45">
      <c r="N246" s="53"/>
    </row>
    <row r="247" spans="14:14" x14ac:dyDescent="0.45">
      <c r="N247" s="53"/>
    </row>
    <row r="248" spans="14:14" x14ac:dyDescent="0.45">
      <c r="N248" s="53"/>
    </row>
    <row r="249" spans="14:14" x14ac:dyDescent="0.45">
      <c r="N249" s="53"/>
    </row>
    <row r="250" spans="14:14" x14ac:dyDescent="0.45">
      <c r="N250" s="53"/>
    </row>
    <row r="251" spans="14:14" x14ac:dyDescent="0.45">
      <c r="N251" s="53"/>
    </row>
    <row r="252" spans="14:14" x14ac:dyDescent="0.45">
      <c r="N252" s="53"/>
    </row>
    <row r="253" spans="14:14" x14ac:dyDescent="0.45">
      <c r="N253" s="53"/>
    </row>
    <row r="254" spans="14:14" x14ac:dyDescent="0.45">
      <c r="N254" s="53"/>
    </row>
    <row r="255" spans="14:14" x14ac:dyDescent="0.45">
      <c r="N255" s="53"/>
    </row>
    <row r="256" spans="14:14" x14ac:dyDescent="0.45">
      <c r="N256" s="53"/>
    </row>
    <row r="257" spans="14:14" x14ac:dyDescent="0.45">
      <c r="N257" s="53"/>
    </row>
    <row r="258" spans="14:14" x14ac:dyDescent="0.45">
      <c r="N258" s="53"/>
    </row>
    <row r="259" spans="14:14" x14ac:dyDescent="0.45">
      <c r="N259" s="53"/>
    </row>
    <row r="260" spans="14:14" x14ac:dyDescent="0.45">
      <c r="N260" s="53"/>
    </row>
    <row r="261" spans="14:14" x14ac:dyDescent="0.45">
      <c r="N261" s="53"/>
    </row>
    <row r="262" spans="14:14" x14ac:dyDescent="0.45">
      <c r="N262" s="53"/>
    </row>
    <row r="263" spans="14:14" x14ac:dyDescent="0.45">
      <c r="N263" s="53"/>
    </row>
    <row r="264" spans="14:14" x14ac:dyDescent="0.45">
      <c r="N264" s="53"/>
    </row>
    <row r="265" spans="14:14" x14ac:dyDescent="0.45">
      <c r="N265" s="53"/>
    </row>
    <row r="266" spans="14:14" x14ac:dyDescent="0.45">
      <c r="N266" s="53"/>
    </row>
    <row r="267" spans="14:14" x14ac:dyDescent="0.45">
      <c r="N267" s="53"/>
    </row>
    <row r="268" spans="14:14" x14ac:dyDescent="0.45">
      <c r="N268" s="53"/>
    </row>
    <row r="269" spans="14:14" x14ac:dyDescent="0.45">
      <c r="N269" s="53"/>
    </row>
    <row r="270" spans="14:14" x14ac:dyDescent="0.45">
      <c r="N270" s="53"/>
    </row>
    <row r="271" spans="14:14" x14ac:dyDescent="0.45">
      <c r="N271" s="53"/>
    </row>
    <row r="272" spans="14:14" x14ac:dyDescent="0.45">
      <c r="N272" s="53"/>
    </row>
    <row r="273" spans="14:14" x14ac:dyDescent="0.45">
      <c r="N273" s="53"/>
    </row>
    <row r="274" spans="14:14" x14ac:dyDescent="0.45">
      <c r="N274" s="53"/>
    </row>
    <row r="275" spans="14:14" x14ac:dyDescent="0.45">
      <c r="N275" s="53"/>
    </row>
    <row r="276" spans="14:14" x14ac:dyDescent="0.45">
      <c r="N276" s="53"/>
    </row>
    <row r="277" spans="14:14" x14ac:dyDescent="0.45">
      <c r="N277" s="53"/>
    </row>
    <row r="278" spans="14:14" x14ac:dyDescent="0.45">
      <c r="N278" s="53"/>
    </row>
    <row r="279" spans="14:14" x14ac:dyDescent="0.45">
      <c r="N279" s="53"/>
    </row>
    <row r="280" spans="14:14" x14ac:dyDescent="0.45">
      <c r="N280" s="53"/>
    </row>
    <row r="281" spans="14:14" x14ac:dyDescent="0.45">
      <c r="N281" s="53"/>
    </row>
    <row r="282" spans="14:14" x14ac:dyDescent="0.45">
      <c r="N282" s="53"/>
    </row>
    <row r="283" spans="14:14" x14ac:dyDescent="0.45">
      <c r="N283" s="53"/>
    </row>
    <row r="284" spans="14:14" x14ac:dyDescent="0.45">
      <c r="N284" s="53"/>
    </row>
    <row r="285" spans="14:14" x14ac:dyDescent="0.45">
      <c r="N285" s="53"/>
    </row>
    <row r="286" spans="14:14" x14ac:dyDescent="0.45">
      <c r="N286" s="53"/>
    </row>
    <row r="287" spans="14:14" x14ac:dyDescent="0.45">
      <c r="N287" s="53"/>
    </row>
    <row r="288" spans="14:14" x14ac:dyDescent="0.45">
      <c r="N288" s="53"/>
    </row>
    <row r="289" spans="14:14" x14ac:dyDescent="0.45">
      <c r="N289" s="53"/>
    </row>
    <row r="290" spans="14:14" x14ac:dyDescent="0.45">
      <c r="N290" s="53"/>
    </row>
    <row r="291" spans="14:14" x14ac:dyDescent="0.45">
      <c r="N291" s="53"/>
    </row>
    <row r="292" spans="14:14" x14ac:dyDescent="0.45">
      <c r="N292" s="53"/>
    </row>
    <row r="293" spans="14:14" x14ac:dyDescent="0.45">
      <c r="N293" s="53"/>
    </row>
    <row r="294" spans="14:14" x14ac:dyDescent="0.45">
      <c r="N294" s="53"/>
    </row>
    <row r="295" spans="14:14" x14ac:dyDescent="0.45">
      <c r="N295" s="53"/>
    </row>
    <row r="296" spans="14:14" x14ac:dyDescent="0.45">
      <c r="N296" s="53"/>
    </row>
    <row r="297" spans="14:14" x14ac:dyDescent="0.45">
      <c r="N297" s="53"/>
    </row>
    <row r="298" spans="14:14" x14ac:dyDescent="0.45">
      <c r="N298" s="53"/>
    </row>
    <row r="299" spans="14:14" x14ac:dyDescent="0.45">
      <c r="N299" s="53"/>
    </row>
    <row r="300" spans="14:14" x14ac:dyDescent="0.45">
      <c r="N300" s="53"/>
    </row>
    <row r="301" spans="14:14" x14ac:dyDescent="0.45">
      <c r="N301" s="53"/>
    </row>
    <row r="302" spans="14:14" x14ac:dyDescent="0.45">
      <c r="N302" s="53"/>
    </row>
    <row r="303" spans="14:14" x14ac:dyDescent="0.45">
      <c r="N303" s="53"/>
    </row>
    <row r="304" spans="14:14" x14ac:dyDescent="0.45">
      <c r="N304" s="53"/>
    </row>
    <row r="305" spans="14:14" x14ac:dyDescent="0.45">
      <c r="N305" s="53"/>
    </row>
    <row r="306" spans="14:14" x14ac:dyDescent="0.45">
      <c r="N306" s="53"/>
    </row>
    <row r="307" spans="14:14" x14ac:dyDescent="0.45">
      <c r="N307" s="53"/>
    </row>
    <row r="308" spans="14:14" x14ac:dyDescent="0.45">
      <c r="N308" s="53"/>
    </row>
    <row r="309" spans="14:14" x14ac:dyDescent="0.45">
      <c r="N309" s="53"/>
    </row>
    <row r="310" spans="14:14" x14ac:dyDescent="0.45">
      <c r="N310" s="53"/>
    </row>
    <row r="311" spans="14:14" x14ac:dyDescent="0.45">
      <c r="N311" s="53"/>
    </row>
    <row r="312" spans="14:14" x14ac:dyDescent="0.45">
      <c r="N312" s="53"/>
    </row>
    <row r="313" spans="14:14" x14ac:dyDescent="0.45">
      <c r="N313" s="53"/>
    </row>
    <row r="314" spans="14:14" x14ac:dyDescent="0.45">
      <c r="N314" s="53"/>
    </row>
    <row r="315" spans="14:14" x14ac:dyDescent="0.45">
      <c r="N315" s="53"/>
    </row>
    <row r="316" spans="14:14" x14ac:dyDescent="0.45">
      <c r="N316" s="53"/>
    </row>
    <row r="317" spans="14:14" x14ac:dyDescent="0.45">
      <c r="N317" s="53"/>
    </row>
    <row r="318" spans="14:14" x14ac:dyDescent="0.45">
      <c r="N318" s="53"/>
    </row>
    <row r="319" spans="14:14" x14ac:dyDescent="0.45">
      <c r="N319" s="53"/>
    </row>
    <row r="320" spans="14:14" x14ac:dyDescent="0.45">
      <c r="N320" s="53"/>
    </row>
    <row r="321" spans="14:14" x14ac:dyDescent="0.45">
      <c r="N321" s="53"/>
    </row>
    <row r="322" spans="14:14" x14ac:dyDescent="0.45">
      <c r="N322" s="53"/>
    </row>
    <row r="323" spans="14:14" x14ac:dyDescent="0.45">
      <c r="N323" s="53"/>
    </row>
    <row r="324" spans="14:14" x14ac:dyDescent="0.45">
      <c r="N324" s="53"/>
    </row>
    <row r="325" spans="14:14" x14ac:dyDescent="0.45">
      <c r="N325" s="53"/>
    </row>
    <row r="326" spans="14:14" x14ac:dyDescent="0.45">
      <c r="N326" s="53"/>
    </row>
    <row r="327" spans="14:14" x14ac:dyDescent="0.45">
      <c r="N327" s="53"/>
    </row>
  </sheetData>
  <mergeCells count="1">
    <mergeCell ref="P6:Q6"/>
  </mergeCells>
  <phoneticPr fontId="0" type="noConversion"/>
  <pageMargins left="1" right="0.25" top="0.75" bottom="0.49" header="0.5" footer="0.2"/>
  <pageSetup scale="80" orientation="portrait" r:id="rId1"/>
  <headerFooter alignWithMargins="0">
    <oddFooter>&amp;C&amp;12Services&amp;R&amp;12Exhibit 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617"/>
  <sheetViews>
    <sheetView view="pageBreakPreview" zoomScale="70" zoomScaleNormal="100" zoomScaleSheetLayoutView="70" workbookViewId="0">
      <pane ySplit="3" topLeftCell="A516" activePane="bottomLeft" state="frozen"/>
      <selection activeCell="E1" sqref="E1"/>
      <selection pane="bottomLeft" activeCell="V564" sqref="V564"/>
    </sheetView>
  </sheetViews>
  <sheetFormatPr defaultColWidth="9.15625" defaultRowHeight="14.1" x14ac:dyDescent="0.5"/>
  <cols>
    <col min="1" max="1" width="7.68359375" style="86" customWidth="1"/>
    <col min="2" max="2" width="55.83984375" style="86" customWidth="1"/>
    <col min="3" max="3" width="12.83984375" style="86" customWidth="1"/>
    <col min="4" max="4" width="14.83984375" style="86" customWidth="1"/>
    <col min="5" max="5" width="2.68359375" style="86" customWidth="1"/>
    <col min="6" max="6" width="17.578125" style="86" customWidth="1"/>
    <col min="7" max="7" width="2.15625" style="86" customWidth="1"/>
    <col min="8" max="8" width="18.578125" style="86" customWidth="1"/>
    <col min="9" max="10" width="18.26171875" style="86" hidden="1" customWidth="1"/>
    <col min="11" max="11" width="18.578125" style="86" customWidth="1"/>
    <col min="12" max="13" width="18.68359375" style="86" hidden="1" customWidth="1"/>
    <col min="14" max="14" width="2.68359375" style="86" customWidth="1"/>
    <col min="15" max="15" width="18.68359375" style="86" bestFit="1" customWidth="1"/>
    <col min="16" max="17" width="18.68359375" style="86" hidden="1" customWidth="1"/>
    <col min="18" max="18" width="2.68359375" style="86" customWidth="1"/>
    <col min="19" max="20" width="17.578125" style="86" customWidth="1"/>
    <col min="21" max="21" width="16.26171875" style="86" customWidth="1"/>
    <col min="22" max="22" width="16.26171875" style="86" bestFit="1" customWidth="1"/>
    <col min="23" max="23" width="16.26171875" style="86" customWidth="1"/>
    <col min="24" max="24" width="16.68359375" style="86" customWidth="1"/>
    <col min="25" max="25" width="16.68359375" style="84" customWidth="1"/>
    <col min="26" max="27" width="16.83984375" style="86" customWidth="1"/>
    <col min="28" max="30" width="17.578125" style="86" customWidth="1"/>
    <col min="31" max="31" width="1.83984375" style="86" customWidth="1"/>
    <col min="32" max="32" width="17.83984375" style="86" customWidth="1"/>
    <col min="33" max="33" width="1.83984375" style="86" customWidth="1"/>
    <col min="34" max="34" width="15" style="86" customWidth="1"/>
    <col min="35" max="35" width="1.83984375" style="86" customWidth="1"/>
    <col min="36" max="36" width="18.26171875" style="86" bestFit="1" customWidth="1"/>
    <col min="37" max="37" width="18.26171875" style="86" customWidth="1"/>
    <col min="38" max="38" width="14.68359375" style="86" customWidth="1"/>
    <col min="39" max="39" width="14.15625" style="86" customWidth="1"/>
    <col min="40" max="16384" width="9.15625" style="86"/>
  </cols>
  <sheetData>
    <row r="1" spans="1:38" ht="14.4" thickBot="1" x14ac:dyDescent="0.55000000000000004">
      <c r="A1" s="84"/>
      <c r="B1" s="84"/>
      <c r="C1" s="84"/>
      <c r="D1" s="84"/>
      <c r="E1" s="84"/>
      <c r="F1" s="84"/>
      <c r="G1" s="84"/>
      <c r="H1" s="84"/>
      <c r="I1" s="84"/>
      <c r="J1" s="84"/>
      <c r="K1" s="84"/>
      <c r="L1" s="84"/>
      <c r="M1" s="84"/>
      <c r="N1" s="84"/>
      <c r="O1" s="84"/>
      <c r="P1" s="84"/>
      <c r="Q1" s="84"/>
      <c r="R1" s="84"/>
      <c r="S1" s="84"/>
      <c r="T1" s="84"/>
      <c r="U1" s="84"/>
      <c r="V1" s="84"/>
      <c r="W1" s="84"/>
      <c r="X1" s="84"/>
      <c r="Z1" s="85"/>
      <c r="AA1" s="85"/>
      <c r="AB1" s="85"/>
      <c r="AC1" s="85"/>
      <c r="AD1" s="85"/>
      <c r="AE1" s="85"/>
      <c r="AF1" s="85"/>
      <c r="AG1" s="85"/>
      <c r="AH1" s="85"/>
      <c r="AI1" s="85"/>
      <c r="AJ1" s="85"/>
    </row>
    <row r="2" spans="1:38" ht="48" customHeight="1" thickBot="1" x14ac:dyDescent="0.55000000000000004">
      <c r="A2" s="23"/>
      <c r="B2" s="23"/>
      <c r="C2" s="35"/>
      <c r="D2" s="7" t="s">
        <v>61</v>
      </c>
      <c r="E2" s="35"/>
      <c r="F2" s="35" t="s">
        <v>62</v>
      </c>
      <c r="G2" s="35"/>
      <c r="H2" s="513" t="s">
        <v>1624</v>
      </c>
      <c r="I2" s="514"/>
      <c r="J2" s="515"/>
      <c r="K2" s="307" t="s">
        <v>1625</v>
      </c>
      <c r="L2" s="305"/>
      <c r="M2" s="306"/>
      <c r="N2" s="75"/>
      <c r="O2" s="77" t="s">
        <v>933</v>
      </c>
      <c r="P2" s="287"/>
      <c r="Q2" s="287"/>
      <c r="R2" s="76"/>
      <c r="S2" s="77" t="s">
        <v>1627</v>
      </c>
      <c r="T2" s="77" t="s">
        <v>1628</v>
      </c>
      <c r="U2" s="516" t="s">
        <v>130</v>
      </c>
      <c r="V2" s="517"/>
      <c r="W2" s="518"/>
      <c r="X2" s="511" t="s">
        <v>129</v>
      </c>
      <c r="Y2" s="512"/>
      <c r="Z2" s="511" t="s">
        <v>131</v>
      </c>
      <c r="AA2" s="512"/>
      <c r="AB2" s="77" t="s">
        <v>128</v>
      </c>
      <c r="AC2" s="77" t="s">
        <v>127</v>
      </c>
      <c r="AD2" s="77" t="s">
        <v>1631</v>
      </c>
      <c r="AE2" s="78"/>
      <c r="AF2" s="77" t="s">
        <v>292</v>
      </c>
      <c r="AG2" s="27"/>
      <c r="AH2" s="77" t="s">
        <v>1630</v>
      </c>
      <c r="AI2" s="27"/>
      <c r="AJ2" s="77" t="s">
        <v>1629</v>
      </c>
      <c r="AK2" s="23"/>
      <c r="AL2" s="23"/>
    </row>
    <row r="3" spans="1:38" ht="14.4" thickBot="1" x14ac:dyDescent="0.55000000000000004">
      <c r="A3" s="28" t="s">
        <v>99</v>
      </c>
      <c r="B3" s="28"/>
      <c r="C3" s="30" t="s">
        <v>100</v>
      </c>
      <c r="D3" s="30" t="s">
        <v>101</v>
      </c>
      <c r="E3" s="21"/>
      <c r="F3" s="21" t="s">
        <v>102</v>
      </c>
      <c r="G3" s="79"/>
      <c r="H3" s="170" t="s">
        <v>2272</v>
      </c>
      <c r="I3" s="170" t="s">
        <v>2182</v>
      </c>
      <c r="J3" s="170" t="s">
        <v>2182</v>
      </c>
      <c r="K3" s="170" t="s">
        <v>104</v>
      </c>
      <c r="L3" s="170" t="s">
        <v>2182</v>
      </c>
      <c r="M3" s="170" t="s">
        <v>2182</v>
      </c>
      <c r="N3" s="21"/>
      <c r="O3" s="170" t="s">
        <v>103</v>
      </c>
      <c r="P3" s="21"/>
      <c r="Q3" s="21"/>
      <c r="R3" s="21"/>
      <c r="S3" s="21" t="s">
        <v>1626</v>
      </c>
      <c r="T3" s="21" t="s">
        <v>1483</v>
      </c>
      <c r="U3" s="21" t="s">
        <v>1626</v>
      </c>
      <c r="V3" s="21" t="s">
        <v>103</v>
      </c>
      <c r="W3" s="21" t="s">
        <v>105</v>
      </c>
      <c r="X3" s="21" t="s">
        <v>103</v>
      </c>
      <c r="Y3" s="21" t="s">
        <v>105</v>
      </c>
      <c r="Z3" s="21" t="s">
        <v>103</v>
      </c>
      <c r="AA3" s="21" t="s">
        <v>105</v>
      </c>
      <c r="AB3" s="21" t="s">
        <v>105</v>
      </c>
      <c r="AC3" s="21"/>
      <c r="AD3" s="21"/>
      <c r="AE3" s="21"/>
      <c r="AF3" s="21"/>
      <c r="AG3" s="21"/>
      <c r="AH3" s="21"/>
      <c r="AI3" s="21"/>
      <c r="AJ3" s="21"/>
      <c r="AK3" s="21" t="s">
        <v>106</v>
      </c>
      <c r="AL3" s="29" t="s">
        <v>107</v>
      </c>
    </row>
    <row r="4" spans="1:38" x14ac:dyDescent="0.5">
      <c r="F4" s="36"/>
      <c r="G4" s="36"/>
      <c r="H4" s="36"/>
      <c r="I4" s="36"/>
      <c r="J4" s="36"/>
      <c r="K4" s="36"/>
      <c r="L4" s="36"/>
      <c r="M4" s="36"/>
      <c r="N4" s="36"/>
      <c r="O4" s="36"/>
      <c r="P4" s="36"/>
      <c r="Q4" s="36"/>
      <c r="R4" s="36"/>
      <c r="S4" s="36"/>
      <c r="T4" s="36"/>
      <c r="U4" s="36"/>
      <c r="V4" s="36"/>
      <c r="W4" s="36"/>
      <c r="X4" s="36"/>
      <c r="Y4" s="80"/>
      <c r="Z4" s="36"/>
      <c r="AA4" s="36"/>
      <c r="AB4" s="36"/>
      <c r="AC4" s="36"/>
      <c r="AD4" s="36"/>
      <c r="AE4" s="36"/>
      <c r="AF4" s="36"/>
      <c r="AG4" s="36"/>
      <c r="AH4" s="36"/>
      <c r="AI4" s="36"/>
      <c r="AJ4" s="36"/>
      <c r="AL4" s="87"/>
    </row>
    <row r="5" spans="1:38" x14ac:dyDescent="0.5">
      <c r="A5" s="81" t="s">
        <v>108</v>
      </c>
      <c r="F5" s="36"/>
      <c r="G5" s="36"/>
      <c r="H5" s="36"/>
      <c r="I5" s="36"/>
      <c r="J5" s="36"/>
      <c r="K5" s="36"/>
      <c r="L5" s="36"/>
      <c r="M5" s="36"/>
      <c r="N5" s="36"/>
      <c r="O5" s="36"/>
      <c r="P5" s="36"/>
      <c r="Q5" s="36"/>
      <c r="R5" s="36"/>
      <c r="S5" s="36"/>
      <c r="T5" s="36"/>
      <c r="U5" s="36"/>
      <c r="V5" s="36"/>
      <c r="W5" s="36"/>
      <c r="X5" s="36"/>
      <c r="Y5" s="80"/>
      <c r="Z5" s="36"/>
      <c r="AA5" s="36"/>
      <c r="AB5" s="36"/>
      <c r="AC5" s="36"/>
      <c r="AD5" s="36"/>
      <c r="AE5" s="36"/>
      <c r="AF5" s="36"/>
      <c r="AG5" s="36"/>
      <c r="AH5" s="36"/>
      <c r="AI5" s="36"/>
      <c r="AJ5" s="36"/>
      <c r="AL5" s="87"/>
    </row>
    <row r="6" spans="1:38" x14ac:dyDescent="0.5">
      <c r="AL6" s="87"/>
    </row>
    <row r="7" spans="1:38" x14ac:dyDescent="0.5">
      <c r="A7" s="22" t="s">
        <v>442</v>
      </c>
      <c r="AL7" s="87"/>
    </row>
    <row r="8" spans="1:38" x14ac:dyDescent="0.5">
      <c r="A8" s="88">
        <v>301</v>
      </c>
      <c r="B8" s="86" t="s">
        <v>445</v>
      </c>
      <c r="C8" s="86" t="s">
        <v>446</v>
      </c>
      <c r="D8" s="86" t="s">
        <v>471</v>
      </c>
      <c r="F8" s="89">
        <f>'Jurisdictional Study'!F612</f>
        <v>41552</v>
      </c>
      <c r="H8" s="90">
        <f>IF(VLOOKUP($D8,$C$5:$AJ$596,6,)=0,0,((VLOOKUP($D8,$C$5:$AJ$596,6,)/VLOOKUP($D8,$C$5:$AJ$596,4,))*$F8))</f>
        <v>26149.730544688497</v>
      </c>
      <c r="I8" s="90">
        <f>IF(VLOOKUP($D8,$C$5:$AJ$596,7,)=0,0,((VLOOKUP($D8,$C$5:$AJ$596,7,)/VLOOKUP($D8,$C$5:$AJ$596,4,))*$F8))</f>
        <v>0</v>
      </c>
      <c r="J8" s="90">
        <f>IF(VLOOKUP($D8,$C$5:$AJ$596,8,)=0,0,((VLOOKUP($D8,$C$5:$AJ$596,8,)/VLOOKUP($D8,$C$5:$AJ$596,4,))*$F8))</f>
        <v>0</v>
      </c>
      <c r="K8" s="90">
        <f>IF(VLOOKUP($D8,$C$5:$AJ$596,9,)=0,0,((VLOOKUP($D8,$C$5:$AJ$596,9,)/VLOOKUP($D8,$C$5:$AJ$596,4,))*$F8))</f>
        <v>0</v>
      </c>
      <c r="L8" s="90">
        <f>IF(VLOOKUP($D8,$C$5:$AJ$596,10,)=0,0,((VLOOKUP($D8,$C$5:$AJ$596,10,)/VLOOKUP($D8,$C$5:$AJ$596,4,))*$F8))</f>
        <v>0</v>
      </c>
      <c r="M8" s="90">
        <f>IF(VLOOKUP($D8,$C$5:$AJ$596,11,)=0,0,((VLOOKUP($D8,$C$5:$AJ$596,11,)/VLOOKUP($D8,$C$5:$AJ$596,4,))*$F8))</f>
        <v>0</v>
      </c>
      <c r="N8" s="90"/>
      <c r="O8" s="90">
        <f>IF(VLOOKUP($D8,$C$5:$AJ$596,13,)=0,0,((VLOOKUP($D8,$C$5:$AJ$596,13,)/VLOOKUP($D8,$C$5:$AJ$596,4,))*$F8))</f>
        <v>5660.4934936220052</v>
      </c>
      <c r="P8" s="90">
        <f>IF(VLOOKUP($D8,$C$5:$AJ$596,14,)=0,0,((VLOOKUP($D8,$C$5:$AJ$596,14,)/VLOOKUP($D8,$C$5:$AJ$596,4,))*$F8))</f>
        <v>0</v>
      </c>
      <c r="Q8" s="90">
        <f>IF(VLOOKUP($D8,$C$5:$AJ$596,15,)=0,0,((VLOOKUP($D8,$C$5:$AJ$596,15,)/VLOOKUP($D8,$C$5:$AJ$596,4,))*$F8))</f>
        <v>0</v>
      </c>
      <c r="R8" s="90"/>
      <c r="S8" s="90">
        <f>IF(VLOOKUP($D8,$C$5:$AJ$596,17,)=0,0,((VLOOKUP($D8,$C$5:$AJ$596,17,)/VLOOKUP($D8,$C$5:$AJ$596,4,))*$F8))</f>
        <v>0</v>
      </c>
      <c r="T8" s="90">
        <f>IF(VLOOKUP($D8,$C$5:$AJ$596,18,)=0,0,((VLOOKUP($D8,$C$5:$AJ$596,18,)/VLOOKUP($D8,$C$5:$AJ$596,4,))*$F8))</f>
        <v>1527.019501476263</v>
      </c>
      <c r="U8" s="90">
        <f>IF(VLOOKUP($D8,$C$5:$AJ$596,19,)=0,0,((VLOOKUP($D8,$C$5:$AJ$596,19,)/VLOOKUP($D8,$C$5:$AJ$596,4,))*$F8))</f>
        <v>0</v>
      </c>
      <c r="V8" s="90">
        <f>IF(VLOOKUP($D8,$C$5:$AJ$596,20,)=0,0,((VLOOKUP($D8,$C$5:$AJ$596,20,)/VLOOKUP($D8,$C$5:$AJ$596,4,))*$F8))</f>
        <v>1214.5200404818397</v>
      </c>
      <c r="W8" s="90">
        <f>IF(VLOOKUP($D8,$C$5:$AJ$596,21,)=0,0,((VLOOKUP($D8,$C$5:$AJ$596,21,)/VLOOKUP($D8,$C$5:$AJ$596,4,))*$F8))</f>
        <v>2360.7417360412319</v>
      </c>
      <c r="X8" s="90">
        <f>IF(VLOOKUP($D8,$C$5:$AJ$596,22,)=0,0,((VLOOKUP($D8,$C$5:$AJ$596,22,)/VLOOKUP($D8,$C$5:$AJ$596,4,))*$F8))</f>
        <v>546.75834167386358</v>
      </c>
      <c r="Y8" s="90">
        <f>IF(VLOOKUP($D8,$C$5:$AJ$596,23,)=0,0,((VLOOKUP($D8,$C$5:$AJ$596,23,)/VLOOKUP($D8,$C$5:$AJ$596,4,))*$F8))</f>
        <v>1103.7692911264837</v>
      </c>
      <c r="Z8" s="90">
        <f>IF(VLOOKUP($D8,$C$5:$AJ$596,24,)=0,0,((VLOOKUP($D8,$C$5:$AJ$596,24,)/VLOOKUP($D8,$C$5:$AJ$596,4,))*$F8))</f>
        <v>797.02838919947715</v>
      </c>
      <c r="AA8" s="90">
        <f>IF(VLOOKUP($D8,$C$5:$AJ$596,25,)=0,0,((VLOOKUP($D8,$C$5:$AJ$596,25,)/VLOOKUP($D8,$C$5:$AJ$596,4,))*$F8))</f>
        <v>662.19270660198572</v>
      </c>
      <c r="AB8" s="90">
        <f>IF(VLOOKUP($D8,$C$5:$AJ$596,26,)=0,0,((VLOOKUP($D8,$C$5:$AJ$596,26,)/VLOOKUP($D8,$C$5:$AJ$596,4,))*$F8))</f>
        <v>558.31264937359947</v>
      </c>
      <c r="AC8" s="90">
        <f>IF(VLOOKUP($D8,$C$5:$AJ$596,27,)=0,0,((VLOOKUP($D8,$C$5:$AJ$596,27,)/VLOOKUP($D8,$C$5:$AJ$596,4,))*$F8))</f>
        <v>332.0501959274614</v>
      </c>
      <c r="AD8" s="90">
        <f>IF(VLOOKUP($D8,$C$5:$AJ$596,28,)=0,0,((VLOOKUP($D8,$C$5:$AJ$596,28,)/VLOOKUP($D8,$C$5:$AJ$596,4,))*$F8))</f>
        <v>639.38310978729339</v>
      </c>
      <c r="AE8" s="90"/>
      <c r="AF8" s="90">
        <f>IF(VLOOKUP($D8,$C$5:$AJ$596,30,)=0,0,((VLOOKUP($D8,$C$5:$AJ$596,30,)/VLOOKUP($D8,$C$5:$AJ$596,4,))*$F8))</f>
        <v>0</v>
      </c>
      <c r="AG8" s="90"/>
      <c r="AH8" s="90">
        <f>IF(VLOOKUP($D8,$C$5:$AJ$596,32,)=0,0,((VLOOKUP($D8,$C$5:$AJ$596,32,)/VLOOKUP($D8,$C$5:$AJ$596,4,))*$F8))</f>
        <v>0</v>
      </c>
      <c r="AI8" s="90"/>
      <c r="AJ8" s="90">
        <f>IF(VLOOKUP($D8,$C$5:$AJ$596,34,)=0,0,((VLOOKUP($D8,$C$5:$AJ$596,34,)/VLOOKUP($D8,$C$5:$AJ$596,4,))*$F8))</f>
        <v>0</v>
      </c>
      <c r="AK8" s="90">
        <f>SUM(H8:AJ8)</f>
        <v>41551.999999999993</v>
      </c>
      <c r="AL8" s="87" t="str">
        <f>IF(ABS(AK8-F8)&lt;1,"ok","err")</f>
        <v>ok</v>
      </c>
    </row>
    <row r="9" spans="1:38" x14ac:dyDescent="0.5">
      <c r="A9" s="88">
        <v>302</v>
      </c>
      <c r="B9" s="86" t="s">
        <v>444</v>
      </c>
      <c r="C9" s="86" t="s">
        <v>446</v>
      </c>
      <c r="D9" s="86" t="s">
        <v>471</v>
      </c>
      <c r="F9" s="90">
        <f>'Jurisdictional Study'!F613</f>
        <v>144369</v>
      </c>
      <c r="H9" s="90">
        <f>IF(VLOOKUP($D9,$C$5:$AJ$596,6,)=0,0,((VLOOKUP($D9,$C$5:$AJ$596,6,)/VLOOKUP($D9,$C$5:$AJ$596,4,))*$F9))</f>
        <v>90855.083967225</v>
      </c>
      <c r="I9" s="90">
        <f>IF(VLOOKUP($D9,$C$5:$AJ$596,7,)=0,0,((VLOOKUP($D9,$C$5:$AJ$596,7,)/VLOOKUP($D9,$C$5:$AJ$596,4,))*$F9))</f>
        <v>0</v>
      </c>
      <c r="J9" s="90">
        <f>IF(VLOOKUP($D9,$C$5:$AJ$596,8,)=0,0,((VLOOKUP($D9,$C$5:$AJ$596,8,)/VLOOKUP($D9,$C$5:$AJ$596,4,))*$F9))</f>
        <v>0</v>
      </c>
      <c r="K9" s="90">
        <f>IF(VLOOKUP($D9,$C$5:$AJ$596,9,)=0,0,((VLOOKUP($D9,$C$5:$AJ$596,9,)/VLOOKUP($D9,$C$5:$AJ$596,4,))*$F9))</f>
        <v>0</v>
      </c>
      <c r="L9" s="90">
        <f>IF(VLOOKUP($D9,$C$5:$AJ$596,10,)=0,0,((VLOOKUP($D9,$C$5:$AJ$596,10,)/VLOOKUP($D9,$C$5:$AJ$596,4,))*$F9))</f>
        <v>0</v>
      </c>
      <c r="M9" s="90">
        <f>IF(VLOOKUP($D9,$C$5:$AJ$596,11,)=0,0,((VLOOKUP($D9,$C$5:$AJ$596,11,)/VLOOKUP($D9,$C$5:$AJ$596,4,))*$F9))</f>
        <v>0</v>
      </c>
      <c r="N9" s="90"/>
      <c r="O9" s="90">
        <f>IF(VLOOKUP($D9,$C$5:$AJ$596,13,)=0,0,((VLOOKUP($D9,$C$5:$AJ$596,13,)/VLOOKUP($D9,$C$5:$AJ$596,4,))*$F9))</f>
        <v>19666.918203232464</v>
      </c>
      <c r="P9" s="90">
        <f>IF(VLOOKUP($D9,$C$5:$AJ$596,14,)=0,0,((VLOOKUP($D9,$C$5:$AJ$596,14,)/VLOOKUP($D9,$C$5:$AJ$596,4,))*$F9))</f>
        <v>0</v>
      </c>
      <c r="Q9" s="90">
        <f>IF(VLOOKUP($D9,$C$5:$AJ$596,15,)=0,0,((VLOOKUP($D9,$C$5:$AJ$596,15,)/VLOOKUP($D9,$C$5:$AJ$596,4,))*$F9))</f>
        <v>0</v>
      </c>
      <c r="R9" s="90"/>
      <c r="S9" s="90">
        <f>IF(VLOOKUP($D9,$C$5:$AJ$596,17,)=0,0,((VLOOKUP($D9,$C$5:$AJ$596,17,)/VLOOKUP($D9,$C$5:$AJ$596,4,))*$F9))</f>
        <v>0</v>
      </c>
      <c r="T9" s="90">
        <f>IF(VLOOKUP($D9,$C$5:$AJ$596,18,)=0,0,((VLOOKUP($D9,$C$5:$AJ$596,18,)/VLOOKUP($D9,$C$5:$AJ$596,4,))*$F9))</f>
        <v>5305.5034272387993</v>
      </c>
      <c r="U9" s="90">
        <f>IF(VLOOKUP($D9,$C$5:$AJ$596,19,)=0,0,((VLOOKUP($D9,$C$5:$AJ$596,19,)/VLOOKUP($D9,$C$5:$AJ$596,4,))*$F9))</f>
        <v>0</v>
      </c>
      <c r="V9" s="90">
        <f>IF(VLOOKUP($D9,$C$5:$AJ$596,20,)=0,0,((VLOOKUP($D9,$C$5:$AJ$596,20,)/VLOOKUP($D9,$C$5:$AJ$596,4,))*$F9))</f>
        <v>4219.7498008356451</v>
      </c>
      <c r="W9" s="90">
        <f>IF(VLOOKUP($D9,$C$5:$AJ$596,21,)=0,0,((VLOOKUP($D9,$C$5:$AJ$596,21,)/VLOOKUP($D9,$C$5:$AJ$596,4,))*$F9))</f>
        <v>8202.2026302112208</v>
      </c>
      <c r="X9" s="90">
        <f>IF(VLOOKUP($D9,$C$5:$AJ$596,22,)=0,0,((VLOOKUP($D9,$C$5:$AJ$596,22,)/VLOOKUP($D9,$C$5:$AJ$596,4,))*$F9))</f>
        <v>1899.6668037426361</v>
      </c>
      <c r="Y9" s="90">
        <f>IF(VLOOKUP($D9,$C$5:$AJ$596,23,)=0,0,((VLOOKUP($D9,$C$5:$AJ$596,23,)/VLOOKUP($D9,$C$5:$AJ$596,4,))*$F9))</f>
        <v>3834.9554483692559</v>
      </c>
      <c r="Z9" s="90">
        <f>IF(VLOOKUP($D9,$C$5:$AJ$596,24,)=0,0,((VLOOKUP($D9,$C$5:$AJ$596,24,)/VLOOKUP($D9,$C$5:$AJ$596,4,))*$F9))</f>
        <v>2769.2094609246083</v>
      </c>
      <c r="AA9" s="90">
        <f>IF(VLOOKUP($D9,$C$5:$AJ$596,25,)=0,0,((VLOOKUP($D9,$C$5:$AJ$596,25,)/VLOOKUP($D9,$C$5:$AJ$596,4,))*$F9))</f>
        <v>2300.7339925736928</v>
      </c>
      <c r="AB9" s="90">
        <f>IF(VLOOKUP($D9,$C$5:$AJ$596,26,)=0,0,((VLOOKUP($D9,$C$5:$AJ$596,26,)/VLOOKUP($D9,$C$5:$AJ$596,4,))*$F9))</f>
        <v>1939.8112937383803</v>
      </c>
      <c r="AC9" s="90">
        <f>IF(VLOOKUP($D9,$C$5:$AJ$596,27,)=0,0,((VLOOKUP($D9,$C$5:$AJ$596,27,)/VLOOKUP($D9,$C$5:$AJ$596,4,))*$F9))</f>
        <v>1153.6810438932343</v>
      </c>
      <c r="AD9" s="90">
        <f>IF(VLOOKUP($D9,$C$5:$AJ$596,28,)=0,0,((VLOOKUP($D9,$C$5:$AJ$596,28,)/VLOOKUP($D9,$C$5:$AJ$596,4,))*$F9))</f>
        <v>2221.4839280150595</v>
      </c>
      <c r="AE9" s="90"/>
      <c r="AF9" s="90">
        <f>IF(VLOOKUP($D9,$C$5:$AJ$596,30,)=0,0,((VLOOKUP($D9,$C$5:$AJ$596,30,)/VLOOKUP($D9,$C$5:$AJ$596,4,))*$F9))</f>
        <v>0</v>
      </c>
      <c r="AG9" s="90"/>
      <c r="AH9" s="90">
        <f>IF(VLOOKUP($D9,$C$5:$AJ$596,32,)=0,0,((VLOOKUP($D9,$C$5:$AJ$596,32,)/VLOOKUP($D9,$C$5:$AJ$596,4,))*$F9))</f>
        <v>0</v>
      </c>
      <c r="AI9" s="90"/>
      <c r="AJ9" s="90">
        <f>IF(VLOOKUP($D9,$C$5:$AJ$596,34,)=0,0,((VLOOKUP($D9,$C$5:$AJ$596,34,)/VLOOKUP($D9,$C$5:$AJ$596,4,))*$F9))</f>
        <v>0</v>
      </c>
      <c r="AK9" s="90">
        <f>SUM(H9:AJ9)</f>
        <v>144369</v>
      </c>
      <c r="AL9" s="87" t="str">
        <f>IF(ABS(AK9-F9)&lt;1,"ok","err")</f>
        <v>ok</v>
      </c>
    </row>
    <row r="10" spans="1:38" x14ac:dyDescent="0.5">
      <c r="A10" s="88">
        <v>303</v>
      </c>
      <c r="B10" s="86" t="s">
        <v>1576</v>
      </c>
      <c r="C10" s="86" t="s">
        <v>447</v>
      </c>
      <c r="D10" s="86" t="s">
        <v>471</v>
      </c>
      <c r="F10" s="90">
        <f>'Jurisdictional Study'!F614</f>
        <v>105565478</v>
      </c>
      <c r="H10" s="90">
        <f>IF(VLOOKUP($D10,$C$5:$AJ$596,6,)=0,0,((VLOOKUP($D10,$C$5:$AJ$596,6,)/VLOOKUP($D10,$C$5:$AJ$596,4,))*$F10))</f>
        <v>66435040.540076084</v>
      </c>
      <c r="I10" s="90">
        <f>IF(VLOOKUP($D10,$C$5:$AJ$596,7,)=0,0,((VLOOKUP($D10,$C$5:$AJ$596,7,)/VLOOKUP($D10,$C$5:$AJ$596,4,))*$F10))</f>
        <v>0</v>
      </c>
      <c r="J10" s="90">
        <f>IF(VLOOKUP($D10,$C$5:$AJ$596,8,)=0,0,((VLOOKUP($D10,$C$5:$AJ$596,8,)/VLOOKUP($D10,$C$5:$AJ$596,4,))*$F10))</f>
        <v>0</v>
      </c>
      <c r="K10" s="90">
        <f>IF(VLOOKUP($D10,$C$5:$AJ$596,9,)=0,0,((VLOOKUP($D10,$C$5:$AJ$596,9,)/VLOOKUP($D10,$C$5:$AJ$596,4,))*$F10))</f>
        <v>0</v>
      </c>
      <c r="L10" s="90">
        <f>IF(VLOOKUP($D10,$C$5:$AJ$596,10,)=0,0,((VLOOKUP($D10,$C$5:$AJ$596,10,)/VLOOKUP($D10,$C$5:$AJ$596,4,))*$F10))</f>
        <v>0</v>
      </c>
      <c r="M10" s="90">
        <f>IF(VLOOKUP($D10,$C$5:$AJ$596,11,)=0,0,((VLOOKUP($D10,$C$5:$AJ$596,11,)/VLOOKUP($D10,$C$5:$AJ$596,4,))*$F10))</f>
        <v>0</v>
      </c>
      <c r="N10" s="90"/>
      <c r="O10" s="90">
        <f>IF(VLOOKUP($D10,$C$5:$AJ$596,13,)=0,0,((VLOOKUP($D10,$C$5:$AJ$596,13,)/VLOOKUP($D10,$C$5:$AJ$596,4,))*$F10))</f>
        <v>14380840.907058552</v>
      </c>
      <c r="P10" s="90">
        <f>IF(VLOOKUP($D10,$C$5:$AJ$596,14,)=0,0,((VLOOKUP($D10,$C$5:$AJ$596,14,)/VLOOKUP($D10,$C$5:$AJ$596,4,))*$F10))</f>
        <v>0</v>
      </c>
      <c r="Q10" s="90">
        <f>IF(VLOOKUP($D10,$C$5:$AJ$596,15,)=0,0,((VLOOKUP($D10,$C$5:$AJ$596,15,)/VLOOKUP($D10,$C$5:$AJ$596,4,))*$F10))</f>
        <v>0</v>
      </c>
      <c r="R10" s="90"/>
      <c r="S10" s="90">
        <f>IF(VLOOKUP($D10,$C$5:$AJ$596,17,)=0,0,((VLOOKUP($D10,$C$5:$AJ$596,17,)/VLOOKUP($D10,$C$5:$AJ$596,4,))*$F10))</f>
        <v>0</v>
      </c>
      <c r="T10" s="90">
        <f>IF(VLOOKUP($D10,$C$5:$AJ$596,18,)=0,0,((VLOOKUP($D10,$C$5:$AJ$596,18,)/VLOOKUP($D10,$C$5:$AJ$596,4,))*$F10))</f>
        <v>3879489.4009593618</v>
      </c>
      <c r="U10" s="90">
        <f>IF(VLOOKUP($D10,$C$5:$AJ$596,19,)=0,0,((VLOOKUP($D10,$C$5:$AJ$596,19,)/VLOOKUP($D10,$C$5:$AJ$596,4,))*$F10))</f>
        <v>0</v>
      </c>
      <c r="V10" s="90">
        <f>IF(VLOOKUP($D10,$C$5:$AJ$596,20,)=0,0,((VLOOKUP($D10,$C$5:$AJ$596,20,)/VLOOKUP($D10,$C$5:$AJ$596,4,))*$F10))</f>
        <v>3085564.8010696182</v>
      </c>
      <c r="W10" s="90">
        <f>IF(VLOOKUP($D10,$C$5:$AJ$596,21,)=0,0,((VLOOKUP($D10,$C$5:$AJ$596,21,)/VLOOKUP($D10,$C$5:$AJ$596,4,))*$F10))</f>
        <v>5997613.3471251084</v>
      </c>
      <c r="X10" s="90">
        <f>IF(VLOOKUP($D10,$C$5:$AJ$596,22,)=0,0,((VLOOKUP($D10,$C$5:$AJ$596,22,)/VLOOKUP($D10,$C$5:$AJ$596,4,))*$F10))</f>
        <v>1389074.068379109</v>
      </c>
      <c r="Y10" s="90">
        <f>IF(VLOOKUP($D10,$C$5:$AJ$596,23,)=0,0,((VLOOKUP($D10,$C$5:$AJ$596,23,)/VLOOKUP($D10,$C$5:$AJ$596,4,))*$F10))</f>
        <v>2804195.5337766754</v>
      </c>
      <c r="Z10" s="90">
        <f>IF(VLOOKUP($D10,$C$5:$AJ$596,24,)=0,0,((VLOOKUP($D10,$C$5:$AJ$596,24,)/VLOOKUP($D10,$C$5:$AJ$596,4,))*$F10))</f>
        <v>2024900.9165723154</v>
      </c>
      <c r="AA10" s="90">
        <f>IF(VLOOKUP($D10,$C$5:$AJ$596,25,)=0,0,((VLOOKUP($D10,$C$5:$AJ$596,25,)/VLOOKUP($D10,$C$5:$AJ$596,4,))*$F10))</f>
        <v>1682342.3565785612</v>
      </c>
      <c r="AB10" s="90">
        <f>IF(VLOOKUP($D10,$C$5:$AJ$596,26,)=0,0,((VLOOKUP($D10,$C$5:$AJ$596,26,)/VLOOKUP($D10,$C$5:$AJ$596,4,))*$F10))</f>
        <v>1418428.5161862348</v>
      </c>
      <c r="AC10" s="90">
        <f>IF(VLOOKUP($D10,$C$5:$AJ$596,27,)=0,0,((VLOOKUP($D10,$C$5:$AJ$596,27,)/VLOOKUP($D10,$C$5:$AJ$596,4,))*$F10))</f>
        <v>843594.47567087307</v>
      </c>
      <c r="AD10" s="90">
        <f>IF(VLOOKUP($D10,$C$5:$AJ$596,28,)=0,0,((VLOOKUP($D10,$C$5:$AJ$596,28,)/VLOOKUP($D10,$C$5:$AJ$596,4,))*$F10))</f>
        <v>1624393.1365475091</v>
      </c>
      <c r="AE10" s="90"/>
      <c r="AF10" s="90">
        <f>IF(VLOOKUP($D10,$C$5:$AJ$596,30,)=0,0,((VLOOKUP($D10,$C$5:$AJ$596,30,)/VLOOKUP($D10,$C$5:$AJ$596,4,))*$F10))</f>
        <v>0</v>
      </c>
      <c r="AG10" s="90"/>
      <c r="AH10" s="90">
        <f>IF(VLOOKUP($D10,$C$5:$AJ$596,32,)=0,0,((VLOOKUP($D10,$C$5:$AJ$596,32,)/VLOOKUP($D10,$C$5:$AJ$596,4,))*$F10))</f>
        <v>0</v>
      </c>
      <c r="AI10" s="90"/>
      <c r="AJ10" s="90">
        <f>IF(VLOOKUP($D10,$C$5:$AJ$596,34,)=0,0,((VLOOKUP($D10,$C$5:$AJ$596,34,)/VLOOKUP($D10,$C$5:$AJ$596,4,))*$F10))</f>
        <v>0</v>
      </c>
      <c r="AK10" s="90">
        <f>SUM(H10:AJ10)</f>
        <v>105565478</v>
      </c>
      <c r="AL10" s="87" t="str">
        <f>IF(ABS(AK10-F10)&lt;1,"ok","err")</f>
        <v>ok</v>
      </c>
    </row>
    <row r="11" spans="1:38" x14ac:dyDescent="0.5">
      <c r="AL11" s="87"/>
    </row>
    <row r="12" spans="1:38" x14ac:dyDescent="0.5">
      <c r="B12" s="86" t="s">
        <v>110</v>
      </c>
      <c r="C12" s="86" t="s">
        <v>111</v>
      </c>
      <c r="F12" s="91">
        <f t="shared" ref="F12:M12" si="0">SUM(F8:F10)</f>
        <v>105751399</v>
      </c>
      <c r="G12" s="91">
        <f t="shared" si="0"/>
        <v>0</v>
      </c>
      <c r="H12" s="91">
        <f t="shared" si="0"/>
        <v>66552045.354587995</v>
      </c>
      <c r="I12" s="91">
        <f t="shared" si="0"/>
        <v>0</v>
      </c>
      <c r="J12" s="91">
        <f t="shared" si="0"/>
        <v>0</v>
      </c>
      <c r="K12" s="91">
        <f t="shared" si="0"/>
        <v>0</v>
      </c>
      <c r="L12" s="91">
        <f t="shared" si="0"/>
        <v>0</v>
      </c>
      <c r="M12" s="91">
        <f t="shared" si="0"/>
        <v>0</v>
      </c>
      <c r="N12" s="91"/>
      <c r="O12" s="91">
        <f>SUM(O8:O10)</f>
        <v>14406168.318755407</v>
      </c>
      <c r="P12" s="91">
        <f>SUM(P8:P10)</f>
        <v>0</v>
      </c>
      <c r="Q12" s="91">
        <f>SUM(Q8:Q10)</f>
        <v>0</v>
      </c>
      <c r="R12" s="91"/>
      <c r="S12" s="91">
        <f t="shared" ref="S12:AD12" si="1">SUM(S8:S10)</f>
        <v>0</v>
      </c>
      <c r="T12" s="91">
        <f t="shared" si="1"/>
        <v>3886321.923888077</v>
      </c>
      <c r="U12" s="91">
        <f t="shared" si="1"/>
        <v>0</v>
      </c>
      <c r="V12" s="91">
        <f t="shared" si="1"/>
        <v>3090999.0709109358</v>
      </c>
      <c r="W12" s="91">
        <f t="shared" si="1"/>
        <v>6008176.2914913604</v>
      </c>
      <c r="X12" s="91">
        <f t="shared" si="1"/>
        <v>1391520.4935245255</v>
      </c>
      <c r="Y12" s="91">
        <f t="shared" si="1"/>
        <v>2809134.258516171</v>
      </c>
      <c r="Z12" s="91">
        <f t="shared" si="1"/>
        <v>2028467.1544224394</v>
      </c>
      <c r="AA12" s="91">
        <f t="shared" si="1"/>
        <v>1685305.283277737</v>
      </c>
      <c r="AB12" s="91">
        <f t="shared" si="1"/>
        <v>1420926.6401293469</v>
      </c>
      <c r="AC12" s="91">
        <f t="shared" si="1"/>
        <v>845080.20691069379</v>
      </c>
      <c r="AD12" s="91">
        <f t="shared" si="1"/>
        <v>1627254.0035853116</v>
      </c>
      <c r="AE12" s="91"/>
      <c r="AF12" s="91">
        <f>SUM(AF8:AF10)</f>
        <v>0</v>
      </c>
      <c r="AG12" s="91"/>
      <c r="AH12" s="91">
        <f>SUM(AH8:AH10)</f>
        <v>0</v>
      </c>
      <c r="AI12" s="91"/>
      <c r="AJ12" s="91">
        <f>SUM(AJ8:AJ10)</f>
        <v>0</v>
      </c>
      <c r="AK12" s="90">
        <f>SUM(H12:AJ12)</f>
        <v>105751398.99999999</v>
      </c>
      <c r="AL12" s="87" t="str">
        <f>IF(ABS(AK12-F12)&lt;1,"ok","err")</f>
        <v>ok</v>
      </c>
    </row>
    <row r="13" spans="1:38" x14ac:dyDescent="0.5">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0"/>
      <c r="AL13" s="87"/>
    </row>
    <row r="14" spans="1:38" x14ac:dyDescent="0.5">
      <c r="A14" s="22" t="s">
        <v>1472</v>
      </c>
      <c r="Y14" s="86"/>
      <c r="AL14" s="87"/>
    </row>
    <row r="15" spans="1:38" x14ac:dyDescent="0.5">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0"/>
      <c r="AL15" s="87"/>
    </row>
    <row r="16" spans="1:38" x14ac:dyDescent="0.5">
      <c r="B16" s="86" t="s">
        <v>1473</v>
      </c>
      <c r="C16" s="86" t="s">
        <v>1474</v>
      </c>
      <c r="D16" s="86" t="s">
        <v>706</v>
      </c>
      <c r="F16" s="91">
        <f>'Jurisdictional Study'!F628-531770487</f>
        <v>4761764495</v>
      </c>
      <c r="G16" s="91"/>
      <c r="H16" s="90">
        <f>IF(VLOOKUP($D16,$C$5:$AJ$596,6,)=0,0,((VLOOKUP($D16,$C$5:$AJ$596,6,)/VLOOKUP($D16,$C$5:$AJ$596,4,))*$F16))</f>
        <v>4761764495</v>
      </c>
      <c r="I16" s="90">
        <f>IF(VLOOKUP($D16,$C$5:$AJ$596,7,)=0,0,((VLOOKUP($D16,$C$5:$AJ$596,7,)/VLOOKUP($D16,$C$5:$AJ$596,4,))*$F16))</f>
        <v>0</v>
      </c>
      <c r="J16" s="90">
        <f>IF(VLOOKUP($D16,$C$5:$AJ$596,8,)=0,0,((VLOOKUP($D16,$C$5:$AJ$596,8,)/VLOOKUP($D16,$C$5:$AJ$596,4,))*$F16))</f>
        <v>0</v>
      </c>
      <c r="K16" s="90">
        <f>IF(VLOOKUP($D16,$C$5:$AJ$596,9,)=0,0,((VLOOKUP($D16,$C$5:$AJ$596,9,)/VLOOKUP($D16,$C$5:$AJ$596,4,))*$F16))</f>
        <v>0</v>
      </c>
      <c r="L16" s="90">
        <f>IF(VLOOKUP($D16,$C$5:$AJ$596,10,)=0,0,((VLOOKUP($D16,$C$5:$AJ$596,10,)/VLOOKUP($D16,$C$5:$AJ$596,4,))*$F16))</f>
        <v>0</v>
      </c>
      <c r="M16" s="90">
        <f>IF(VLOOKUP($D16,$C$5:$AJ$596,11,)=0,0,((VLOOKUP($D16,$C$5:$AJ$596,11,)/VLOOKUP($D16,$C$5:$AJ$596,4,))*$F16))</f>
        <v>0</v>
      </c>
      <c r="N16" s="90"/>
      <c r="O16" s="90">
        <f>IF(VLOOKUP($D16,$C$5:$AJ$596,13,)=0,0,((VLOOKUP($D16,$C$5:$AJ$596,13,)/VLOOKUP($D16,$C$5:$AJ$596,4,))*$F16))</f>
        <v>0</v>
      </c>
      <c r="P16" s="90">
        <f>IF(VLOOKUP($D16,$C$5:$AJ$596,14,)=0,0,((VLOOKUP($D16,$C$5:$AJ$596,14,)/VLOOKUP($D16,$C$5:$AJ$596,4,))*$F16))</f>
        <v>0</v>
      </c>
      <c r="Q16" s="90">
        <f>IF(VLOOKUP($D16,$C$5:$AJ$596,15,)=0,0,((VLOOKUP($D16,$C$5:$AJ$596,15,)/VLOOKUP($D16,$C$5:$AJ$596,4,))*$F16))</f>
        <v>0</v>
      </c>
      <c r="R16" s="90"/>
      <c r="S16" s="90">
        <f>IF(VLOOKUP($D16,$C$5:$AJ$596,17,)=0,0,((VLOOKUP($D16,$C$5:$AJ$596,17,)/VLOOKUP($D16,$C$5:$AJ$596,4,))*$F16))</f>
        <v>0</v>
      </c>
      <c r="T16" s="90">
        <f>IF(VLOOKUP($D16,$C$5:$AJ$596,18,)=0,0,((VLOOKUP($D16,$C$5:$AJ$596,18,)/VLOOKUP($D16,$C$5:$AJ$596,4,))*$F16))</f>
        <v>0</v>
      </c>
      <c r="U16" s="90">
        <f>IF(VLOOKUP($D16,$C$5:$AJ$596,19,)=0,0,((VLOOKUP($D16,$C$5:$AJ$596,19,)/VLOOKUP($D16,$C$5:$AJ$596,4,))*$F16))</f>
        <v>0</v>
      </c>
      <c r="V16" s="90">
        <f>IF(VLOOKUP($D16,$C$5:$AJ$596,20,)=0,0,((VLOOKUP($D16,$C$5:$AJ$596,20,)/VLOOKUP($D16,$C$5:$AJ$596,4,))*$F16))</f>
        <v>0</v>
      </c>
      <c r="W16" s="90">
        <f>IF(VLOOKUP($D16,$C$5:$AJ$596,21,)=0,0,((VLOOKUP($D16,$C$5:$AJ$596,21,)/VLOOKUP($D16,$C$5:$AJ$596,4,))*$F16))</f>
        <v>0</v>
      </c>
      <c r="X16" s="90">
        <f>IF(VLOOKUP($D16,$C$5:$AJ$596,22,)=0,0,((VLOOKUP($D16,$C$5:$AJ$596,22,)/VLOOKUP($D16,$C$5:$AJ$596,4,))*$F16))</f>
        <v>0</v>
      </c>
      <c r="Y16" s="90">
        <f>IF(VLOOKUP($D16,$C$5:$AJ$596,23,)=0,0,((VLOOKUP($D16,$C$5:$AJ$596,23,)/VLOOKUP($D16,$C$5:$AJ$596,4,))*$F16))</f>
        <v>0</v>
      </c>
      <c r="Z16" s="90">
        <f>IF(VLOOKUP($D16,$C$5:$AJ$596,24,)=0,0,((VLOOKUP($D16,$C$5:$AJ$596,24,)/VLOOKUP($D16,$C$5:$AJ$596,4,))*$F16))</f>
        <v>0</v>
      </c>
      <c r="AA16" s="90">
        <f>IF(VLOOKUP($D16,$C$5:$AJ$596,25,)=0,0,((VLOOKUP($D16,$C$5:$AJ$596,25,)/VLOOKUP($D16,$C$5:$AJ$596,4,))*$F16))</f>
        <v>0</v>
      </c>
      <c r="AB16" s="90">
        <f>IF(VLOOKUP($D16,$C$5:$AJ$596,26,)=0,0,((VLOOKUP($D16,$C$5:$AJ$596,26,)/VLOOKUP($D16,$C$5:$AJ$596,4,))*$F16))</f>
        <v>0</v>
      </c>
      <c r="AC16" s="90">
        <f>IF(VLOOKUP($D16,$C$5:$AJ$596,27,)=0,0,((VLOOKUP($D16,$C$5:$AJ$596,27,)/VLOOKUP($D16,$C$5:$AJ$596,4,))*$F16))</f>
        <v>0</v>
      </c>
      <c r="AD16" s="90">
        <f>IF(VLOOKUP($D16,$C$5:$AJ$596,28,)=0,0,((VLOOKUP($D16,$C$5:$AJ$596,28,)/VLOOKUP($D16,$C$5:$AJ$596,4,))*$F16))</f>
        <v>0</v>
      </c>
      <c r="AE16" s="90"/>
      <c r="AF16" s="90">
        <f>IF(VLOOKUP($D16,$C$5:$AJ$596,30,)=0,0,((VLOOKUP($D16,$C$5:$AJ$596,30,)/VLOOKUP($D16,$C$5:$AJ$596,4,))*$F16))</f>
        <v>0</v>
      </c>
      <c r="AG16" s="90"/>
      <c r="AH16" s="90">
        <f>IF(VLOOKUP($D16,$C$5:$AJ$596,32,)=0,0,((VLOOKUP($D16,$C$5:$AJ$596,32,)/VLOOKUP($D16,$C$5:$AJ$596,4,))*$F16))</f>
        <v>0</v>
      </c>
      <c r="AI16" s="90"/>
      <c r="AJ16" s="90">
        <f>IF(VLOOKUP($D16,$C$5:$AJ$596,34,)=0,0,((VLOOKUP($D16,$C$5:$AJ$596,34,)/VLOOKUP($D16,$C$5:$AJ$596,4,))*$F16))</f>
        <v>0</v>
      </c>
      <c r="AK16" s="90">
        <f>SUM(H16:AJ16)</f>
        <v>4761764495</v>
      </c>
      <c r="AL16" s="87" t="str">
        <f>IF(ABS(AK16-F16)&lt;1,"ok","err")</f>
        <v>ok</v>
      </c>
    </row>
    <row r="17" spans="1:38" x14ac:dyDescent="0.5">
      <c r="AL17" s="87"/>
    </row>
    <row r="18" spans="1:38" x14ac:dyDescent="0.5">
      <c r="A18" s="22" t="s">
        <v>1577</v>
      </c>
      <c r="Y18" s="86"/>
      <c r="AL18" s="87"/>
    </row>
    <row r="19" spans="1:38" x14ac:dyDescent="0.5">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0"/>
      <c r="AL19" s="87"/>
    </row>
    <row r="20" spans="1:38" x14ac:dyDescent="0.5">
      <c r="B20" s="86" t="s">
        <v>1578</v>
      </c>
      <c r="C20" s="86" t="s">
        <v>1579</v>
      </c>
      <c r="D20" s="86" t="s">
        <v>706</v>
      </c>
      <c r="F20" s="91">
        <f>'Jurisdictional Study'!F641-605822</f>
        <v>45726563</v>
      </c>
      <c r="G20" s="91"/>
      <c r="H20" s="90">
        <f>IF(VLOOKUP($D20,$C$5:$AJ$596,6,)=0,0,((VLOOKUP($D20,$C$5:$AJ$596,6,)/VLOOKUP($D20,$C$5:$AJ$596,4,))*$F20))</f>
        <v>45726563</v>
      </c>
      <c r="I20" s="90">
        <f>IF(VLOOKUP($D20,$C$5:$AJ$596,7,)=0,0,((VLOOKUP($D20,$C$5:$AJ$596,7,)/VLOOKUP($D20,$C$5:$AJ$596,4,))*$F20))</f>
        <v>0</v>
      </c>
      <c r="J20" s="90">
        <f>IF(VLOOKUP($D20,$C$5:$AJ$596,8,)=0,0,((VLOOKUP($D20,$C$5:$AJ$596,8,)/VLOOKUP($D20,$C$5:$AJ$596,4,))*$F20))</f>
        <v>0</v>
      </c>
      <c r="K20" s="90">
        <f>IF(VLOOKUP($D20,$C$5:$AJ$596,9,)=0,0,((VLOOKUP($D20,$C$5:$AJ$596,9,)/VLOOKUP($D20,$C$5:$AJ$596,4,))*$F20))</f>
        <v>0</v>
      </c>
      <c r="L20" s="90">
        <f>IF(VLOOKUP($D20,$C$5:$AJ$596,10,)=0,0,((VLOOKUP($D20,$C$5:$AJ$596,10,)/VLOOKUP($D20,$C$5:$AJ$596,4,))*$F20))</f>
        <v>0</v>
      </c>
      <c r="M20" s="90">
        <f>IF(VLOOKUP($D20,$C$5:$AJ$596,11,)=0,0,((VLOOKUP($D20,$C$5:$AJ$596,11,)/VLOOKUP($D20,$C$5:$AJ$596,4,))*$F20))</f>
        <v>0</v>
      </c>
      <c r="N20" s="90"/>
      <c r="O20" s="90">
        <f>IF(VLOOKUP($D20,$C$5:$AJ$596,13,)=0,0,((VLOOKUP($D20,$C$5:$AJ$596,13,)/VLOOKUP($D20,$C$5:$AJ$596,4,))*$F20))</f>
        <v>0</v>
      </c>
      <c r="P20" s="90">
        <f>IF(VLOOKUP($D20,$C$5:$AJ$596,14,)=0,0,((VLOOKUP($D20,$C$5:$AJ$596,14,)/VLOOKUP($D20,$C$5:$AJ$596,4,))*$F20))</f>
        <v>0</v>
      </c>
      <c r="Q20" s="90">
        <f>IF(VLOOKUP($D20,$C$5:$AJ$596,15,)=0,0,((VLOOKUP($D20,$C$5:$AJ$596,15,)/VLOOKUP($D20,$C$5:$AJ$596,4,))*$F20))</f>
        <v>0</v>
      </c>
      <c r="R20" s="90"/>
      <c r="S20" s="90">
        <f>IF(VLOOKUP($D20,$C$5:$AJ$596,17,)=0,0,((VLOOKUP($D20,$C$5:$AJ$596,17,)/VLOOKUP($D20,$C$5:$AJ$596,4,))*$F20))</f>
        <v>0</v>
      </c>
      <c r="T20" s="90">
        <f>IF(VLOOKUP($D20,$C$5:$AJ$596,18,)=0,0,((VLOOKUP($D20,$C$5:$AJ$596,18,)/VLOOKUP($D20,$C$5:$AJ$596,4,))*$F20))</f>
        <v>0</v>
      </c>
      <c r="U20" s="90">
        <f>IF(VLOOKUP($D20,$C$5:$AJ$596,19,)=0,0,((VLOOKUP($D20,$C$5:$AJ$596,19,)/VLOOKUP($D20,$C$5:$AJ$596,4,))*$F20))</f>
        <v>0</v>
      </c>
      <c r="V20" s="90">
        <f>IF(VLOOKUP($D20,$C$5:$AJ$596,20,)=0,0,((VLOOKUP($D20,$C$5:$AJ$596,20,)/VLOOKUP($D20,$C$5:$AJ$596,4,))*$F20))</f>
        <v>0</v>
      </c>
      <c r="W20" s="90">
        <f>IF(VLOOKUP($D20,$C$5:$AJ$596,21,)=0,0,((VLOOKUP($D20,$C$5:$AJ$596,21,)/VLOOKUP($D20,$C$5:$AJ$596,4,))*$F20))</f>
        <v>0</v>
      </c>
      <c r="X20" s="90">
        <f>IF(VLOOKUP($D20,$C$5:$AJ$596,22,)=0,0,((VLOOKUP($D20,$C$5:$AJ$596,22,)/VLOOKUP($D20,$C$5:$AJ$596,4,))*$F20))</f>
        <v>0</v>
      </c>
      <c r="Y20" s="90">
        <f>IF(VLOOKUP($D20,$C$5:$AJ$596,23,)=0,0,((VLOOKUP($D20,$C$5:$AJ$596,23,)/VLOOKUP($D20,$C$5:$AJ$596,4,))*$F20))</f>
        <v>0</v>
      </c>
      <c r="Z20" s="90">
        <f>IF(VLOOKUP($D20,$C$5:$AJ$596,24,)=0,0,((VLOOKUP($D20,$C$5:$AJ$596,24,)/VLOOKUP($D20,$C$5:$AJ$596,4,))*$F20))</f>
        <v>0</v>
      </c>
      <c r="AA20" s="90">
        <f>IF(VLOOKUP($D20,$C$5:$AJ$596,25,)=0,0,((VLOOKUP($D20,$C$5:$AJ$596,25,)/VLOOKUP($D20,$C$5:$AJ$596,4,))*$F20))</f>
        <v>0</v>
      </c>
      <c r="AB20" s="90">
        <f>IF(VLOOKUP($D20,$C$5:$AJ$596,26,)=0,0,((VLOOKUP($D20,$C$5:$AJ$596,26,)/VLOOKUP($D20,$C$5:$AJ$596,4,))*$F20))</f>
        <v>0</v>
      </c>
      <c r="AC20" s="90">
        <f>IF(VLOOKUP($D20,$C$5:$AJ$596,27,)=0,0,((VLOOKUP($D20,$C$5:$AJ$596,27,)/VLOOKUP($D20,$C$5:$AJ$596,4,))*$F20))</f>
        <v>0</v>
      </c>
      <c r="AD20" s="90">
        <f>IF(VLOOKUP($D20,$C$5:$AJ$596,28,)=0,0,((VLOOKUP($D20,$C$5:$AJ$596,28,)/VLOOKUP($D20,$C$5:$AJ$596,4,))*$F20))</f>
        <v>0</v>
      </c>
      <c r="AE20" s="90"/>
      <c r="AF20" s="90">
        <f>IF(VLOOKUP($D20,$C$5:$AJ$596,30,)=0,0,((VLOOKUP($D20,$C$5:$AJ$596,30,)/VLOOKUP($D20,$C$5:$AJ$596,4,))*$F20))</f>
        <v>0</v>
      </c>
      <c r="AG20" s="90"/>
      <c r="AH20" s="90">
        <f>IF(VLOOKUP($D20,$C$5:$AJ$596,32,)=0,0,((VLOOKUP($D20,$C$5:$AJ$596,32,)/VLOOKUP($D20,$C$5:$AJ$596,4,))*$F20))</f>
        <v>0</v>
      </c>
      <c r="AI20" s="90"/>
      <c r="AJ20" s="90">
        <f>IF(VLOOKUP($D20,$C$5:$AJ$596,34,)=0,0,((VLOOKUP($D20,$C$5:$AJ$596,34,)/VLOOKUP($D20,$C$5:$AJ$596,4,))*$F20))</f>
        <v>0</v>
      </c>
      <c r="AK20" s="90">
        <f>SUM(H20:AJ20)</f>
        <v>45726563</v>
      </c>
      <c r="AL20" s="87" t="str">
        <f>IF(ABS(AK20-F20)&lt;1,"ok","err")</f>
        <v>ok</v>
      </c>
    </row>
    <row r="21" spans="1:38" x14ac:dyDescent="0.5">
      <c r="AL21" s="87"/>
    </row>
    <row r="22" spans="1:38" x14ac:dyDescent="0.5">
      <c r="A22" s="22" t="s">
        <v>1475</v>
      </c>
      <c r="Y22" s="86"/>
      <c r="AL22" s="87"/>
    </row>
    <row r="23" spans="1:38" x14ac:dyDescent="0.5">
      <c r="D23" s="45"/>
      <c r="E23" s="45"/>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0"/>
      <c r="AL23" s="87"/>
    </row>
    <row r="24" spans="1:38" x14ac:dyDescent="0.5">
      <c r="B24" s="86" t="s">
        <v>1476</v>
      </c>
      <c r="C24" s="86" t="s">
        <v>1477</v>
      </c>
      <c r="D24" s="45" t="s">
        <v>706</v>
      </c>
      <c r="E24" s="45"/>
      <c r="F24" s="91">
        <f>'Jurisdictional Study'!F654-381804</f>
        <v>1044547033</v>
      </c>
      <c r="G24" s="91"/>
      <c r="H24" s="90">
        <f>IF(VLOOKUP($D24,$C$5:$AJ$596,6,)=0,0,((VLOOKUP($D24,$C$5:$AJ$596,6,)/VLOOKUP($D24,$C$5:$AJ$596,4,))*$F24))</f>
        <v>1044547033</v>
      </c>
      <c r="I24" s="90">
        <f>IF(VLOOKUP($D24,$C$5:$AJ$596,7,)=0,0,((VLOOKUP($D24,$C$5:$AJ$596,7,)/VLOOKUP($D24,$C$5:$AJ$596,4,))*$F24))</f>
        <v>0</v>
      </c>
      <c r="J24" s="90">
        <f>IF(VLOOKUP($D24,$C$5:$AJ$596,8,)=0,0,((VLOOKUP($D24,$C$5:$AJ$596,8,)/VLOOKUP($D24,$C$5:$AJ$596,4,))*$F24))</f>
        <v>0</v>
      </c>
      <c r="K24" s="90">
        <f>IF(VLOOKUP($D24,$C$5:$AJ$596,9,)=0,0,((VLOOKUP($D24,$C$5:$AJ$596,9,)/VLOOKUP($D24,$C$5:$AJ$596,4,))*$F24))</f>
        <v>0</v>
      </c>
      <c r="L24" s="90">
        <f>IF(VLOOKUP($D24,$C$5:$AJ$596,10,)=0,0,((VLOOKUP($D24,$C$5:$AJ$596,10,)/VLOOKUP($D24,$C$5:$AJ$596,4,))*$F24))</f>
        <v>0</v>
      </c>
      <c r="M24" s="90">
        <f>IF(VLOOKUP($D24,$C$5:$AJ$596,11,)=0,0,((VLOOKUP($D24,$C$5:$AJ$596,11,)/VLOOKUP($D24,$C$5:$AJ$596,4,))*$F24))</f>
        <v>0</v>
      </c>
      <c r="N24" s="90"/>
      <c r="O24" s="90">
        <f>IF(VLOOKUP($D24,$C$5:$AJ$596,13,)=0,0,((VLOOKUP($D24,$C$5:$AJ$596,13,)/VLOOKUP($D24,$C$5:$AJ$596,4,))*$F24))</f>
        <v>0</v>
      </c>
      <c r="P24" s="90">
        <f>IF(VLOOKUP($D24,$C$5:$AJ$596,14,)=0,0,((VLOOKUP($D24,$C$5:$AJ$596,14,)/VLOOKUP($D24,$C$5:$AJ$596,4,))*$F24))</f>
        <v>0</v>
      </c>
      <c r="Q24" s="90">
        <f>IF(VLOOKUP($D24,$C$5:$AJ$596,15,)=0,0,((VLOOKUP($D24,$C$5:$AJ$596,15,)/VLOOKUP($D24,$C$5:$AJ$596,4,))*$F24))</f>
        <v>0</v>
      </c>
      <c r="R24" s="90"/>
      <c r="S24" s="90">
        <f>IF(VLOOKUP($D24,$C$5:$AJ$596,17,)=0,0,((VLOOKUP($D24,$C$5:$AJ$596,17,)/VLOOKUP($D24,$C$5:$AJ$596,4,))*$F24))</f>
        <v>0</v>
      </c>
      <c r="T24" s="90">
        <f>IF(VLOOKUP($D24,$C$5:$AJ$596,18,)=0,0,((VLOOKUP($D24,$C$5:$AJ$596,18,)/VLOOKUP($D24,$C$5:$AJ$596,4,))*$F24))</f>
        <v>0</v>
      </c>
      <c r="U24" s="90">
        <f>IF(VLOOKUP($D24,$C$5:$AJ$596,19,)=0,0,((VLOOKUP($D24,$C$5:$AJ$596,19,)/VLOOKUP($D24,$C$5:$AJ$596,4,))*$F24))</f>
        <v>0</v>
      </c>
      <c r="V24" s="90">
        <f>IF(VLOOKUP($D24,$C$5:$AJ$596,20,)=0,0,((VLOOKUP($D24,$C$5:$AJ$596,20,)/VLOOKUP($D24,$C$5:$AJ$596,4,))*$F24))</f>
        <v>0</v>
      </c>
      <c r="W24" s="90">
        <f>IF(VLOOKUP($D24,$C$5:$AJ$596,21,)=0,0,((VLOOKUP($D24,$C$5:$AJ$596,21,)/VLOOKUP($D24,$C$5:$AJ$596,4,))*$F24))</f>
        <v>0</v>
      </c>
      <c r="X24" s="90">
        <f>IF(VLOOKUP($D24,$C$5:$AJ$596,22,)=0,0,((VLOOKUP($D24,$C$5:$AJ$596,22,)/VLOOKUP($D24,$C$5:$AJ$596,4,))*$F24))</f>
        <v>0</v>
      </c>
      <c r="Y24" s="90">
        <f>IF(VLOOKUP($D24,$C$5:$AJ$596,23,)=0,0,((VLOOKUP($D24,$C$5:$AJ$596,23,)/VLOOKUP($D24,$C$5:$AJ$596,4,))*$F24))</f>
        <v>0</v>
      </c>
      <c r="Z24" s="90">
        <f>IF(VLOOKUP($D24,$C$5:$AJ$596,24,)=0,0,((VLOOKUP($D24,$C$5:$AJ$596,24,)/VLOOKUP($D24,$C$5:$AJ$596,4,))*$F24))</f>
        <v>0</v>
      </c>
      <c r="AA24" s="90">
        <f>IF(VLOOKUP($D24,$C$5:$AJ$596,25,)=0,0,((VLOOKUP($D24,$C$5:$AJ$596,25,)/VLOOKUP($D24,$C$5:$AJ$596,4,))*$F24))</f>
        <v>0</v>
      </c>
      <c r="AB24" s="90">
        <f>IF(VLOOKUP($D24,$C$5:$AJ$596,26,)=0,0,((VLOOKUP($D24,$C$5:$AJ$596,26,)/VLOOKUP($D24,$C$5:$AJ$596,4,))*$F24))</f>
        <v>0</v>
      </c>
      <c r="AC24" s="90">
        <f>IF(VLOOKUP($D24,$C$5:$AJ$596,27,)=0,0,((VLOOKUP($D24,$C$5:$AJ$596,27,)/VLOOKUP($D24,$C$5:$AJ$596,4,))*$F24))</f>
        <v>0</v>
      </c>
      <c r="AD24" s="90">
        <f>IF(VLOOKUP($D24,$C$5:$AJ$596,28,)=0,0,((VLOOKUP($D24,$C$5:$AJ$596,28,)/VLOOKUP($D24,$C$5:$AJ$596,4,))*$F24))</f>
        <v>0</v>
      </c>
      <c r="AE24" s="90"/>
      <c r="AF24" s="90">
        <f>IF(VLOOKUP($D24,$C$5:$AJ$596,30,)=0,0,((VLOOKUP($D24,$C$5:$AJ$596,30,)/VLOOKUP($D24,$C$5:$AJ$596,4,))*$F24))</f>
        <v>0</v>
      </c>
      <c r="AG24" s="90"/>
      <c r="AH24" s="90">
        <f>IF(VLOOKUP($D24,$C$5:$AJ$596,32,)=0,0,((VLOOKUP($D24,$C$5:$AJ$596,32,)/VLOOKUP($D24,$C$5:$AJ$596,4,))*$F24))</f>
        <v>0</v>
      </c>
      <c r="AI24" s="90"/>
      <c r="AJ24" s="90">
        <f>IF(VLOOKUP($D24,$C$5:$AJ$596,34,)=0,0,((VLOOKUP($D24,$C$5:$AJ$596,34,)/VLOOKUP($D24,$C$5:$AJ$596,4,))*$F24))</f>
        <v>0</v>
      </c>
      <c r="AK24" s="90">
        <f>SUM(H24:AJ24)</f>
        <v>1044547033</v>
      </c>
      <c r="AL24" s="87" t="str">
        <f>IF(ABS(AK24-F24)&lt;1,"ok","err")</f>
        <v>ok</v>
      </c>
    </row>
    <row r="25" spans="1:38" x14ac:dyDescent="0.5">
      <c r="D25" s="314"/>
      <c r="E25" s="45"/>
      <c r="AL25" s="87"/>
    </row>
    <row r="26" spans="1:38" x14ac:dyDescent="0.5">
      <c r="B26" s="23" t="s">
        <v>1478</v>
      </c>
      <c r="C26" s="86" t="s">
        <v>1479</v>
      </c>
      <c r="D26" s="45"/>
      <c r="E26" s="45"/>
      <c r="F26" s="91">
        <f>F16+F20+F24</f>
        <v>5852038091</v>
      </c>
      <c r="G26" s="91"/>
      <c r="H26" s="91">
        <f t="shared" ref="H26:AJ26" si="2">H16+H20+H24</f>
        <v>5852038091</v>
      </c>
      <c r="I26" s="91">
        <f t="shared" si="2"/>
        <v>0</v>
      </c>
      <c r="J26" s="91">
        <f t="shared" si="2"/>
        <v>0</v>
      </c>
      <c r="K26" s="91">
        <f t="shared" si="2"/>
        <v>0</v>
      </c>
      <c r="L26" s="91">
        <f t="shared" si="2"/>
        <v>0</v>
      </c>
      <c r="M26" s="91">
        <f t="shared" si="2"/>
        <v>0</v>
      </c>
      <c r="N26" s="91"/>
      <c r="O26" s="91">
        <f t="shared" si="2"/>
        <v>0</v>
      </c>
      <c r="P26" s="91">
        <f>P16+P20+P24</f>
        <v>0</v>
      </c>
      <c r="Q26" s="91">
        <f>Q16+Q20+Q24</f>
        <v>0</v>
      </c>
      <c r="R26" s="91"/>
      <c r="S26" s="91">
        <f t="shared" si="2"/>
        <v>0</v>
      </c>
      <c r="T26" s="91"/>
      <c r="U26" s="91">
        <f t="shared" si="2"/>
        <v>0</v>
      </c>
      <c r="V26" s="91">
        <f t="shared" si="2"/>
        <v>0</v>
      </c>
      <c r="W26" s="91"/>
      <c r="X26" s="91"/>
      <c r="Y26" s="91"/>
      <c r="Z26" s="91">
        <f t="shared" si="2"/>
        <v>0</v>
      </c>
      <c r="AA26" s="91">
        <f t="shared" si="2"/>
        <v>0</v>
      </c>
      <c r="AB26" s="91"/>
      <c r="AC26" s="91"/>
      <c r="AD26" s="91">
        <f t="shared" si="2"/>
        <v>0</v>
      </c>
      <c r="AE26" s="91"/>
      <c r="AF26" s="91">
        <f t="shared" si="2"/>
        <v>0</v>
      </c>
      <c r="AG26" s="91"/>
      <c r="AH26" s="91">
        <f t="shared" si="2"/>
        <v>0</v>
      </c>
      <c r="AI26" s="91"/>
      <c r="AJ26" s="91">
        <f t="shared" si="2"/>
        <v>0</v>
      </c>
      <c r="AK26" s="90">
        <f>SUM(H26:AJ26)</f>
        <v>5852038091</v>
      </c>
      <c r="AL26" s="87" t="str">
        <f>IF(ABS(AK26-F26)&lt;1,"ok","err")</f>
        <v>ok</v>
      </c>
    </row>
    <row r="27" spans="1:38" x14ac:dyDescent="0.5">
      <c r="D27" s="45"/>
      <c r="E27" s="45"/>
      <c r="AL27" s="87"/>
    </row>
    <row r="28" spans="1:38" x14ac:dyDescent="0.5">
      <c r="A28" s="22" t="s">
        <v>439</v>
      </c>
      <c r="D28" s="371"/>
      <c r="E28" s="71"/>
      <c r="Y28" s="86"/>
      <c r="AL28" s="87"/>
    </row>
    <row r="29" spans="1:38" x14ac:dyDescent="0.5">
      <c r="A29" s="92"/>
      <c r="B29" s="86" t="s">
        <v>1580</v>
      </c>
      <c r="C29" s="86" t="s">
        <v>440</v>
      </c>
      <c r="D29" s="348" t="s">
        <v>470</v>
      </c>
      <c r="E29" s="50"/>
      <c r="F29" s="89">
        <f>'Jurisdictional Study'!F673-243299</f>
        <v>1258529222</v>
      </c>
      <c r="G29" s="89"/>
      <c r="H29" s="90">
        <f>IF(VLOOKUP($D29,$C$5:$AJ$596,6,)=0,0,((VLOOKUP($D29,$C$5:$AJ$596,6,)/VLOOKUP($D29,$C$5:$AJ$596,4,))*$F29))</f>
        <v>0</v>
      </c>
      <c r="I29" s="90">
        <f>IF(VLOOKUP($D29,$C$5:$AJ$596,7,)=0,0,((VLOOKUP($D29,$C$5:$AJ$596,7,)/VLOOKUP($D29,$C$5:$AJ$596,4,))*$F29))</f>
        <v>0</v>
      </c>
      <c r="J29" s="90">
        <f>IF(VLOOKUP($D29,$C$5:$AJ$596,8,)=0,0,((VLOOKUP($D29,$C$5:$AJ$596,8,)/VLOOKUP($D29,$C$5:$AJ$596,4,))*$F29))</f>
        <v>0</v>
      </c>
      <c r="K29" s="90">
        <f>IF(VLOOKUP($D29,$C$5:$AJ$596,9,)=0,0,((VLOOKUP($D29,$C$5:$AJ$596,9,)/VLOOKUP($D29,$C$5:$AJ$596,4,))*$F29))</f>
        <v>0</v>
      </c>
      <c r="L29" s="90">
        <f>IF(VLOOKUP($D29,$C$5:$AJ$596,10,)=0,0,((VLOOKUP($D29,$C$5:$AJ$596,10,)/VLOOKUP($D29,$C$5:$AJ$596,4,))*$F29))</f>
        <v>0</v>
      </c>
      <c r="M29" s="90">
        <f>IF(VLOOKUP($D29,$C$5:$AJ$596,11,)=0,0,((VLOOKUP($D29,$C$5:$AJ$596,11,)/VLOOKUP($D29,$C$5:$AJ$596,4,))*$F29))</f>
        <v>0</v>
      </c>
      <c r="N29" s="90"/>
      <c r="O29" s="90">
        <f>IF(VLOOKUP($D29,$C$5:$AJ$596,13,)=0,0,((VLOOKUP($D29,$C$5:$AJ$596,13,)/VLOOKUP($D29,$C$5:$AJ$596,4,))*$F29))</f>
        <v>1258529222</v>
      </c>
      <c r="P29" s="90">
        <f>IF(VLOOKUP($D29,$C$5:$AJ$596,14,)=0,0,((VLOOKUP($D29,$C$5:$AJ$596,14,)/VLOOKUP($D29,$C$5:$AJ$596,4,))*$F29))</f>
        <v>0</v>
      </c>
      <c r="Q29" s="90">
        <f>IF(VLOOKUP($D29,$C$5:$AJ$596,15,)=0,0,((VLOOKUP($D29,$C$5:$AJ$596,15,)/VLOOKUP($D29,$C$5:$AJ$596,4,))*$F29))</f>
        <v>0</v>
      </c>
      <c r="R29" s="90"/>
      <c r="S29" s="90">
        <f>IF(VLOOKUP($D29,$C$5:$AJ$596,17,)=0,0,((VLOOKUP($D29,$C$5:$AJ$596,17,)/VLOOKUP($D29,$C$5:$AJ$596,4,))*$F29))</f>
        <v>0</v>
      </c>
      <c r="T29" s="90">
        <f>IF(VLOOKUP($D29,$C$5:$AJ$596,18,)=0,0,((VLOOKUP($D29,$C$5:$AJ$596,18,)/VLOOKUP($D29,$C$5:$AJ$596,4,))*$F29))</f>
        <v>0</v>
      </c>
      <c r="U29" s="90">
        <f>IF(VLOOKUP($D29,$C$5:$AJ$596,19,)=0,0,((VLOOKUP($D29,$C$5:$AJ$596,19,)/VLOOKUP($D29,$C$5:$AJ$596,4,))*$F29))</f>
        <v>0</v>
      </c>
      <c r="V29" s="90">
        <f>IF(VLOOKUP($D29,$C$5:$AJ$596,20,)=0,0,((VLOOKUP($D29,$C$5:$AJ$596,20,)/VLOOKUP($D29,$C$5:$AJ$596,4,))*$F29))</f>
        <v>0</v>
      </c>
      <c r="W29" s="90">
        <f>IF(VLOOKUP($D29,$C$5:$AJ$596,21,)=0,0,((VLOOKUP($D29,$C$5:$AJ$596,21,)/VLOOKUP($D29,$C$5:$AJ$596,4,))*$F29))</f>
        <v>0</v>
      </c>
      <c r="X29" s="90">
        <f>IF(VLOOKUP($D29,$C$5:$AJ$596,22,)=0,0,((VLOOKUP($D29,$C$5:$AJ$596,22,)/VLOOKUP($D29,$C$5:$AJ$596,4,))*$F29))</f>
        <v>0</v>
      </c>
      <c r="Y29" s="90">
        <f>IF(VLOOKUP($D29,$C$5:$AJ$596,23,)=0,0,((VLOOKUP($D29,$C$5:$AJ$596,23,)/VLOOKUP($D29,$C$5:$AJ$596,4,))*$F29))</f>
        <v>0</v>
      </c>
      <c r="Z29" s="90">
        <f>IF(VLOOKUP($D29,$C$5:$AJ$596,24,)=0,0,((VLOOKUP($D29,$C$5:$AJ$596,24,)/VLOOKUP($D29,$C$5:$AJ$596,4,))*$F29))</f>
        <v>0</v>
      </c>
      <c r="AA29" s="90">
        <f>IF(VLOOKUP($D29,$C$5:$AJ$596,25,)=0,0,((VLOOKUP($D29,$C$5:$AJ$596,25,)/VLOOKUP($D29,$C$5:$AJ$596,4,))*$F29))</f>
        <v>0</v>
      </c>
      <c r="AB29" s="90">
        <f>IF(VLOOKUP($D29,$C$5:$AJ$596,26,)=0,0,((VLOOKUP($D29,$C$5:$AJ$596,26,)/VLOOKUP($D29,$C$5:$AJ$596,4,))*$F29))</f>
        <v>0</v>
      </c>
      <c r="AC29" s="90">
        <f>IF(VLOOKUP($D29,$C$5:$AJ$596,27,)=0,0,((VLOOKUP($D29,$C$5:$AJ$596,27,)/VLOOKUP($D29,$C$5:$AJ$596,4,))*$F29))</f>
        <v>0</v>
      </c>
      <c r="AD29" s="90">
        <f>IF(VLOOKUP($D29,$C$5:$AJ$596,28,)=0,0,((VLOOKUP($D29,$C$5:$AJ$596,28,)/VLOOKUP($D29,$C$5:$AJ$596,4,))*$F29))</f>
        <v>0</v>
      </c>
      <c r="AE29" s="90"/>
      <c r="AF29" s="90">
        <f>IF(VLOOKUP($D29,$C$5:$AJ$596,30,)=0,0,((VLOOKUP($D29,$C$5:$AJ$596,30,)/VLOOKUP($D29,$C$5:$AJ$596,4,))*$F29))</f>
        <v>0</v>
      </c>
      <c r="AG29" s="90"/>
      <c r="AH29" s="90">
        <f>IF(VLOOKUP($D29,$C$5:$AJ$596,32,)=0,0,((VLOOKUP($D29,$C$5:$AJ$596,32,)/VLOOKUP($D29,$C$5:$AJ$596,4,))*$F29))</f>
        <v>0</v>
      </c>
      <c r="AI29" s="90"/>
      <c r="AJ29" s="90">
        <f>IF(VLOOKUP($D29,$C$5:$AJ$596,34,)=0,0,((VLOOKUP($D29,$C$5:$AJ$596,34,)/VLOOKUP($D29,$C$5:$AJ$596,4,))*$F29))</f>
        <v>0</v>
      </c>
      <c r="AK29" s="90">
        <f>SUM(H29:AJ29)</f>
        <v>1258529222</v>
      </c>
      <c r="AL29" s="87" t="str">
        <f>IF(ABS(AK29-F29)&lt;1,"ok","err")</f>
        <v>ok</v>
      </c>
    </row>
    <row r="30" spans="1:38" x14ac:dyDescent="0.5">
      <c r="A30" s="92"/>
      <c r="B30" s="86" t="s">
        <v>1581</v>
      </c>
      <c r="C30" s="86" t="s">
        <v>1295</v>
      </c>
      <c r="D30" s="348" t="s">
        <v>470</v>
      </c>
      <c r="E30" s="50"/>
      <c r="F30" s="90">
        <f>'Jurisdictional Study'!F693</f>
        <v>8230429</v>
      </c>
      <c r="G30" s="89"/>
      <c r="H30" s="90">
        <f>IF(VLOOKUP($D30,$C$5:$AJ$596,6,)=0,0,((VLOOKUP($D30,$C$5:$AJ$596,6,)/VLOOKUP($D30,$C$5:$AJ$596,4,))*$F30))</f>
        <v>0</v>
      </c>
      <c r="I30" s="90">
        <f>IF(VLOOKUP($D30,$C$5:$AJ$596,7,)=0,0,((VLOOKUP($D30,$C$5:$AJ$596,7,)/VLOOKUP($D30,$C$5:$AJ$596,4,))*$F30))</f>
        <v>0</v>
      </c>
      <c r="J30" s="90">
        <f>IF(VLOOKUP($D30,$C$5:$AJ$596,8,)=0,0,((VLOOKUP($D30,$C$5:$AJ$596,8,)/VLOOKUP($D30,$C$5:$AJ$596,4,))*$F30))</f>
        <v>0</v>
      </c>
      <c r="K30" s="90">
        <f>IF(VLOOKUP($D30,$C$5:$AJ$596,9,)=0,0,((VLOOKUP($D30,$C$5:$AJ$596,9,)/VLOOKUP($D30,$C$5:$AJ$596,4,))*$F30))</f>
        <v>0</v>
      </c>
      <c r="L30" s="90">
        <f>IF(VLOOKUP($D30,$C$5:$AJ$596,10,)=0,0,((VLOOKUP($D30,$C$5:$AJ$596,10,)/VLOOKUP($D30,$C$5:$AJ$596,4,))*$F30))</f>
        <v>0</v>
      </c>
      <c r="M30" s="90">
        <f>IF(VLOOKUP($D30,$C$5:$AJ$596,11,)=0,0,((VLOOKUP($D30,$C$5:$AJ$596,11,)/VLOOKUP($D30,$C$5:$AJ$596,4,))*$F30))</f>
        <v>0</v>
      </c>
      <c r="N30" s="90"/>
      <c r="O30" s="90">
        <f>IF(VLOOKUP($D30,$C$5:$AJ$596,13,)=0,0,((VLOOKUP($D30,$C$5:$AJ$596,13,)/VLOOKUP($D30,$C$5:$AJ$596,4,))*$F30))</f>
        <v>8230429</v>
      </c>
      <c r="P30" s="90">
        <f>IF(VLOOKUP($D30,$C$5:$AJ$596,14,)=0,0,((VLOOKUP($D30,$C$5:$AJ$596,14,)/VLOOKUP($D30,$C$5:$AJ$596,4,))*$F30))</f>
        <v>0</v>
      </c>
      <c r="Q30" s="90">
        <f>IF(VLOOKUP($D30,$C$5:$AJ$596,15,)=0,0,((VLOOKUP($D30,$C$5:$AJ$596,15,)/VLOOKUP($D30,$C$5:$AJ$596,4,))*$F30))</f>
        <v>0</v>
      </c>
      <c r="R30" s="90"/>
      <c r="S30" s="90">
        <f>IF(VLOOKUP($D30,$C$5:$AJ$596,17,)=0,0,((VLOOKUP($D30,$C$5:$AJ$596,17,)/VLOOKUP($D30,$C$5:$AJ$596,4,))*$F30))</f>
        <v>0</v>
      </c>
      <c r="T30" s="90">
        <f>IF(VLOOKUP($D30,$C$5:$AJ$596,18,)=0,0,((VLOOKUP($D30,$C$5:$AJ$596,18,)/VLOOKUP($D30,$C$5:$AJ$596,4,))*$F30))</f>
        <v>0</v>
      </c>
      <c r="U30" s="90">
        <f>IF(VLOOKUP($D30,$C$5:$AJ$596,19,)=0,0,((VLOOKUP($D30,$C$5:$AJ$596,19,)/VLOOKUP($D30,$C$5:$AJ$596,4,))*$F30))</f>
        <v>0</v>
      </c>
      <c r="V30" s="90">
        <f>IF(VLOOKUP($D30,$C$5:$AJ$596,20,)=0,0,((VLOOKUP($D30,$C$5:$AJ$596,20,)/VLOOKUP($D30,$C$5:$AJ$596,4,))*$F30))</f>
        <v>0</v>
      </c>
      <c r="W30" s="90">
        <f>IF(VLOOKUP($D30,$C$5:$AJ$596,21,)=0,0,((VLOOKUP($D30,$C$5:$AJ$596,21,)/VLOOKUP($D30,$C$5:$AJ$596,4,))*$F30))</f>
        <v>0</v>
      </c>
      <c r="X30" s="90">
        <f>IF(VLOOKUP($D30,$C$5:$AJ$596,22,)=0,0,((VLOOKUP($D30,$C$5:$AJ$596,22,)/VLOOKUP($D30,$C$5:$AJ$596,4,))*$F30))</f>
        <v>0</v>
      </c>
      <c r="Y30" s="90">
        <f>IF(VLOOKUP($D30,$C$5:$AJ$596,23,)=0,0,((VLOOKUP($D30,$C$5:$AJ$596,23,)/VLOOKUP($D30,$C$5:$AJ$596,4,))*$F30))</f>
        <v>0</v>
      </c>
      <c r="Z30" s="90">
        <f>IF(VLOOKUP($D30,$C$5:$AJ$596,24,)=0,0,((VLOOKUP($D30,$C$5:$AJ$596,24,)/VLOOKUP($D30,$C$5:$AJ$596,4,))*$F30))</f>
        <v>0</v>
      </c>
      <c r="AA30" s="90">
        <f>IF(VLOOKUP($D30,$C$5:$AJ$596,25,)=0,0,((VLOOKUP($D30,$C$5:$AJ$596,25,)/VLOOKUP($D30,$C$5:$AJ$596,4,))*$F30))</f>
        <v>0</v>
      </c>
      <c r="AB30" s="90">
        <f>IF(VLOOKUP($D30,$C$5:$AJ$596,26,)=0,0,((VLOOKUP($D30,$C$5:$AJ$596,26,)/VLOOKUP($D30,$C$5:$AJ$596,4,))*$F30))</f>
        <v>0</v>
      </c>
      <c r="AC30" s="90">
        <f>IF(VLOOKUP($D30,$C$5:$AJ$596,27,)=0,0,((VLOOKUP($D30,$C$5:$AJ$596,27,)/VLOOKUP($D30,$C$5:$AJ$596,4,))*$F30))</f>
        <v>0</v>
      </c>
      <c r="AD30" s="90">
        <f>IF(VLOOKUP($D30,$C$5:$AJ$596,28,)=0,0,((VLOOKUP($D30,$C$5:$AJ$596,28,)/VLOOKUP($D30,$C$5:$AJ$596,4,))*$F30))</f>
        <v>0</v>
      </c>
      <c r="AE30" s="90"/>
      <c r="AF30" s="90">
        <f>IF(VLOOKUP($D30,$C$5:$AJ$596,30,)=0,0,((VLOOKUP($D30,$C$5:$AJ$596,30,)/VLOOKUP($D30,$C$5:$AJ$596,4,))*$F30))</f>
        <v>0</v>
      </c>
      <c r="AG30" s="90"/>
      <c r="AH30" s="90">
        <f>IF(VLOOKUP($D30,$C$5:$AJ$596,32,)=0,0,((VLOOKUP($D30,$C$5:$AJ$596,32,)/VLOOKUP($D30,$C$5:$AJ$596,4,))*$F30))</f>
        <v>0</v>
      </c>
      <c r="AI30" s="90"/>
      <c r="AJ30" s="90">
        <f>IF(VLOOKUP($D30,$C$5:$AJ$596,34,)=0,0,((VLOOKUP($D30,$C$5:$AJ$596,34,)/VLOOKUP($D30,$C$5:$AJ$596,4,))*$F30))</f>
        <v>0</v>
      </c>
      <c r="AK30" s="90">
        <f>SUM(H30:AJ30)</f>
        <v>8230429</v>
      </c>
      <c r="AL30" s="87" t="str">
        <f>IF(ABS(AK30-F30)&lt;1,"ok","err")</f>
        <v>ok</v>
      </c>
    </row>
    <row r="31" spans="1:38" x14ac:dyDescent="0.5">
      <c r="D31" s="348"/>
      <c r="E31" s="50"/>
      <c r="Y31" s="86"/>
      <c r="AK31" s="90"/>
      <c r="AL31" s="87"/>
    </row>
    <row r="32" spans="1:38" x14ac:dyDescent="0.5">
      <c r="B32" s="86" t="s">
        <v>443</v>
      </c>
      <c r="C32" s="86" t="s">
        <v>469</v>
      </c>
      <c r="D32" s="348"/>
      <c r="E32" s="50"/>
      <c r="F32" s="91">
        <f>SUM(F29:F31)</f>
        <v>1266759651</v>
      </c>
      <c r="G32" s="91"/>
      <c r="H32" s="91">
        <f t="shared" ref="H32:M32" si="3">SUM(H29:H31)</f>
        <v>0</v>
      </c>
      <c r="I32" s="91">
        <f t="shared" si="3"/>
        <v>0</v>
      </c>
      <c r="J32" s="91">
        <f t="shared" si="3"/>
        <v>0</v>
      </c>
      <c r="K32" s="91">
        <f t="shared" si="3"/>
        <v>0</v>
      </c>
      <c r="L32" s="91">
        <f t="shared" si="3"/>
        <v>0</v>
      </c>
      <c r="M32" s="91">
        <f t="shared" si="3"/>
        <v>0</v>
      </c>
      <c r="N32" s="91"/>
      <c r="O32" s="91">
        <f>SUM(O29:O31)</f>
        <v>1266759651</v>
      </c>
      <c r="P32" s="91">
        <f>SUM(P29:P31)</f>
        <v>0</v>
      </c>
      <c r="Q32" s="91">
        <f>SUM(Q29:Q31)</f>
        <v>0</v>
      </c>
      <c r="R32" s="91"/>
      <c r="S32" s="91">
        <f t="shared" ref="S32:AD32" si="4">SUM(S29:S31)</f>
        <v>0</v>
      </c>
      <c r="T32" s="91">
        <f t="shared" si="4"/>
        <v>0</v>
      </c>
      <c r="U32" s="91">
        <f t="shared" si="4"/>
        <v>0</v>
      </c>
      <c r="V32" s="91">
        <f t="shared" si="4"/>
        <v>0</v>
      </c>
      <c r="W32" s="91">
        <f t="shared" si="4"/>
        <v>0</v>
      </c>
      <c r="X32" s="91">
        <f t="shared" si="4"/>
        <v>0</v>
      </c>
      <c r="Y32" s="91">
        <f t="shared" si="4"/>
        <v>0</v>
      </c>
      <c r="Z32" s="91">
        <f t="shared" si="4"/>
        <v>0</v>
      </c>
      <c r="AA32" s="91">
        <f t="shared" si="4"/>
        <v>0</v>
      </c>
      <c r="AB32" s="91">
        <f t="shared" si="4"/>
        <v>0</v>
      </c>
      <c r="AC32" s="91">
        <f t="shared" si="4"/>
        <v>0</v>
      </c>
      <c r="AD32" s="91">
        <f t="shared" si="4"/>
        <v>0</v>
      </c>
      <c r="AE32" s="91"/>
      <c r="AF32" s="91">
        <f>SUM(AF29:AF31)</f>
        <v>0</v>
      </c>
      <c r="AG32" s="91"/>
      <c r="AH32" s="91">
        <f>SUM(AH29:AH31)</f>
        <v>0</v>
      </c>
      <c r="AI32" s="91"/>
      <c r="AJ32" s="91">
        <f>SUM(AJ29:AJ31)</f>
        <v>0</v>
      </c>
      <c r="AK32" s="90">
        <f>SUM(H32:AJ32)</f>
        <v>1266759651</v>
      </c>
      <c r="AL32" s="87" t="str">
        <f>IF(ABS(AK32-F32)&lt;1,"ok","err")</f>
        <v>ok</v>
      </c>
    </row>
    <row r="33" spans="1:38" x14ac:dyDescent="0.5">
      <c r="D33" s="348"/>
      <c r="E33" s="50"/>
      <c r="Y33" s="86"/>
      <c r="AL33" s="87"/>
    </row>
    <row r="34" spans="1:38" x14ac:dyDescent="0.5">
      <c r="A34" s="22" t="s">
        <v>112</v>
      </c>
      <c r="D34" s="50"/>
      <c r="E34" s="50"/>
      <c r="Y34" s="86"/>
      <c r="AL34" s="87"/>
    </row>
    <row r="35" spans="1:38" x14ac:dyDescent="0.5">
      <c r="A35" s="92"/>
      <c r="B35" s="93" t="s">
        <v>1582</v>
      </c>
      <c r="C35" s="86" t="s">
        <v>113</v>
      </c>
      <c r="D35" s="348" t="s">
        <v>114</v>
      </c>
      <c r="E35" s="50"/>
      <c r="F35" s="89">
        <f>'Jurisdictional Study'!F701+'Jurisdictional Study'!F702+'Jurisdictional Study'!F703+'Jurisdictional Study'!F737+'Jurisdictional Study'!F738+'Jurisdictional Study'!F739</f>
        <v>341731104</v>
      </c>
      <c r="H35" s="90">
        <f t="shared" ref="H35:H43" si="5">IF(VLOOKUP($D35,$C$5:$AJ$596,6,)=0,0,((VLOOKUP($D35,$C$5:$AJ$596,6,)/VLOOKUP($D35,$C$5:$AJ$596,4,))*$F35))</f>
        <v>0</v>
      </c>
      <c r="I35" s="90">
        <f t="shared" ref="I35:I43" si="6">IF(VLOOKUP($D35,$C$5:$AJ$596,7,)=0,0,((VLOOKUP($D35,$C$5:$AJ$596,7,)/VLOOKUP($D35,$C$5:$AJ$596,4,))*$F35))</f>
        <v>0</v>
      </c>
      <c r="J35" s="90">
        <f t="shared" ref="J35:J43" si="7">IF(VLOOKUP($D35,$C$5:$AJ$596,8,)=0,0,((VLOOKUP($D35,$C$5:$AJ$596,8,)/VLOOKUP($D35,$C$5:$AJ$596,4,))*$F35))</f>
        <v>0</v>
      </c>
      <c r="K35" s="90">
        <f t="shared" ref="K35:K43" si="8">IF(VLOOKUP($D35,$C$5:$AJ$596,9,)=0,0,((VLOOKUP($D35,$C$5:$AJ$596,9,)/VLOOKUP($D35,$C$5:$AJ$596,4,))*$F35))</f>
        <v>0</v>
      </c>
      <c r="L35" s="90">
        <f t="shared" ref="L35:L43" si="9">IF(VLOOKUP($D35,$C$5:$AJ$596,10,)=0,0,((VLOOKUP($D35,$C$5:$AJ$596,10,)/VLOOKUP($D35,$C$5:$AJ$596,4,))*$F35))</f>
        <v>0</v>
      </c>
      <c r="M35" s="90">
        <f t="shared" ref="M35:M43" si="10">IF(VLOOKUP($D35,$C$5:$AJ$596,11,)=0,0,((VLOOKUP($D35,$C$5:$AJ$596,11,)/VLOOKUP($D35,$C$5:$AJ$596,4,))*$F35))</f>
        <v>0</v>
      </c>
      <c r="N35" s="90"/>
      <c r="O35" s="90">
        <f t="shared" ref="O35:O43" si="11">IF(VLOOKUP($D35,$C$5:$AJ$596,13,)=0,0,((VLOOKUP($D35,$C$5:$AJ$596,13,)/VLOOKUP($D35,$C$5:$AJ$596,4,))*$F35))</f>
        <v>0</v>
      </c>
      <c r="P35" s="90">
        <f t="shared" ref="P35:P43" si="12">IF(VLOOKUP($D35,$C$5:$AJ$596,14,)=0,0,((VLOOKUP($D35,$C$5:$AJ$596,14,)/VLOOKUP($D35,$C$5:$AJ$596,4,))*$F35))</f>
        <v>0</v>
      </c>
      <c r="Q35" s="90">
        <f t="shared" ref="Q35:Q43" si="13">IF(VLOOKUP($D35,$C$5:$AJ$596,15,)=0,0,((VLOOKUP($D35,$C$5:$AJ$596,15,)/VLOOKUP($D35,$C$5:$AJ$596,4,))*$F35))</f>
        <v>0</v>
      </c>
      <c r="R35" s="90"/>
      <c r="S35" s="90">
        <f t="shared" ref="S35:S43" si="14">IF(VLOOKUP($D35,$C$5:$AJ$596,17,)=0,0,((VLOOKUP($D35,$C$5:$AJ$596,17,)/VLOOKUP($D35,$C$5:$AJ$596,4,))*$F35))</f>
        <v>0</v>
      </c>
      <c r="T35" s="90">
        <f t="shared" ref="T35:T43" si="15">IF(VLOOKUP($D35,$C$5:$AJ$596,18,)=0,0,((VLOOKUP($D35,$C$5:$AJ$596,18,)/VLOOKUP($D35,$C$5:$AJ$596,4,))*$F35))</f>
        <v>341731104</v>
      </c>
      <c r="U35" s="90">
        <f t="shared" ref="U35:U43" si="16">IF(VLOOKUP($D35,$C$5:$AJ$596,19,)=0,0,((VLOOKUP($D35,$C$5:$AJ$596,19,)/VLOOKUP($D35,$C$5:$AJ$596,4,))*$F35))</f>
        <v>0</v>
      </c>
      <c r="V35" s="90">
        <f t="shared" ref="V35:V43" si="17">IF(VLOOKUP($D35,$C$5:$AJ$596,20,)=0,0,((VLOOKUP($D35,$C$5:$AJ$596,20,)/VLOOKUP($D35,$C$5:$AJ$596,4,))*$F35))</f>
        <v>0</v>
      </c>
      <c r="W35" s="90">
        <f t="shared" ref="W35:W43" si="18">IF(VLOOKUP($D35,$C$5:$AJ$596,21,)=0,0,((VLOOKUP($D35,$C$5:$AJ$596,21,)/VLOOKUP($D35,$C$5:$AJ$596,4,))*$F35))</f>
        <v>0</v>
      </c>
      <c r="X35" s="90">
        <f t="shared" ref="X35:X43" si="19">IF(VLOOKUP($D35,$C$5:$AJ$596,22,)=0,0,((VLOOKUP($D35,$C$5:$AJ$596,22,)/VLOOKUP($D35,$C$5:$AJ$596,4,))*$F35))</f>
        <v>0</v>
      </c>
      <c r="Y35" s="90">
        <f t="shared" ref="Y35:Y43" si="20">IF(VLOOKUP($D35,$C$5:$AJ$596,23,)=0,0,((VLOOKUP($D35,$C$5:$AJ$596,23,)/VLOOKUP($D35,$C$5:$AJ$596,4,))*$F35))</f>
        <v>0</v>
      </c>
      <c r="Z35" s="90">
        <f t="shared" ref="Z35:Z43" si="21">IF(VLOOKUP($D35,$C$5:$AJ$596,24,)=0,0,((VLOOKUP($D35,$C$5:$AJ$596,24,)/VLOOKUP($D35,$C$5:$AJ$596,4,))*$F35))</f>
        <v>0</v>
      </c>
      <c r="AA35" s="90">
        <f t="shared" ref="AA35:AA43" si="22">IF(VLOOKUP($D35,$C$5:$AJ$596,25,)=0,0,((VLOOKUP($D35,$C$5:$AJ$596,25,)/VLOOKUP($D35,$C$5:$AJ$596,4,))*$F35))</f>
        <v>0</v>
      </c>
      <c r="AB35" s="90">
        <f t="shared" ref="AB35:AB43" si="23">IF(VLOOKUP($D35,$C$5:$AJ$596,26,)=0,0,((VLOOKUP($D35,$C$5:$AJ$596,26,)/VLOOKUP($D35,$C$5:$AJ$596,4,))*$F35))</f>
        <v>0</v>
      </c>
      <c r="AC35" s="90">
        <f t="shared" ref="AC35:AC43" si="24">IF(VLOOKUP($D35,$C$5:$AJ$596,27,)=0,0,((VLOOKUP($D35,$C$5:$AJ$596,27,)/VLOOKUP($D35,$C$5:$AJ$596,4,))*$F35))</f>
        <v>0</v>
      </c>
      <c r="AD35" s="90">
        <f t="shared" ref="AD35:AD43" si="25">IF(VLOOKUP($D35,$C$5:$AJ$596,28,)=0,0,((VLOOKUP($D35,$C$5:$AJ$596,28,)/VLOOKUP($D35,$C$5:$AJ$596,4,))*$F35))</f>
        <v>0</v>
      </c>
      <c r="AE35" s="90"/>
      <c r="AF35" s="90">
        <f t="shared" ref="AF35:AF43" si="26">IF(VLOOKUP($D35,$C$5:$AJ$596,30,)=0,0,((VLOOKUP($D35,$C$5:$AJ$596,30,)/VLOOKUP($D35,$C$5:$AJ$596,4,))*$F35))</f>
        <v>0</v>
      </c>
      <c r="AG35" s="90"/>
      <c r="AH35" s="90">
        <f t="shared" ref="AH35:AH43" si="27">IF(VLOOKUP($D35,$C$5:$AJ$596,32,)=0,0,((VLOOKUP($D35,$C$5:$AJ$596,32,)/VLOOKUP($D35,$C$5:$AJ$596,4,))*$F35))</f>
        <v>0</v>
      </c>
      <c r="AI35" s="90"/>
      <c r="AJ35" s="90">
        <f t="shared" ref="AJ35:AJ43" si="28">IF(VLOOKUP($D35,$C$5:$AJ$596,34,)=0,0,((VLOOKUP($D35,$C$5:$AJ$596,34,)/VLOOKUP($D35,$C$5:$AJ$596,4,))*$F35))</f>
        <v>0</v>
      </c>
      <c r="AK35" s="90">
        <f t="shared" ref="AK35:AK42" si="29">SUM(H35:AJ35)</f>
        <v>341731104</v>
      </c>
      <c r="AL35" s="87" t="str">
        <f t="shared" ref="AL35:AL42" si="30">IF(ABS(AK35-F35)&lt;1,"ok","err")</f>
        <v>ok</v>
      </c>
    </row>
    <row r="36" spans="1:38" x14ac:dyDescent="0.5">
      <c r="A36" s="92"/>
      <c r="B36" s="93" t="s">
        <v>1583</v>
      </c>
      <c r="C36" s="86" t="s">
        <v>116</v>
      </c>
      <c r="D36" s="348" t="s">
        <v>117</v>
      </c>
      <c r="E36" s="50"/>
      <c r="F36" s="90">
        <f>'Jurisdictional Study'!F704+'Jurisdictional Study'!F705+'Jurisdictional Study'!F740+'Jurisdictional Study'!F741</f>
        <v>921791437</v>
      </c>
      <c r="H36" s="90">
        <f t="shared" si="5"/>
        <v>0</v>
      </c>
      <c r="I36" s="90">
        <f t="shared" si="6"/>
        <v>0</v>
      </c>
      <c r="J36" s="90">
        <f t="shared" si="7"/>
        <v>0</v>
      </c>
      <c r="K36" s="90">
        <f t="shared" si="8"/>
        <v>0</v>
      </c>
      <c r="L36" s="90">
        <f t="shared" si="9"/>
        <v>0</v>
      </c>
      <c r="M36" s="90">
        <f t="shared" si="10"/>
        <v>0</v>
      </c>
      <c r="N36" s="90"/>
      <c r="O36" s="90">
        <f t="shared" si="11"/>
        <v>0</v>
      </c>
      <c r="P36" s="90">
        <f t="shared" si="12"/>
        <v>0</v>
      </c>
      <c r="Q36" s="90">
        <f t="shared" si="13"/>
        <v>0</v>
      </c>
      <c r="R36" s="90"/>
      <c r="S36" s="90">
        <f t="shared" si="14"/>
        <v>0</v>
      </c>
      <c r="T36" s="90">
        <f t="shared" si="15"/>
        <v>0</v>
      </c>
      <c r="U36" s="90">
        <f t="shared" si="16"/>
        <v>0</v>
      </c>
      <c r="V36" s="90">
        <f t="shared" si="17"/>
        <v>234148427.845494</v>
      </c>
      <c r="W36" s="90">
        <f t="shared" si="18"/>
        <v>416083251.81430602</v>
      </c>
      <c r="X36" s="90">
        <f t="shared" si="19"/>
        <v>97788668.618205994</v>
      </c>
      <c r="Y36" s="90">
        <f t="shared" si="20"/>
        <v>173771088.72199395</v>
      </c>
      <c r="Z36" s="90">
        <f t="shared" si="21"/>
        <v>0</v>
      </c>
      <c r="AA36" s="90">
        <f t="shared" si="22"/>
        <v>0</v>
      </c>
      <c r="AB36" s="90">
        <f t="shared" si="23"/>
        <v>0</v>
      </c>
      <c r="AC36" s="90">
        <f t="shared" si="24"/>
        <v>0</v>
      </c>
      <c r="AD36" s="90">
        <f t="shared" si="25"/>
        <v>0</v>
      </c>
      <c r="AE36" s="90"/>
      <c r="AF36" s="90">
        <f t="shared" si="26"/>
        <v>0</v>
      </c>
      <c r="AG36" s="90"/>
      <c r="AH36" s="90">
        <f t="shared" si="27"/>
        <v>0</v>
      </c>
      <c r="AI36" s="90"/>
      <c r="AJ36" s="90">
        <f t="shared" si="28"/>
        <v>0</v>
      </c>
      <c r="AK36" s="90">
        <f t="shared" si="29"/>
        <v>921791437</v>
      </c>
      <c r="AL36" s="87" t="str">
        <f t="shared" si="30"/>
        <v>ok</v>
      </c>
    </row>
    <row r="37" spans="1:38" x14ac:dyDescent="0.5">
      <c r="A37" s="92"/>
      <c r="B37" s="93" t="s">
        <v>1584</v>
      </c>
      <c r="C37" s="86" t="s">
        <v>119</v>
      </c>
      <c r="D37" s="348" t="s">
        <v>118</v>
      </c>
      <c r="E37" s="50"/>
      <c r="F37" s="90">
        <f>'Jurisdictional Study'!F706+'Jurisdictional Study'!F707</f>
        <v>247685955</v>
      </c>
      <c r="H37" s="90">
        <f t="shared" si="5"/>
        <v>0</v>
      </c>
      <c r="I37" s="90">
        <f t="shared" si="6"/>
        <v>0</v>
      </c>
      <c r="J37" s="90">
        <f t="shared" si="7"/>
        <v>0</v>
      </c>
      <c r="K37" s="90">
        <f t="shared" si="8"/>
        <v>0</v>
      </c>
      <c r="L37" s="90">
        <f t="shared" si="9"/>
        <v>0</v>
      </c>
      <c r="M37" s="90">
        <f t="shared" si="10"/>
        <v>0</v>
      </c>
      <c r="N37" s="90"/>
      <c r="O37" s="90">
        <f t="shared" si="11"/>
        <v>0</v>
      </c>
      <c r="P37" s="90">
        <f t="shared" si="12"/>
        <v>0</v>
      </c>
      <c r="Q37" s="90">
        <f t="shared" si="13"/>
        <v>0</v>
      </c>
      <c r="R37" s="90"/>
      <c r="S37" s="90">
        <f t="shared" si="14"/>
        <v>0</v>
      </c>
      <c r="T37" s="90">
        <f t="shared" si="15"/>
        <v>0</v>
      </c>
      <c r="U37" s="90">
        <f t="shared" si="16"/>
        <v>0</v>
      </c>
      <c r="V37" s="90">
        <f t="shared" si="17"/>
        <v>37648542.568269596</v>
      </c>
      <c r="W37" s="90">
        <f t="shared" si="18"/>
        <v>112226228.8022304</v>
      </c>
      <c r="X37" s="90">
        <f t="shared" si="19"/>
        <v>24570169.327730399</v>
      </c>
      <c r="Y37" s="90">
        <f t="shared" si="20"/>
        <v>73241014.301769599</v>
      </c>
      <c r="Z37" s="90">
        <f t="shared" si="21"/>
        <v>0</v>
      </c>
      <c r="AA37" s="90">
        <f t="shared" si="22"/>
        <v>0</v>
      </c>
      <c r="AB37" s="90">
        <f t="shared" si="23"/>
        <v>0</v>
      </c>
      <c r="AC37" s="90">
        <f t="shared" si="24"/>
        <v>0</v>
      </c>
      <c r="AD37" s="90">
        <f t="shared" si="25"/>
        <v>0</v>
      </c>
      <c r="AE37" s="90"/>
      <c r="AF37" s="90">
        <f t="shared" si="26"/>
        <v>0</v>
      </c>
      <c r="AG37" s="90"/>
      <c r="AH37" s="90">
        <f t="shared" si="27"/>
        <v>0</v>
      </c>
      <c r="AI37" s="90"/>
      <c r="AJ37" s="90">
        <f t="shared" si="28"/>
        <v>0</v>
      </c>
      <c r="AK37" s="90">
        <f t="shared" si="29"/>
        <v>247685955</v>
      </c>
      <c r="AL37" s="87" t="str">
        <f t="shared" si="30"/>
        <v>ok</v>
      </c>
    </row>
    <row r="38" spans="1:38" x14ac:dyDescent="0.5">
      <c r="A38" s="92"/>
      <c r="B38" s="93" t="s">
        <v>1585</v>
      </c>
      <c r="C38" s="86" t="s">
        <v>120</v>
      </c>
      <c r="D38" s="348" t="s">
        <v>121</v>
      </c>
      <c r="E38" s="50"/>
      <c r="F38" s="90">
        <f>'Jurisdictional Study'!F709</f>
        <v>5363042</v>
      </c>
      <c r="H38" s="90">
        <f t="shared" si="5"/>
        <v>0</v>
      </c>
      <c r="I38" s="90">
        <f t="shared" si="6"/>
        <v>0</v>
      </c>
      <c r="J38" s="90">
        <f t="shared" si="7"/>
        <v>0</v>
      </c>
      <c r="K38" s="90">
        <f t="shared" si="8"/>
        <v>0</v>
      </c>
      <c r="L38" s="90">
        <f t="shared" si="9"/>
        <v>0</v>
      </c>
      <c r="M38" s="90">
        <f t="shared" si="10"/>
        <v>0</v>
      </c>
      <c r="N38" s="90"/>
      <c r="O38" s="90">
        <f t="shared" si="11"/>
        <v>0</v>
      </c>
      <c r="P38" s="90">
        <f t="shared" si="12"/>
        <v>0</v>
      </c>
      <c r="Q38" s="90">
        <f t="shared" si="13"/>
        <v>0</v>
      </c>
      <c r="R38" s="90"/>
      <c r="S38" s="90">
        <f t="shared" si="14"/>
        <v>0</v>
      </c>
      <c r="T38" s="90">
        <f t="shared" si="15"/>
        <v>0</v>
      </c>
      <c r="U38" s="90">
        <f t="shared" si="16"/>
        <v>0</v>
      </c>
      <c r="V38" s="90">
        <f t="shared" si="17"/>
        <v>0</v>
      </c>
      <c r="W38" s="90">
        <f t="shared" si="18"/>
        <v>0</v>
      </c>
      <c r="X38" s="90">
        <f t="shared" si="19"/>
        <v>0</v>
      </c>
      <c r="Y38" s="90">
        <f t="shared" si="20"/>
        <v>0</v>
      </c>
      <c r="Z38" s="90">
        <f t="shared" si="21"/>
        <v>2929300.2539285636</v>
      </c>
      <c r="AA38" s="90">
        <f t="shared" si="22"/>
        <v>2433741.746071436</v>
      </c>
      <c r="AB38" s="90">
        <f t="shared" si="23"/>
        <v>0</v>
      </c>
      <c r="AC38" s="90">
        <f t="shared" si="24"/>
        <v>0</v>
      </c>
      <c r="AD38" s="90">
        <f t="shared" si="25"/>
        <v>0</v>
      </c>
      <c r="AE38" s="90"/>
      <c r="AF38" s="90">
        <f t="shared" si="26"/>
        <v>0</v>
      </c>
      <c r="AG38" s="90"/>
      <c r="AH38" s="90">
        <f t="shared" si="27"/>
        <v>0</v>
      </c>
      <c r="AI38" s="90"/>
      <c r="AJ38" s="90">
        <f t="shared" si="28"/>
        <v>0</v>
      </c>
      <c r="AK38" s="90">
        <f t="shared" si="29"/>
        <v>5363042</v>
      </c>
      <c r="AL38" s="87" t="str">
        <f t="shared" si="30"/>
        <v>ok</v>
      </c>
    </row>
    <row r="39" spans="1:38" x14ac:dyDescent="0.5">
      <c r="A39" s="92"/>
      <c r="B39" s="93" t="s">
        <v>1586</v>
      </c>
      <c r="C39" s="86" t="s">
        <v>1620</v>
      </c>
      <c r="D39" s="348" t="s">
        <v>121</v>
      </c>
      <c r="E39" s="50"/>
      <c r="F39" s="90">
        <f>'Jurisdictional Study'!F710</f>
        <v>321195483</v>
      </c>
      <c r="H39" s="90">
        <f t="shared" si="5"/>
        <v>0</v>
      </c>
      <c r="I39" s="90">
        <f t="shared" si="6"/>
        <v>0</v>
      </c>
      <c r="J39" s="90">
        <f t="shared" si="7"/>
        <v>0</v>
      </c>
      <c r="K39" s="90">
        <f t="shared" si="8"/>
        <v>0</v>
      </c>
      <c r="L39" s="90">
        <f t="shared" si="9"/>
        <v>0</v>
      </c>
      <c r="M39" s="90">
        <f t="shared" si="10"/>
        <v>0</v>
      </c>
      <c r="N39" s="90"/>
      <c r="O39" s="90">
        <f t="shared" si="11"/>
        <v>0</v>
      </c>
      <c r="P39" s="90">
        <f t="shared" si="12"/>
        <v>0</v>
      </c>
      <c r="Q39" s="90">
        <f t="shared" si="13"/>
        <v>0</v>
      </c>
      <c r="R39" s="90"/>
      <c r="S39" s="90">
        <f t="shared" si="14"/>
        <v>0</v>
      </c>
      <c r="T39" s="90">
        <f t="shared" si="15"/>
        <v>0</v>
      </c>
      <c r="U39" s="90">
        <f t="shared" si="16"/>
        <v>0</v>
      </c>
      <c r="V39" s="90">
        <f t="shared" si="17"/>
        <v>0</v>
      </c>
      <c r="W39" s="90">
        <f t="shared" si="18"/>
        <v>0</v>
      </c>
      <c r="X39" s="90">
        <f t="shared" si="19"/>
        <v>0</v>
      </c>
      <c r="Y39" s="90">
        <f t="shared" si="20"/>
        <v>0</v>
      </c>
      <c r="Z39" s="90">
        <f t="shared" si="21"/>
        <v>175437374.89145294</v>
      </c>
      <c r="AA39" s="90">
        <f t="shared" si="22"/>
        <v>145758108.10854703</v>
      </c>
      <c r="AB39" s="90">
        <f t="shared" si="23"/>
        <v>0</v>
      </c>
      <c r="AC39" s="90">
        <f t="shared" si="24"/>
        <v>0</v>
      </c>
      <c r="AD39" s="90">
        <f t="shared" si="25"/>
        <v>0</v>
      </c>
      <c r="AE39" s="90"/>
      <c r="AF39" s="90">
        <f t="shared" si="26"/>
        <v>0</v>
      </c>
      <c r="AG39" s="90"/>
      <c r="AH39" s="90">
        <f t="shared" si="27"/>
        <v>0</v>
      </c>
      <c r="AI39" s="90"/>
      <c r="AJ39" s="90">
        <f t="shared" si="28"/>
        <v>0</v>
      </c>
      <c r="AK39" s="90">
        <f t="shared" si="29"/>
        <v>321195483</v>
      </c>
      <c r="AL39" s="87" t="str">
        <f t="shared" si="30"/>
        <v>ok</v>
      </c>
    </row>
    <row r="40" spans="1:38" x14ac:dyDescent="0.5">
      <c r="A40" s="92"/>
      <c r="B40" s="93" t="s">
        <v>1587</v>
      </c>
      <c r="C40" s="86" t="s">
        <v>122</v>
      </c>
      <c r="D40" s="45" t="s">
        <v>165</v>
      </c>
      <c r="E40" s="45"/>
      <c r="F40" s="90">
        <f>'Jurisdictional Study'!F712</f>
        <v>124944572</v>
      </c>
      <c r="H40" s="90">
        <f t="shared" si="5"/>
        <v>0</v>
      </c>
      <c r="I40" s="90">
        <f t="shared" si="6"/>
        <v>0</v>
      </c>
      <c r="J40" s="90">
        <f t="shared" si="7"/>
        <v>0</v>
      </c>
      <c r="K40" s="90">
        <f t="shared" si="8"/>
        <v>0</v>
      </c>
      <c r="L40" s="90">
        <f t="shared" si="9"/>
        <v>0</v>
      </c>
      <c r="M40" s="90">
        <f t="shared" si="10"/>
        <v>0</v>
      </c>
      <c r="N40" s="90"/>
      <c r="O40" s="90">
        <f t="shared" si="11"/>
        <v>0</v>
      </c>
      <c r="P40" s="90">
        <f t="shared" si="12"/>
        <v>0</v>
      </c>
      <c r="Q40" s="90">
        <f t="shared" si="13"/>
        <v>0</v>
      </c>
      <c r="R40" s="90"/>
      <c r="S40" s="90">
        <f t="shared" si="14"/>
        <v>0</v>
      </c>
      <c r="T40" s="90">
        <f t="shared" si="15"/>
        <v>0</v>
      </c>
      <c r="U40" s="90">
        <f t="shared" si="16"/>
        <v>0</v>
      </c>
      <c r="V40" s="90">
        <f t="shared" si="17"/>
        <v>0</v>
      </c>
      <c r="W40" s="90">
        <f t="shared" si="18"/>
        <v>0</v>
      </c>
      <c r="X40" s="90">
        <f t="shared" si="19"/>
        <v>0</v>
      </c>
      <c r="Y40" s="90">
        <f t="shared" si="20"/>
        <v>0</v>
      </c>
      <c r="Z40" s="90">
        <f t="shared" si="21"/>
        <v>0</v>
      </c>
      <c r="AA40" s="90">
        <f t="shared" si="22"/>
        <v>0</v>
      </c>
      <c r="AB40" s="90">
        <f t="shared" si="23"/>
        <v>124944572</v>
      </c>
      <c r="AC40" s="90">
        <f t="shared" si="24"/>
        <v>0</v>
      </c>
      <c r="AD40" s="90">
        <f t="shared" si="25"/>
        <v>0</v>
      </c>
      <c r="AE40" s="90"/>
      <c r="AF40" s="90">
        <f t="shared" si="26"/>
        <v>0</v>
      </c>
      <c r="AG40" s="90"/>
      <c r="AH40" s="90">
        <f t="shared" si="27"/>
        <v>0</v>
      </c>
      <c r="AI40" s="90"/>
      <c r="AJ40" s="90">
        <f t="shared" si="28"/>
        <v>0</v>
      </c>
      <c r="AK40" s="90">
        <f t="shared" si="29"/>
        <v>124944572</v>
      </c>
      <c r="AL40" s="87" t="str">
        <f t="shared" si="30"/>
        <v>ok</v>
      </c>
    </row>
    <row r="41" spans="1:38" x14ac:dyDescent="0.5">
      <c r="A41" s="92"/>
      <c r="B41" s="93" t="s">
        <v>1588</v>
      </c>
      <c r="C41" s="86" t="s">
        <v>166</v>
      </c>
      <c r="D41" s="45" t="s">
        <v>167</v>
      </c>
      <c r="E41" s="45"/>
      <c r="F41" s="90">
        <f>'Jurisdictional Study'!F713-3003281</f>
        <v>74150151</v>
      </c>
      <c r="H41" s="90">
        <f t="shared" si="5"/>
        <v>0</v>
      </c>
      <c r="I41" s="90">
        <f t="shared" si="6"/>
        <v>0</v>
      </c>
      <c r="J41" s="90">
        <f t="shared" si="7"/>
        <v>0</v>
      </c>
      <c r="K41" s="90">
        <f t="shared" si="8"/>
        <v>0</v>
      </c>
      <c r="L41" s="90">
        <f t="shared" si="9"/>
        <v>0</v>
      </c>
      <c r="M41" s="90">
        <f t="shared" si="10"/>
        <v>0</v>
      </c>
      <c r="N41" s="90"/>
      <c r="O41" s="90">
        <f t="shared" si="11"/>
        <v>0</v>
      </c>
      <c r="P41" s="90">
        <f t="shared" si="12"/>
        <v>0</v>
      </c>
      <c r="Q41" s="90">
        <f t="shared" si="13"/>
        <v>0</v>
      </c>
      <c r="R41" s="90"/>
      <c r="S41" s="90">
        <f t="shared" si="14"/>
        <v>0</v>
      </c>
      <c r="T41" s="90">
        <f t="shared" si="15"/>
        <v>0</v>
      </c>
      <c r="U41" s="90">
        <f t="shared" si="16"/>
        <v>0</v>
      </c>
      <c r="V41" s="90">
        <f t="shared" si="17"/>
        <v>0</v>
      </c>
      <c r="W41" s="90">
        <f t="shared" si="18"/>
        <v>0</v>
      </c>
      <c r="X41" s="90">
        <f t="shared" si="19"/>
        <v>0</v>
      </c>
      <c r="Y41" s="90">
        <f t="shared" si="20"/>
        <v>0</v>
      </c>
      <c r="Z41" s="90">
        <f t="shared" si="21"/>
        <v>0</v>
      </c>
      <c r="AA41" s="90">
        <f t="shared" si="22"/>
        <v>0</v>
      </c>
      <c r="AB41" s="90">
        <f t="shared" si="23"/>
        <v>0</v>
      </c>
      <c r="AC41" s="90">
        <f t="shared" si="24"/>
        <v>74150151</v>
      </c>
      <c r="AD41" s="90">
        <f t="shared" si="25"/>
        <v>0</v>
      </c>
      <c r="AE41" s="90"/>
      <c r="AF41" s="90">
        <f t="shared" si="26"/>
        <v>0</v>
      </c>
      <c r="AG41" s="90"/>
      <c r="AH41" s="90">
        <f t="shared" si="27"/>
        <v>0</v>
      </c>
      <c r="AI41" s="90"/>
      <c r="AJ41" s="90">
        <f t="shared" si="28"/>
        <v>0</v>
      </c>
      <c r="AK41" s="90">
        <f t="shared" si="29"/>
        <v>74150151</v>
      </c>
      <c r="AL41" s="87" t="str">
        <f t="shared" si="30"/>
        <v>ok</v>
      </c>
    </row>
    <row r="42" spans="1:38" x14ac:dyDescent="0.5">
      <c r="A42" s="92"/>
      <c r="B42" s="93" t="s">
        <v>1589</v>
      </c>
      <c r="C42" s="86" t="s">
        <v>168</v>
      </c>
      <c r="D42" s="371" t="s">
        <v>167</v>
      </c>
      <c r="E42" s="71"/>
      <c r="F42" s="90">
        <f>'Jurisdictional Study'!F714</f>
        <v>159234</v>
      </c>
      <c r="H42" s="90">
        <f t="shared" si="5"/>
        <v>0</v>
      </c>
      <c r="I42" s="90">
        <f t="shared" si="6"/>
        <v>0</v>
      </c>
      <c r="J42" s="90">
        <f t="shared" si="7"/>
        <v>0</v>
      </c>
      <c r="K42" s="90">
        <f t="shared" si="8"/>
        <v>0</v>
      </c>
      <c r="L42" s="90">
        <f t="shared" si="9"/>
        <v>0</v>
      </c>
      <c r="M42" s="90">
        <f t="shared" si="10"/>
        <v>0</v>
      </c>
      <c r="N42" s="90"/>
      <c r="O42" s="90">
        <f t="shared" si="11"/>
        <v>0</v>
      </c>
      <c r="P42" s="90">
        <f t="shared" si="12"/>
        <v>0</v>
      </c>
      <c r="Q42" s="90">
        <f t="shared" si="13"/>
        <v>0</v>
      </c>
      <c r="R42" s="90"/>
      <c r="S42" s="90">
        <f t="shared" si="14"/>
        <v>0</v>
      </c>
      <c r="T42" s="90">
        <f t="shared" si="15"/>
        <v>0</v>
      </c>
      <c r="U42" s="90">
        <f t="shared" si="16"/>
        <v>0</v>
      </c>
      <c r="V42" s="90">
        <f t="shared" si="17"/>
        <v>0</v>
      </c>
      <c r="W42" s="90">
        <f t="shared" si="18"/>
        <v>0</v>
      </c>
      <c r="X42" s="90">
        <f t="shared" si="19"/>
        <v>0</v>
      </c>
      <c r="Y42" s="90">
        <f t="shared" si="20"/>
        <v>0</v>
      </c>
      <c r="Z42" s="90">
        <f t="shared" si="21"/>
        <v>0</v>
      </c>
      <c r="AA42" s="90">
        <f t="shared" si="22"/>
        <v>0</v>
      </c>
      <c r="AB42" s="90">
        <f t="shared" si="23"/>
        <v>0</v>
      </c>
      <c r="AC42" s="90">
        <f t="shared" si="24"/>
        <v>159234</v>
      </c>
      <c r="AD42" s="90">
        <f t="shared" si="25"/>
        <v>0</v>
      </c>
      <c r="AE42" s="90"/>
      <c r="AF42" s="90">
        <f t="shared" si="26"/>
        <v>0</v>
      </c>
      <c r="AG42" s="90"/>
      <c r="AH42" s="90">
        <f t="shared" si="27"/>
        <v>0</v>
      </c>
      <c r="AI42" s="90"/>
      <c r="AJ42" s="90">
        <f t="shared" si="28"/>
        <v>0</v>
      </c>
      <c r="AK42" s="90">
        <f t="shared" si="29"/>
        <v>159234</v>
      </c>
      <c r="AL42" s="87" t="str">
        <f t="shared" si="30"/>
        <v>ok</v>
      </c>
    </row>
    <row r="43" spans="1:38" x14ac:dyDescent="0.5">
      <c r="A43" s="92"/>
      <c r="B43" s="93" t="s">
        <v>1590</v>
      </c>
      <c r="C43" s="86" t="s">
        <v>169</v>
      </c>
      <c r="D43" s="371" t="s">
        <v>170</v>
      </c>
      <c r="E43" s="71"/>
      <c r="F43" s="90">
        <f>'Jurisdictional Study'!F715</f>
        <v>143087299</v>
      </c>
      <c r="H43" s="90">
        <f t="shared" si="5"/>
        <v>0</v>
      </c>
      <c r="I43" s="90">
        <f t="shared" si="6"/>
        <v>0</v>
      </c>
      <c r="J43" s="90">
        <f t="shared" si="7"/>
        <v>0</v>
      </c>
      <c r="K43" s="90">
        <f t="shared" si="8"/>
        <v>0</v>
      </c>
      <c r="L43" s="90">
        <f t="shared" si="9"/>
        <v>0</v>
      </c>
      <c r="M43" s="90">
        <f t="shared" si="10"/>
        <v>0</v>
      </c>
      <c r="N43" s="90"/>
      <c r="O43" s="90">
        <f t="shared" si="11"/>
        <v>0</v>
      </c>
      <c r="P43" s="90">
        <f t="shared" si="12"/>
        <v>0</v>
      </c>
      <c r="Q43" s="90">
        <f t="shared" si="13"/>
        <v>0</v>
      </c>
      <c r="R43" s="90"/>
      <c r="S43" s="90">
        <f t="shared" si="14"/>
        <v>0</v>
      </c>
      <c r="T43" s="90">
        <f t="shared" si="15"/>
        <v>0</v>
      </c>
      <c r="U43" s="90">
        <f t="shared" si="16"/>
        <v>0</v>
      </c>
      <c r="V43" s="90">
        <f t="shared" si="17"/>
        <v>0</v>
      </c>
      <c r="W43" s="90">
        <f t="shared" si="18"/>
        <v>0</v>
      </c>
      <c r="X43" s="90">
        <f t="shared" si="19"/>
        <v>0</v>
      </c>
      <c r="Y43" s="90">
        <f t="shared" si="20"/>
        <v>0</v>
      </c>
      <c r="Z43" s="90">
        <f t="shared" si="21"/>
        <v>0</v>
      </c>
      <c r="AA43" s="90">
        <f t="shared" si="22"/>
        <v>0</v>
      </c>
      <c r="AB43" s="90">
        <f t="shared" si="23"/>
        <v>0</v>
      </c>
      <c r="AC43" s="90">
        <f t="shared" si="24"/>
        <v>0</v>
      </c>
      <c r="AD43" s="90">
        <f t="shared" si="25"/>
        <v>143087299</v>
      </c>
      <c r="AE43" s="90"/>
      <c r="AF43" s="90">
        <f t="shared" si="26"/>
        <v>0</v>
      </c>
      <c r="AG43" s="90"/>
      <c r="AH43" s="90">
        <f t="shared" si="27"/>
        <v>0</v>
      </c>
      <c r="AI43" s="90"/>
      <c r="AJ43" s="90">
        <f t="shared" si="28"/>
        <v>0</v>
      </c>
      <c r="AK43" s="90">
        <f>SUM(H43:AJ43)</f>
        <v>143087299</v>
      </c>
      <c r="AL43" s="87" t="str">
        <f>IF(ABS(AK43-F43)&lt;1,"ok","err")</f>
        <v>ok</v>
      </c>
    </row>
    <row r="44" spans="1:38" x14ac:dyDescent="0.5">
      <c r="D44" s="371"/>
      <c r="E44" s="71"/>
      <c r="Y44" s="86"/>
      <c r="AK44" s="90"/>
      <c r="AL44" s="87"/>
    </row>
    <row r="45" spans="1:38" x14ac:dyDescent="0.5">
      <c r="B45" s="86" t="s">
        <v>171</v>
      </c>
      <c r="C45" s="86" t="s">
        <v>109</v>
      </c>
      <c r="D45" s="371"/>
      <c r="E45" s="71"/>
      <c r="F45" s="89">
        <f>SUM(F35:F44)</f>
        <v>2180108277</v>
      </c>
      <c r="G45" s="94"/>
      <c r="H45" s="89">
        <f t="shared" ref="H45:M45" si="31">SUM(H35:H44)</f>
        <v>0</v>
      </c>
      <c r="I45" s="89">
        <f t="shared" si="31"/>
        <v>0</v>
      </c>
      <c r="J45" s="89">
        <f t="shared" si="31"/>
        <v>0</v>
      </c>
      <c r="K45" s="89">
        <f t="shared" si="31"/>
        <v>0</v>
      </c>
      <c r="L45" s="89">
        <f t="shared" si="31"/>
        <v>0</v>
      </c>
      <c r="M45" s="89">
        <f t="shared" si="31"/>
        <v>0</v>
      </c>
      <c r="N45" s="89"/>
      <c r="O45" s="89">
        <f>SUM(O35:O44)</f>
        <v>0</v>
      </c>
      <c r="P45" s="89">
        <f>SUM(P35:P44)</f>
        <v>0</v>
      </c>
      <c r="Q45" s="89">
        <f>SUM(Q35:Q44)</f>
        <v>0</v>
      </c>
      <c r="R45" s="89"/>
      <c r="S45" s="89">
        <f t="shared" ref="S45:AD45" si="32">SUM(S35:S44)</f>
        <v>0</v>
      </c>
      <c r="T45" s="89">
        <f t="shared" si="32"/>
        <v>341731104</v>
      </c>
      <c r="U45" s="89">
        <f t="shared" si="32"/>
        <v>0</v>
      </c>
      <c r="V45" s="89">
        <f t="shared" si="32"/>
        <v>271796970.41376358</v>
      </c>
      <c r="W45" s="89">
        <f t="shared" si="32"/>
        <v>528309480.61653644</v>
      </c>
      <c r="X45" s="89">
        <f t="shared" si="32"/>
        <v>122358837.9459364</v>
      </c>
      <c r="Y45" s="89">
        <f t="shared" si="32"/>
        <v>247012103.02376354</v>
      </c>
      <c r="Z45" s="89">
        <f t="shared" si="32"/>
        <v>178366675.14538151</v>
      </c>
      <c r="AA45" s="89">
        <f t="shared" si="32"/>
        <v>148191849.85461846</v>
      </c>
      <c r="AB45" s="89">
        <f t="shared" si="32"/>
        <v>124944572</v>
      </c>
      <c r="AC45" s="89">
        <f t="shared" si="32"/>
        <v>74309385</v>
      </c>
      <c r="AD45" s="89">
        <f t="shared" si="32"/>
        <v>143087299</v>
      </c>
      <c r="AE45" s="89"/>
      <c r="AF45" s="89">
        <f>SUM(AF35:AF44)</f>
        <v>0</v>
      </c>
      <c r="AG45" s="89"/>
      <c r="AH45" s="89">
        <f>SUM(AH35:AH44)</f>
        <v>0</v>
      </c>
      <c r="AI45" s="89"/>
      <c r="AJ45" s="89">
        <f>SUM(AJ35:AJ44)</f>
        <v>0</v>
      </c>
      <c r="AK45" s="90">
        <f>SUM(H45:AJ45)</f>
        <v>2180108277</v>
      </c>
      <c r="AL45" s="87" t="str">
        <f>IF(ABS(AK45-F45)&lt;1,"ok","err")</f>
        <v>ok</v>
      </c>
    </row>
    <row r="46" spans="1:38" x14ac:dyDescent="0.5">
      <c r="D46" s="371"/>
      <c r="E46" s="71"/>
      <c r="Y46" s="86"/>
      <c r="AL46" s="87"/>
    </row>
    <row r="47" spans="1:38" x14ac:dyDescent="0.5">
      <c r="B47" s="23" t="s">
        <v>192</v>
      </c>
      <c r="C47" s="86" t="s">
        <v>471</v>
      </c>
      <c r="D47" s="371"/>
      <c r="E47" s="71"/>
      <c r="F47" s="91">
        <f>F26+F32+F45</f>
        <v>9298906019</v>
      </c>
      <c r="G47" s="91"/>
      <c r="H47" s="91">
        <f t="shared" ref="H47:M47" si="33">H26+H32+H45</f>
        <v>5852038091</v>
      </c>
      <c r="I47" s="91">
        <f t="shared" si="33"/>
        <v>0</v>
      </c>
      <c r="J47" s="91">
        <f t="shared" si="33"/>
        <v>0</v>
      </c>
      <c r="K47" s="91">
        <f t="shared" si="33"/>
        <v>0</v>
      </c>
      <c r="L47" s="91">
        <f t="shared" si="33"/>
        <v>0</v>
      </c>
      <c r="M47" s="91">
        <f t="shared" si="33"/>
        <v>0</v>
      </c>
      <c r="N47" s="91"/>
      <c r="O47" s="91">
        <f>O26+O32+O45</f>
        <v>1266759651</v>
      </c>
      <c r="P47" s="91">
        <f>P26+P32+P45</f>
        <v>0</v>
      </c>
      <c r="Q47" s="91">
        <f>Q26+Q32+Q45</f>
        <v>0</v>
      </c>
      <c r="R47" s="91"/>
      <c r="S47" s="91">
        <f t="shared" ref="S47:AD47" si="34">S26+S32+S45</f>
        <v>0</v>
      </c>
      <c r="T47" s="91">
        <f t="shared" si="34"/>
        <v>341731104</v>
      </c>
      <c r="U47" s="91">
        <f t="shared" si="34"/>
        <v>0</v>
      </c>
      <c r="V47" s="91">
        <f t="shared" si="34"/>
        <v>271796970.41376358</v>
      </c>
      <c r="W47" s="91">
        <f t="shared" si="34"/>
        <v>528309480.61653644</v>
      </c>
      <c r="X47" s="91">
        <f t="shared" si="34"/>
        <v>122358837.9459364</v>
      </c>
      <c r="Y47" s="91">
        <f t="shared" si="34"/>
        <v>247012103.02376354</v>
      </c>
      <c r="Z47" s="91">
        <f t="shared" si="34"/>
        <v>178366675.14538151</v>
      </c>
      <c r="AA47" s="91">
        <f t="shared" si="34"/>
        <v>148191849.85461846</v>
      </c>
      <c r="AB47" s="91">
        <f t="shared" si="34"/>
        <v>124944572</v>
      </c>
      <c r="AC47" s="91">
        <f t="shared" si="34"/>
        <v>74309385</v>
      </c>
      <c r="AD47" s="91">
        <f t="shared" si="34"/>
        <v>143087299</v>
      </c>
      <c r="AE47" s="91"/>
      <c r="AF47" s="91">
        <f>AF26+AF32+AF45</f>
        <v>0</v>
      </c>
      <c r="AG47" s="91"/>
      <c r="AH47" s="91">
        <f>AH26+AH32+AH45</f>
        <v>0</v>
      </c>
      <c r="AI47" s="91"/>
      <c r="AJ47" s="91">
        <f>AJ26+AJ32+AJ45</f>
        <v>0</v>
      </c>
      <c r="AK47" s="90">
        <f>SUM(H47:AJ47)</f>
        <v>9298906019</v>
      </c>
      <c r="AL47" s="87" t="str">
        <f>IF(ABS(AK47-F47)&lt;1,"ok","err")</f>
        <v>ok</v>
      </c>
    </row>
    <row r="48" spans="1:38" x14ac:dyDescent="0.5">
      <c r="D48" s="371"/>
      <c r="E48" s="71"/>
      <c r="Y48" s="86"/>
      <c r="AL48" s="87"/>
    </row>
    <row r="49" spans="1:38" x14ac:dyDescent="0.5">
      <c r="D49" s="371"/>
      <c r="E49" s="71"/>
      <c r="Y49" s="86"/>
      <c r="AL49" s="87"/>
    </row>
    <row r="50" spans="1:38" x14ac:dyDescent="0.5">
      <c r="D50" s="371"/>
      <c r="E50" s="71"/>
      <c r="Y50" s="86"/>
      <c r="AL50" s="87"/>
    </row>
    <row r="51" spans="1:38" x14ac:dyDescent="0.5">
      <c r="D51" s="371"/>
      <c r="E51" s="71"/>
      <c r="Y51" s="86"/>
      <c r="AL51" s="87"/>
    </row>
    <row r="52" spans="1:38" x14ac:dyDescent="0.5">
      <c r="D52" s="371"/>
      <c r="E52" s="71"/>
      <c r="Y52" s="86"/>
      <c r="AL52" s="87"/>
    </row>
    <row r="53" spans="1:38" x14ac:dyDescent="0.5">
      <c r="A53" s="22" t="s">
        <v>448</v>
      </c>
      <c r="D53" s="371"/>
      <c r="E53" s="71"/>
      <c r="Y53" s="86"/>
      <c r="AL53" s="87"/>
    </row>
    <row r="54" spans="1:38" x14ac:dyDescent="0.5">
      <c r="D54" s="371"/>
      <c r="E54" s="71"/>
      <c r="Y54" s="86"/>
      <c r="AL54" s="87"/>
    </row>
    <row r="55" spans="1:38" x14ac:dyDescent="0.5">
      <c r="A55" s="22" t="s">
        <v>172</v>
      </c>
      <c r="D55" s="371"/>
      <c r="E55" s="71"/>
      <c r="Y55" s="86"/>
      <c r="AL55" s="87"/>
    </row>
    <row r="56" spans="1:38" x14ac:dyDescent="0.5">
      <c r="D56" s="371"/>
      <c r="E56" s="71"/>
      <c r="Y56" s="86"/>
      <c r="AK56" s="90"/>
      <c r="AL56" s="87"/>
    </row>
    <row r="57" spans="1:38" x14ac:dyDescent="0.5">
      <c r="B57" s="86" t="s">
        <v>173</v>
      </c>
      <c r="C57" s="86" t="s">
        <v>174</v>
      </c>
      <c r="D57" s="371" t="s">
        <v>471</v>
      </c>
      <c r="E57" s="71"/>
      <c r="F57" s="89">
        <f>'Jurisdictional Study'!F766-7637963</f>
        <v>244918755</v>
      </c>
      <c r="G57" s="89"/>
      <c r="H57" s="90">
        <f>IF(VLOOKUP($D57,$C$5:$AJ$596,6,)=0,0,((VLOOKUP($D57,$C$5:$AJ$596,6,)/VLOOKUP($D57,$C$5:$AJ$596,4,))*$F57))</f>
        <v>154133602.44008902</v>
      </c>
      <c r="I57" s="90">
        <f>IF(VLOOKUP($D57,$C$5:$AJ$596,7,)=0,0,((VLOOKUP($D57,$C$5:$AJ$596,7,)/VLOOKUP($D57,$C$5:$AJ$596,4,))*$F57))</f>
        <v>0</v>
      </c>
      <c r="J57" s="90">
        <f>IF(VLOOKUP($D57,$C$5:$AJ$596,8,)=0,0,((VLOOKUP($D57,$C$5:$AJ$596,8,)/VLOOKUP($D57,$C$5:$AJ$596,4,))*$F57))</f>
        <v>0</v>
      </c>
      <c r="K57" s="90">
        <f>IF(VLOOKUP($D57,$C$5:$AJ$596,9,)=0,0,((VLOOKUP($D57,$C$5:$AJ$596,9,)/VLOOKUP($D57,$C$5:$AJ$596,4,))*$F57))</f>
        <v>0</v>
      </c>
      <c r="L57" s="90">
        <f>IF(VLOOKUP($D57,$C$5:$AJ$596,10,)=0,0,((VLOOKUP($D57,$C$5:$AJ$596,10,)/VLOOKUP($D57,$C$5:$AJ$596,4,))*$F57))</f>
        <v>0</v>
      </c>
      <c r="M57" s="90">
        <f>IF(VLOOKUP($D57,$C$5:$AJ$596,11,)=0,0,((VLOOKUP($D57,$C$5:$AJ$596,11,)/VLOOKUP($D57,$C$5:$AJ$596,4,))*$F57))</f>
        <v>0</v>
      </c>
      <c r="N57" s="90"/>
      <c r="O57" s="90">
        <f>IF(VLOOKUP($D57,$C$5:$AJ$596,13,)=0,0,((VLOOKUP($D57,$C$5:$AJ$596,13,)/VLOOKUP($D57,$C$5:$AJ$596,4,))*$F57))</f>
        <v>33364483.518085822</v>
      </c>
      <c r="P57" s="90">
        <f>IF(VLOOKUP($D57,$C$5:$AJ$596,14,)=0,0,((VLOOKUP($D57,$C$5:$AJ$596,14,)/VLOOKUP($D57,$C$5:$AJ$596,4,))*$F57))</f>
        <v>0</v>
      </c>
      <c r="Q57" s="90">
        <f>IF(VLOOKUP($D57,$C$5:$AJ$596,15,)=0,0,((VLOOKUP($D57,$C$5:$AJ$596,15,)/VLOOKUP($D57,$C$5:$AJ$596,4,))*$F57))</f>
        <v>0</v>
      </c>
      <c r="R57" s="90"/>
      <c r="S57" s="90">
        <f>IF(VLOOKUP($D57,$C$5:$AJ$596,17,)=0,0,((VLOOKUP($D57,$C$5:$AJ$596,17,)/VLOOKUP($D57,$C$5:$AJ$596,4,))*$F57))</f>
        <v>0</v>
      </c>
      <c r="T57" s="90">
        <f>IF(VLOOKUP($D57,$C$5:$AJ$596,18,)=0,0,((VLOOKUP($D57,$C$5:$AJ$596,18,)/VLOOKUP($D57,$C$5:$AJ$596,4,))*$F57))</f>
        <v>9000666.9994774498</v>
      </c>
      <c r="U57" s="90">
        <f>IF(VLOOKUP($D57,$C$5:$AJ$596,19,)=0,0,((VLOOKUP($D57,$C$5:$AJ$596,19,)/VLOOKUP($D57,$C$5:$AJ$596,4,))*$F57))</f>
        <v>0</v>
      </c>
      <c r="V57" s="90">
        <f>IF(VLOOKUP($D57,$C$5:$AJ$596,20,)=0,0,((VLOOKUP($D57,$C$5:$AJ$596,20,)/VLOOKUP($D57,$C$5:$AJ$596,4,))*$F57))</f>
        <v>7158710.440829847</v>
      </c>
      <c r="W57" s="90">
        <f>IF(VLOOKUP($D57,$C$5:$AJ$596,21,)=0,0,((VLOOKUP($D57,$C$5:$AJ$596,21,)/VLOOKUP($D57,$C$5:$AJ$596,4,))*$F57))</f>
        <v>13914851.91730259</v>
      </c>
      <c r="X57" s="90">
        <f>IF(VLOOKUP($D57,$C$5:$AJ$596,22,)=0,0,((VLOOKUP($D57,$C$5:$AJ$596,22,)/VLOOKUP($D57,$C$5:$AJ$596,4,))*$F57))</f>
        <v>3222741.9216554509</v>
      </c>
      <c r="Y57" s="90">
        <f>IF(VLOOKUP($D57,$C$5:$AJ$596,23,)=0,0,((VLOOKUP($D57,$C$5:$AJ$596,23,)/VLOOKUP($D57,$C$5:$AJ$596,4,))*$F57))</f>
        <v>6505915.4935967205</v>
      </c>
      <c r="Z57" s="90">
        <f>IF(VLOOKUP($D57,$C$5:$AJ$596,24,)=0,0,((VLOOKUP($D57,$C$5:$AJ$596,24,)/VLOOKUP($D57,$C$5:$AJ$596,4,))*$F57))</f>
        <v>4697901.4435500437</v>
      </c>
      <c r="AA57" s="90">
        <f>IF(VLOOKUP($D57,$C$5:$AJ$596,25,)=0,0,((VLOOKUP($D57,$C$5:$AJ$596,25,)/VLOOKUP($D57,$C$5:$AJ$596,4,))*$F57))</f>
        <v>3903143.3690565708</v>
      </c>
      <c r="AB57" s="90">
        <f>IF(VLOOKUP($D57,$C$5:$AJ$596,26,)=0,0,((VLOOKUP($D57,$C$5:$AJ$596,26,)/VLOOKUP($D57,$C$5:$AJ$596,4,))*$F57))</f>
        <v>3290846.1442369442</v>
      </c>
      <c r="AC57" s="90">
        <f>IF(VLOOKUP($D57,$C$5:$AJ$596,27,)=0,0,((VLOOKUP($D57,$C$5:$AJ$596,27,)/VLOOKUP($D57,$C$5:$AJ$596,4,))*$F57))</f>
        <v>1957193.8916071409</v>
      </c>
      <c r="AD57" s="90">
        <f>IF(VLOOKUP($D57,$C$5:$AJ$596,28,)=0,0,((VLOOKUP($D57,$C$5:$AJ$596,28,)/VLOOKUP($D57,$C$5:$AJ$596,4,))*$F57))</f>
        <v>3768697.4205124229</v>
      </c>
      <c r="AE57" s="90"/>
      <c r="AF57" s="90">
        <f>IF(VLOOKUP($D57,$C$5:$AJ$596,30,)=0,0,((VLOOKUP($D57,$C$5:$AJ$596,30,)/VLOOKUP($D57,$C$5:$AJ$596,4,))*$F57))</f>
        <v>0</v>
      </c>
      <c r="AG57" s="90"/>
      <c r="AH57" s="90">
        <f>IF(VLOOKUP($D57,$C$5:$AJ$596,32,)=0,0,((VLOOKUP($D57,$C$5:$AJ$596,32,)/VLOOKUP($D57,$C$5:$AJ$596,4,))*$F57))</f>
        <v>0</v>
      </c>
      <c r="AI57" s="90"/>
      <c r="AJ57" s="90">
        <f>IF(VLOOKUP($D57,$C$5:$AJ$596,34,)=0,0,((VLOOKUP($D57,$C$5:$AJ$596,34,)/VLOOKUP($D57,$C$5:$AJ$596,4,))*$F57))</f>
        <v>0</v>
      </c>
      <c r="AK57" s="90">
        <f>SUM(H57:AJ57)</f>
        <v>244918755</v>
      </c>
      <c r="AL57" s="87" t="str">
        <f>IF(ABS(AK57-F57)&lt;1,"ok","err")</f>
        <v>ok</v>
      </c>
    </row>
    <row r="58" spans="1:38" x14ac:dyDescent="0.5">
      <c r="D58" s="371"/>
      <c r="E58" s="71"/>
      <c r="P58" s="90"/>
      <c r="Q58" s="90"/>
      <c r="Y58" s="86"/>
      <c r="AK58" s="90"/>
      <c r="AL58" s="87"/>
    </row>
    <row r="59" spans="1:38" x14ac:dyDescent="0.5">
      <c r="B59" s="86" t="s">
        <v>1480</v>
      </c>
      <c r="C59" s="86" t="s">
        <v>1481</v>
      </c>
      <c r="D59" s="371" t="s">
        <v>471</v>
      </c>
      <c r="E59" s="71"/>
      <c r="F59" s="89">
        <v>0</v>
      </c>
      <c r="H59" s="90">
        <f>IF(VLOOKUP($D59,$C$5:$AJ$596,6,)=0,0,((VLOOKUP($D59,$C$5:$AJ$596,6,)/VLOOKUP($D59,$C$5:$AJ$596,4,))*$F59))</f>
        <v>0</v>
      </c>
      <c r="I59" s="90">
        <f>IF(VLOOKUP($D59,$C$5:$AJ$596,7,)=0,0,((VLOOKUP($D59,$C$5:$AJ$596,7,)/VLOOKUP($D59,$C$5:$AJ$596,4,))*$F59))</f>
        <v>0</v>
      </c>
      <c r="J59" s="90">
        <f>IF(VLOOKUP($D59,$C$5:$AJ$596,8,)=0,0,((VLOOKUP($D59,$C$5:$AJ$596,8,)/VLOOKUP($D59,$C$5:$AJ$596,4,))*$F59))</f>
        <v>0</v>
      </c>
      <c r="K59" s="90">
        <f>IF(VLOOKUP($D59,$C$5:$AJ$596,9,)=0,0,((VLOOKUP($D59,$C$5:$AJ$596,9,)/VLOOKUP($D59,$C$5:$AJ$596,4,))*$F59))</f>
        <v>0</v>
      </c>
      <c r="L59" s="90">
        <f>IF(VLOOKUP($D59,$C$5:$AJ$596,10,)=0,0,((VLOOKUP($D59,$C$5:$AJ$596,10,)/VLOOKUP($D59,$C$5:$AJ$596,4,))*$F59))</f>
        <v>0</v>
      </c>
      <c r="M59" s="90">
        <f>IF(VLOOKUP($D59,$C$5:$AJ$596,11,)=0,0,((VLOOKUP($D59,$C$5:$AJ$596,11,)/VLOOKUP($D59,$C$5:$AJ$596,4,))*$F59))</f>
        <v>0</v>
      </c>
      <c r="N59" s="90"/>
      <c r="O59" s="90">
        <f>IF(VLOOKUP($D59,$C$5:$AJ$596,13,)=0,0,((VLOOKUP($D59,$C$5:$AJ$596,13,)/VLOOKUP($D59,$C$5:$AJ$596,4,))*$F59))</f>
        <v>0</v>
      </c>
      <c r="P59" s="90">
        <f>IF(VLOOKUP($D59,$C$5:$AJ$596,14,)=0,0,((VLOOKUP($D59,$C$5:$AJ$596,14,)/VLOOKUP($D59,$C$5:$AJ$596,4,))*$F59))</f>
        <v>0</v>
      </c>
      <c r="Q59" s="90">
        <f>IF(VLOOKUP($D59,$C$5:$AJ$596,15,)=0,0,((VLOOKUP($D59,$C$5:$AJ$596,15,)/VLOOKUP($D59,$C$5:$AJ$596,4,))*$F59))</f>
        <v>0</v>
      </c>
      <c r="R59" s="90"/>
      <c r="S59" s="90">
        <f>IF(VLOOKUP($D59,$C$5:$AJ$596,17,)=0,0,((VLOOKUP($D59,$C$5:$AJ$596,17,)/VLOOKUP($D59,$C$5:$AJ$596,4,))*$F59))</f>
        <v>0</v>
      </c>
      <c r="T59" s="90">
        <f>IF(VLOOKUP($D59,$C$5:$AJ$596,18,)=0,0,((VLOOKUP($D59,$C$5:$AJ$596,18,)/VLOOKUP($D59,$C$5:$AJ$596,4,))*$F59))</f>
        <v>0</v>
      </c>
      <c r="U59" s="90">
        <f>IF(VLOOKUP($D59,$C$5:$AJ$596,19,)=0,0,((VLOOKUP($D59,$C$5:$AJ$596,19,)/VLOOKUP($D59,$C$5:$AJ$596,4,))*$F59))</f>
        <v>0</v>
      </c>
      <c r="V59" s="90">
        <f>IF(VLOOKUP($D59,$C$5:$AJ$596,20,)=0,0,((VLOOKUP($D59,$C$5:$AJ$596,20,)/VLOOKUP($D59,$C$5:$AJ$596,4,))*$F59))</f>
        <v>0</v>
      </c>
      <c r="W59" s="90">
        <f>IF(VLOOKUP($D59,$C$5:$AJ$596,21,)=0,0,((VLOOKUP($D59,$C$5:$AJ$596,21,)/VLOOKUP($D59,$C$5:$AJ$596,4,))*$F59))</f>
        <v>0</v>
      </c>
      <c r="X59" s="90">
        <f>IF(VLOOKUP($D59,$C$5:$AJ$596,22,)=0,0,((VLOOKUP($D59,$C$5:$AJ$596,22,)/VLOOKUP($D59,$C$5:$AJ$596,4,))*$F59))</f>
        <v>0</v>
      </c>
      <c r="Y59" s="90">
        <f>IF(VLOOKUP($D59,$C$5:$AJ$596,23,)=0,0,((VLOOKUP($D59,$C$5:$AJ$596,23,)/VLOOKUP($D59,$C$5:$AJ$596,4,))*$F59))</f>
        <v>0</v>
      </c>
      <c r="Z59" s="90">
        <f>IF(VLOOKUP($D59,$C$5:$AJ$596,24,)=0,0,((VLOOKUP($D59,$C$5:$AJ$596,24,)/VLOOKUP($D59,$C$5:$AJ$596,4,))*$F59))</f>
        <v>0</v>
      </c>
      <c r="AA59" s="90">
        <f>IF(VLOOKUP($D59,$C$5:$AJ$596,25,)=0,0,((VLOOKUP($D59,$C$5:$AJ$596,25,)/VLOOKUP($D59,$C$5:$AJ$596,4,))*$F59))</f>
        <v>0</v>
      </c>
      <c r="AB59" s="90">
        <f>IF(VLOOKUP($D59,$C$5:$AJ$596,26,)=0,0,((VLOOKUP($D59,$C$5:$AJ$596,26,)/VLOOKUP($D59,$C$5:$AJ$596,4,))*$F59))</f>
        <v>0</v>
      </c>
      <c r="AC59" s="90">
        <f>IF(VLOOKUP($D59,$C$5:$AJ$596,27,)=0,0,((VLOOKUP($D59,$C$5:$AJ$596,27,)/VLOOKUP($D59,$C$5:$AJ$596,4,))*$F59))</f>
        <v>0</v>
      </c>
      <c r="AD59" s="90">
        <f>IF(VLOOKUP($D59,$C$5:$AJ$596,28,)=0,0,((VLOOKUP($D59,$C$5:$AJ$596,28,)/VLOOKUP($D59,$C$5:$AJ$596,4,))*$F59))</f>
        <v>0</v>
      </c>
      <c r="AE59" s="90"/>
      <c r="AF59" s="90">
        <f>IF(VLOOKUP($D59,$C$5:$AJ$596,30,)=0,0,((VLOOKUP($D59,$C$5:$AJ$596,30,)/VLOOKUP($D59,$C$5:$AJ$596,4,))*$F59))</f>
        <v>0</v>
      </c>
      <c r="AG59" s="90"/>
      <c r="AH59" s="90">
        <f>IF(VLOOKUP($D59,$C$5:$AJ$596,32,)=0,0,((VLOOKUP($D59,$C$5:$AJ$596,32,)/VLOOKUP($D59,$C$5:$AJ$596,4,))*$F59))</f>
        <v>0</v>
      </c>
      <c r="AI59" s="90"/>
      <c r="AJ59" s="90">
        <f>IF(VLOOKUP($D59,$C$5:$AJ$596,34,)=0,0,((VLOOKUP($D59,$C$5:$AJ$596,34,)/VLOOKUP($D59,$C$5:$AJ$596,4,))*$F59))</f>
        <v>0</v>
      </c>
      <c r="AK59" s="90">
        <f>SUM(H59:AJ59)</f>
        <v>0</v>
      </c>
      <c r="AL59" s="87" t="str">
        <f>IF(ABS(AK59-F59)&lt;1,"ok","err")</f>
        <v>ok</v>
      </c>
    </row>
    <row r="60" spans="1:38" x14ac:dyDescent="0.5">
      <c r="A60" s="88">
        <v>105</v>
      </c>
      <c r="B60" s="86" t="s">
        <v>2217</v>
      </c>
      <c r="C60" s="86" t="s">
        <v>503</v>
      </c>
      <c r="D60" s="371" t="s">
        <v>1479</v>
      </c>
      <c r="E60" s="71"/>
      <c r="F60" s="89">
        <f>'Jurisdictional Study'!F769</f>
        <v>290384</v>
      </c>
      <c r="H60" s="90">
        <f>IF(VLOOKUP($D60,$C$5:$AJ$596,6,)=0,0,((VLOOKUP($D60,$C$5:$AJ$596,6,)/VLOOKUP($D60,$C$5:$AJ$596,4,))*$F60))</f>
        <v>290384</v>
      </c>
      <c r="I60" s="90">
        <f>IF(VLOOKUP($D60,$C$5:$AJ$596,7,)=0,0,((VLOOKUP($D60,$C$5:$AJ$596,7,)/VLOOKUP($D60,$C$5:$AJ$596,4,))*$F60))</f>
        <v>0</v>
      </c>
      <c r="J60" s="90">
        <f>IF(VLOOKUP($D60,$C$5:$AJ$596,8,)=0,0,((VLOOKUP($D60,$C$5:$AJ$596,8,)/VLOOKUP($D60,$C$5:$AJ$596,4,))*$F60))</f>
        <v>0</v>
      </c>
      <c r="K60" s="90">
        <f>IF(VLOOKUP($D60,$C$5:$AJ$596,9,)=0,0,((VLOOKUP($D60,$C$5:$AJ$596,9,)/VLOOKUP($D60,$C$5:$AJ$596,4,))*$F60))</f>
        <v>0</v>
      </c>
      <c r="L60" s="90">
        <f>IF(VLOOKUP($D60,$C$5:$AJ$596,10,)=0,0,((VLOOKUP($D60,$C$5:$AJ$596,10,)/VLOOKUP($D60,$C$5:$AJ$596,4,))*$F60))</f>
        <v>0</v>
      </c>
      <c r="M60" s="90">
        <f>IF(VLOOKUP($D60,$C$5:$AJ$596,11,)=0,0,((VLOOKUP($D60,$C$5:$AJ$596,11,)/VLOOKUP($D60,$C$5:$AJ$596,4,))*$F60))</f>
        <v>0</v>
      </c>
      <c r="N60" s="90"/>
      <c r="O60" s="90">
        <f>IF(VLOOKUP($D60,$C$5:$AJ$596,13,)=0,0,((VLOOKUP($D60,$C$5:$AJ$596,13,)/VLOOKUP($D60,$C$5:$AJ$596,4,))*$F60))</f>
        <v>0</v>
      </c>
      <c r="P60" s="90">
        <f>IF(VLOOKUP($D60,$C$5:$AJ$596,14,)=0,0,((VLOOKUP($D60,$C$5:$AJ$596,14,)/VLOOKUP($D60,$C$5:$AJ$596,4,))*$F60))</f>
        <v>0</v>
      </c>
      <c r="Q60" s="90">
        <f>IF(VLOOKUP($D60,$C$5:$AJ$596,15,)=0,0,((VLOOKUP($D60,$C$5:$AJ$596,15,)/VLOOKUP($D60,$C$5:$AJ$596,4,))*$F60))</f>
        <v>0</v>
      </c>
      <c r="R60" s="90"/>
      <c r="S60" s="90">
        <f>IF(VLOOKUP($D60,$C$5:$AJ$596,17,)=0,0,((VLOOKUP($D60,$C$5:$AJ$596,17,)/VLOOKUP($D60,$C$5:$AJ$596,4,))*$F60))</f>
        <v>0</v>
      </c>
      <c r="T60" s="90">
        <f>IF(VLOOKUP($D60,$C$5:$AJ$596,18,)=0,0,((VLOOKUP($D60,$C$5:$AJ$596,18,)/VLOOKUP($D60,$C$5:$AJ$596,4,))*$F60))</f>
        <v>0</v>
      </c>
      <c r="U60" s="90">
        <f>IF(VLOOKUP($D60,$C$5:$AJ$596,19,)=0,0,((VLOOKUP($D60,$C$5:$AJ$596,19,)/VLOOKUP($D60,$C$5:$AJ$596,4,))*$F60))</f>
        <v>0</v>
      </c>
      <c r="V60" s="90">
        <f>IF(VLOOKUP($D60,$C$5:$AJ$596,20,)=0,0,((VLOOKUP($D60,$C$5:$AJ$596,20,)/VLOOKUP($D60,$C$5:$AJ$596,4,))*$F60))</f>
        <v>0</v>
      </c>
      <c r="W60" s="90">
        <f>IF(VLOOKUP($D60,$C$5:$AJ$596,21,)=0,0,((VLOOKUP($D60,$C$5:$AJ$596,21,)/VLOOKUP($D60,$C$5:$AJ$596,4,))*$F60))</f>
        <v>0</v>
      </c>
      <c r="X60" s="90">
        <f>IF(VLOOKUP($D60,$C$5:$AJ$596,22,)=0,0,((VLOOKUP($D60,$C$5:$AJ$596,22,)/VLOOKUP($D60,$C$5:$AJ$596,4,))*$F60))</f>
        <v>0</v>
      </c>
      <c r="Y60" s="90">
        <f>IF(VLOOKUP($D60,$C$5:$AJ$596,23,)=0,0,((VLOOKUP($D60,$C$5:$AJ$596,23,)/VLOOKUP($D60,$C$5:$AJ$596,4,))*$F60))</f>
        <v>0</v>
      </c>
      <c r="Z60" s="90">
        <f>IF(VLOOKUP($D60,$C$5:$AJ$596,24,)=0,0,((VLOOKUP($D60,$C$5:$AJ$596,24,)/VLOOKUP($D60,$C$5:$AJ$596,4,))*$F60))</f>
        <v>0</v>
      </c>
      <c r="AA60" s="90">
        <f>IF(VLOOKUP($D60,$C$5:$AJ$596,25,)=0,0,((VLOOKUP($D60,$C$5:$AJ$596,25,)/VLOOKUP($D60,$C$5:$AJ$596,4,))*$F60))</f>
        <v>0</v>
      </c>
      <c r="AB60" s="90">
        <f>IF(VLOOKUP($D60,$C$5:$AJ$596,26,)=0,0,((VLOOKUP($D60,$C$5:$AJ$596,26,)/VLOOKUP($D60,$C$5:$AJ$596,4,))*$F60))</f>
        <v>0</v>
      </c>
      <c r="AC60" s="90">
        <f>IF(VLOOKUP($D60,$C$5:$AJ$596,27,)=0,0,((VLOOKUP($D60,$C$5:$AJ$596,27,)/VLOOKUP($D60,$C$5:$AJ$596,4,))*$F60))</f>
        <v>0</v>
      </c>
      <c r="AD60" s="90">
        <f>IF(VLOOKUP($D60,$C$5:$AJ$596,28,)=0,0,((VLOOKUP($D60,$C$5:$AJ$596,28,)/VLOOKUP($D60,$C$5:$AJ$596,4,))*$F60))</f>
        <v>0</v>
      </c>
      <c r="AE60" s="90"/>
      <c r="AF60" s="90">
        <f>IF(VLOOKUP($D60,$C$5:$AJ$596,30,)=0,0,((VLOOKUP($D60,$C$5:$AJ$596,30,)/VLOOKUP($D60,$C$5:$AJ$596,4,))*$F60))</f>
        <v>0</v>
      </c>
      <c r="AG60" s="90"/>
      <c r="AH60" s="90">
        <f>IF(VLOOKUP($D60,$C$5:$AJ$596,32,)=0,0,((VLOOKUP($D60,$C$5:$AJ$596,32,)/VLOOKUP($D60,$C$5:$AJ$596,4,))*$F60))</f>
        <v>0</v>
      </c>
      <c r="AI60" s="90"/>
      <c r="AJ60" s="90">
        <f>IF(VLOOKUP($D60,$C$5:$AJ$596,34,)=0,0,((VLOOKUP($D60,$C$5:$AJ$596,34,)/VLOOKUP($D60,$C$5:$AJ$596,4,))*$F60))</f>
        <v>0</v>
      </c>
      <c r="AK60" s="90">
        <f>SUM(H60:AJ60)</f>
        <v>290384</v>
      </c>
      <c r="AL60" s="87" t="str">
        <f>IF(ABS(AK60-F60)&lt;1,"ok","err")</f>
        <v>ok</v>
      </c>
    </row>
    <row r="61" spans="1:38" x14ac:dyDescent="0.5">
      <c r="A61" s="88">
        <v>105</v>
      </c>
      <c r="B61" s="86" t="s">
        <v>2218</v>
      </c>
      <c r="C61" s="86" t="s">
        <v>503</v>
      </c>
      <c r="D61" s="371" t="s">
        <v>109</v>
      </c>
      <c r="E61" s="71"/>
      <c r="F61" s="89">
        <f>'Jurisdictional Study'!F771</f>
        <v>906481</v>
      </c>
      <c r="H61" s="90">
        <f>IF(VLOOKUP($D61,$C$5:$AJ$596,6,)=0,0,((VLOOKUP($D61,$C$5:$AJ$596,6,)/VLOOKUP($D61,$C$5:$AJ$596,4,))*$F61))</f>
        <v>0</v>
      </c>
      <c r="I61" s="90">
        <f>IF(VLOOKUP($D61,$C$5:$AJ$596,7,)=0,0,((VLOOKUP($D61,$C$5:$AJ$596,7,)/VLOOKUP($D61,$C$5:$AJ$596,4,))*$F61))</f>
        <v>0</v>
      </c>
      <c r="J61" s="90">
        <f>IF(VLOOKUP($D61,$C$5:$AJ$596,8,)=0,0,((VLOOKUP($D61,$C$5:$AJ$596,8,)/VLOOKUP($D61,$C$5:$AJ$596,4,))*$F61))</f>
        <v>0</v>
      </c>
      <c r="K61" s="90">
        <f>IF(VLOOKUP($D61,$C$5:$AJ$596,9,)=0,0,((VLOOKUP($D61,$C$5:$AJ$596,9,)/VLOOKUP($D61,$C$5:$AJ$596,4,))*$F61))</f>
        <v>0</v>
      </c>
      <c r="L61" s="90">
        <f>IF(VLOOKUP($D61,$C$5:$AJ$596,10,)=0,0,((VLOOKUP($D61,$C$5:$AJ$596,10,)/VLOOKUP($D61,$C$5:$AJ$596,4,))*$F61))</f>
        <v>0</v>
      </c>
      <c r="M61" s="90">
        <f>IF(VLOOKUP($D61,$C$5:$AJ$596,11,)=0,0,((VLOOKUP($D61,$C$5:$AJ$596,11,)/VLOOKUP($D61,$C$5:$AJ$596,4,))*$F61))</f>
        <v>0</v>
      </c>
      <c r="N61" s="90"/>
      <c r="O61" s="90">
        <f>IF(VLOOKUP($D61,$C$5:$AJ$596,13,)=0,0,((VLOOKUP($D61,$C$5:$AJ$596,13,)/VLOOKUP($D61,$C$5:$AJ$596,4,))*$F61))</f>
        <v>0</v>
      </c>
      <c r="P61" s="90">
        <f>IF(VLOOKUP($D61,$C$5:$AJ$596,14,)=0,0,((VLOOKUP($D61,$C$5:$AJ$596,14,)/VLOOKUP($D61,$C$5:$AJ$596,4,))*$F61))</f>
        <v>0</v>
      </c>
      <c r="Q61" s="90">
        <f>IF(VLOOKUP($D61,$C$5:$AJ$596,15,)=0,0,((VLOOKUP($D61,$C$5:$AJ$596,15,)/VLOOKUP($D61,$C$5:$AJ$596,4,))*$F61))</f>
        <v>0</v>
      </c>
      <c r="R61" s="90"/>
      <c r="S61" s="90">
        <f>IF(VLOOKUP($D61,$C$5:$AJ$596,17,)=0,0,((VLOOKUP($D61,$C$5:$AJ$596,17,)/VLOOKUP($D61,$C$5:$AJ$596,4,))*$F61))</f>
        <v>0</v>
      </c>
      <c r="T61" s="90">
        <f>IF(VLOOKUP($D61,$C$5:$AJ$596,18,)=0,0,((VLOOKUP($D61,$C$5:$AJ$596,18,)/VLOOKUP($D61,$C$5:$AJ$596,4,))*$F61))</f>
        <v>142090.53566426327</v>
      </c>
      <c r="U61" s="90">
        <f>IF(VLOOKUP($D61,$C$5:$AJ$596,19,)=0,0,((VLOOKUP($D61,$C$5:$AJ$596,19,)/VLOOKUP($D61,$C$5:$AJ$596,4,))*$F61))</f>
        <v>0</v>
      </c>
      <c r="V61" s="90">
        <f>IF(VLOOKUP($D61,$C$5:$AJ$596,20,)=0,0,((VLOOKUP($D61,$C$5:$AJ$596,20,)/VLOOKUP($D61,$C$5:$AJ$596,4,))*$F61))</f>
        <v>113012.1802375226</v>
      </c>
      <c r="W61" s="90">
        <f>IF(VLOOKUP($D61,$C$5:$AJ$596,21,)=0,0,((VLOOKUP($D61,$C$5:$AJ$596,21,)/VLOOKUP($D61,$C$5:$AJ$596,4,))*$F61))</f>
        <v>219669.13815756253</v>
      </c>
      <c r="X61" s="90">
        <f>IF(VLOOKUP($D61,$C$5:$AJ$596,22,)=0,0,((VLOOKUP($D61,$C$5:$AJ$596,22,)/VLOOKUP($D61,$C$5:$AJ$596,4,))*$F61))</f>
        <v>50876.354605973713</v>
      </c>
      <c r="Y61" s="90">
        <f>IF(VLOOKUP($D61,$C$5:$AJ$596,23,)=0,0,((VLOOKUP($D61,$C$5:$AJ$596,23,)/VLOOKUP($D61,$C$5:$AJ$596,4,))*$F61))</f>
        <v>102706.72357118169</v>
      </c>
      <c r="Z61" s="90">
        <f>IF(VLOOKUP($D61,$C$5:$AJ$596,24,)=0,0,((VLOOKUP($D61,$C$5:$AJ$596,24,)/VLOOKUP($D61,$C$5:$AJ$596,4,))*$F61))</f>
        <v>74164.207236052142</v>
      </c>
      <c r="AA61" s="90">
        <f>IF(VLOOKUP($D61,$C$5:$AJ$596,25,)=0,0,((VLOOKUP($D61,$C$5:$AJ$596,25,)/VLOOKUP($D61,$C$5:$AJ$596,4,))*$F61))</f>
        <v>61617.625906598216</v>
      </c>
      <c r="AB61" s="90">
        <f>IF(VLOOKUP($D61,$C$5:$AJ$596,26,)=0,0,((VLOOKUP($D61,$C$5:$AJ$596,26,)/VLOOKUP($D61,$C$5:$AJ$596,4,))*$F61))</f>
        <v>51951.49331160124</v>
      </c>
      <c r="AC61" s="90">
        <f>IF(VLOOKUP($D61,$C$5:$AJ$596,27,)=0,0,((VLOOKUP($D61,$C$5:$AJ$596,27,)/VLOOKUP($D61,$C$5:$AJ$596,4,))*$F61))</f>
        <v>30897.568866110494</v>
      </c>
      <c r="AD61" s="90">
        <f>IF(VLOOKUP($D61,$C$5:$AJ$596,28,)=0,0,((VLOOKUP($D61,$C$5:$AJ$596,28,)/VLOOKUP($D61,$C$5:$AJ$596,4,))*$F61))</f>
        <v>59495.172443134114</v>
      </c>
      <c r="AE61" s="90"/>
      <c r="AF61" s="90">
        <f>IF(VLOOKUP($D61,$C$5:$AJ$596,30,)=0,0,((VLOOKUP($D61,$C$5:$AJ$596,30,)/VLOOKUP($D61,$C$5:$AJ$596,4,))*$F61))</f>
        <v>0</v>
      </c>
      <c r="AG61" s="90"/>
      <c r="AH61" s="90">
        <f>IF(VLOOKUP($D61,$C$5:$AJ$596,32,)=0,0,((VLOOKUP($D61,$C$5:$AJ$596,32,)/VLOOKUP($D61,$C$5:$AJ$596,4,))*$F61))</f>
        <v>0</v>
      </c>
      <c r="AI61" s="90"/>
      <c r="AJ61" s="90">
        <f>IF(VLOOKUP($D61,$C$5:$AJ$596,34,)=0,0,((VLOOKUP($D61,$C$5:$AJ$596,34,)/VLOOKUP($D61,$C$5:$AJ$596,4,))*$F61))</f>
        <v>0</v>
      </c>
      <c r="AK61" s="90">
        <f>SUM(H61:AJ61)</f>
        <v>906481</v>
      </c>
      <c r="AL61" s="87" t="str">
        <f>IF(ABS(AK61-F61)&lt;1,"ok","err")</f>
        <v>ok</v>
      </c>
    </row>
    <row r="62" spans="1:38" x14ac:dyDescent="0.5">
      <c r="A62" s="88">
        <v>105</v>
      </c>
      <c r="B62" s="86" t="s">
        <v>2325</v>
      </c>
      <c r="C62" s="86" t="s">
        <v>503</v>
      </c>
      <c r="D62" s="371" t="s">
        <v>471</v>
      </c>
      <c r="E62" s="71"/>
      <c r="F62" s="89">
        <f>'Jurisdictional Study'!F772</f>
        <v>0</v>
      </c>
      <c r="H62" s="90">
        <f>IF(VLOOKUP($D62,$C$5:$AJ$596,6,)=0,0,((VLOOKUP($D62,$C$5:$AJ$596,6,)/VLOOKUP($D62,$C$5:$AJ$596,4,))*$F62))</f>
        <v>0</v>
      </c>
      <c r="I62" s="90">
        <f>IF(VLOOKUP($D62,$C$5:$AJ$596,7,)=0,0,((VLOOKUP($D62,$C$5:$AJ$596,7,)/VLOOKUP($D62,$C$5:$AJ$596,4,))*$F62))</f>
        <v>0</v>
      </c>
      <c r="J62" s="90">
        <f>IF(VLOOKUP($D62,$C$5:$AJ$596,8,)=0,0,((VLOOKUP($D62,$C$5:$AJ$596,8,)/VLOOKUP($D62,$C$5:$AJ$596,4,))*$F62))</f>
        <v>0</v>
      </c>
      <c r="K62" s="90">
        <f>IF(VLOOKUP($D62,$C$5:$AJ$596,9,)=0,0,((VLOOKUP($D62,$C$5:$AJ$596,9,)/VLOOKUP($D62,$C$5:$AJ$596,4,))*$F62))</f>
        <v>0</v>
      </c>
      <c r="L62" s="90">
        <f>IF(VLOOKUP($D62,$C$5:$AJ$596,10,)=0,0,((VLOOKUP($D62,$C$5:$AJ$596,10,)/VLOOKUP($D62,$C$5:$AJ$596,4,))*$F62))</f>
        <v>0</v>
      </c>
      <c r="M62" s="90">
        <f>IF(VLOOKUP($D62,$C$5:$AJ$596,11,)=0,0,((VLOOKUP($D62,$C$5:$AJ$596,11,)/VLOOKUP($D62,$C$5:$AJ$596,4,))*$F62))</f>
        <v>0</v>
      </c>
      <c r="N62" s="90"/>
      <c r="O62" s="90">
        <f>IF(VLOOKUP($D62,$C$5:$AJ$596,13,)=0,0,((VLOOKUP($D62,$C$5:$AJ$596,13,)/VLOOKUP($D62,$C$5:$AJ$596,4,))*$F62))</f>
        <v>0</v>
      </c>
      <c r="P62" s="90">
        <f>IF(VLOOKUP($D62,$C$5:$AJ$596,14,)=0,0,((VLOOKUP($D62,$C$5:$AJ$596,14,)/VLOOKUP($D62,$C$5:$AJ$596,4,))*$F62))</f>
        <v>0</v>
      </c>
      <c r="Q62" s="90">
        <f>IF(VLOOKUP($D62,$C$5:$AJ$596,15,)=0,0,((VLOOKUP($D62,$C$5:$AJ$596,15,)/VLOOKUP($D62,$C$5:$AJ$596,4,))*$F62))</f>
        <v>0</v>
      </c>
      <c r="R62" s="90"/>
      <c r="S62" s="90">
        <f>IF(VLOOKUP($D62,$C$5:$AJ$596,17,)=0,0,((VLOOKUP($D62,$C$5:$AJ$596,17,)/VLOOKUP($D62,$C$5:$AJ$596,4,))*$F62))</f>
        <v>0</v>
      </c>
      <c r="T62" s="90">
        <f>IF(VLOOKUP($D62,$C$5:$AJ$596,18,)=0,0,((VLOOKUP($D62,$C$5:$AJ$596,18,)/VLOOKUP($D62,$C$5:$AJ$596,4,))*$F62))</f>
        <v>0</v>
      </c>
      <c r="U62" s="90">
        <f>IF(VLOOKUP($D62,$C$5:$AJ$596,19,)=0,0,((VLOOKUP($D62,$C$5:$AJ$596,19,)/VLOOKUP($D62,$C$5:$AJ$596,4,))*$F62))</f>
        <v>0</v>
      </c>
      <c r="V62" s="90">
        <f>IF(VLOOKUP($D62,$C$5:$AJ$596,20,)=0,0,((VLOOKUP($D62,$C$5:$AJ$596,20,)/VLOOKUP($D62,$C$5:$AJ$596,4,))*$F62))</f>
        <v>0</v>
      </c>
      <c r="W62" s="90">
        <f>IF(VLOOKUP($D62,$C$5:$AJ$596,21,)=0,0,((VLOOKUP($D62,$C$5:$AJ$596,21,)/VLOOKUP($D62,$C$5:$AJ$596,4,))*$F62))</f>
        <v>0</v>
      </c>
      <c r="X62" s="90">
        <f>IF(VLOOKUP($D62,$C$5:$AJ$596,22,)=0,0,((VLOOKUP($D62,$C$5:$AJ$596,22,)/VLOOKUP($D62,$C$5:$AJ$596,4,))*$F62))</f>
        <v>0</v>
      </c>
      <c r="Y62" s="90">
        <f>IF(VLOOKUP($D62,$C$5:$AJ$596,23,)=0,0,((VLOOKUP($D62,$C$5:$AJ$596,23,)/VLOOKUP($D62,$C$5:$AJ$596,4,))*$F62))</f>
        <v>0</v>
      </c>
      <c r="Z62" s="90">
        <f>IF(VLOOKUP($D62,$C$5:$AJ$596,24,)=0,0,((VLOOKUP($D62,$C$5:$AJ$596,24,)/VLOOKUP($D62,$C$5:$AJ$596,4,))*$F62))</f>
        <v>0</v>
      </c>
      <c r="AA62" s="90">
        <f>IF(VLOOKUP($D62,$C$5:$AJ$596,25,)=0,0,((VLOOKUP($D62,$C$5:$AJ$596,25,)/VLOOKUP($D62,$C$5:$AJ$596,4,))*$F62))</f>
        <v>0</v>
      </c>
      <c r="AB62" s="90">
        <f>IF(VLOOKUP($D62,$C$5:$AJ$596,26,)=0,0,((VLOOKUP($D62,$C$5:$AJ$596,26,)/VLOOKUP($D62,$C$5:$AJ$596,4,))*$F62))</f>
        <v>0</v>
      </c>
      <c r="AC62" s="90">
        <f>IF(VLOOKUP($D62,$C$5:$AJ$596,27,)=0,0,((VLOOKUP($D62,$C$5:$AJ$596,27,)/VLOOKUP($D62,$C$5:$AJ$596,4,))*$F62))</f>
        <v>0</v>
      </c>
      <c r="AD62" s="90">
        <f>IF(VLOOKUP($D62,$C$5:$AJ$596,28,)=0,0,((VLOOKUP($D62,$C$5:$AJ$596,28,)/VLOOKUP($D62,$C$5:$AJ$596,4,))*$F62))</f>
        <v>0</v>
      </c>
      <c r="AE62" s="90"/>
      <c r="AF62" s="90">
        <f>IF(VLOOKUP($D62,$C$5:$AJ$596,30,)=0,0,((VLOOKUP($D62,$C$5:$AJ$596,30,)/VLOOKUP($D62,$C$5:$AJ$596,4,))*$F62))</f>
        <v>0</v>
      </c>
      <c r="AG62" s="90"/>
      <c r="AH62" s="90">
        <f>IF(VLOOKUP($D62,$C$5:$AJ$596,32,)=0,0,((VLOOKUP($D62,$C$5:$AJ$596,32,)/VLOOKUP($D62,$C$5:$AJ$596,4,))*$F62))</f>
        <v>0</v>
      </c>
      <c r="AI62" s="90"/>
      <c r="AJ62" s="90">
        <f>IF(VLOOKUP($D62,$C$5:$AJ$596,34,)=0,0,((VLOOKUP($D62,$C$5:$AJ$596,34,)/VLOOKUP($D62,$C$5:$AJ$596,4,))*$F62))</f>
        <v>0</v>
      </c>
      <c r="AK62" s="90">
        <f>SUM(H62:AJ62)</f>
        <v>0</v>
      </c>
      <c r="AL62" s="87" t="str">
        <f>IF(ABS(AK62-F62)&lt;1,"ok","err")</f>
        <v>ok</v>
      </c>
    </row>
    <row r="63" spans="1:38" x14ac:dyDescent="0.5">
      <c r="D63" s="371"/>
      <c r="E63" s="71"/>
      <c r="P63" s="90"/>
      <c r="Q63" s="90"/>
      <c r="Y63" s="86"/>
      <c r="AK63" s="90"/>
      <c r="AL63" s="87"/>
    </row>
    <row r="64" spans="1:38" x14ac:dyDescent="0.5">
      <c r="A64" s="88"/>
      <c r="B64" s="86" t="s">
        <v>1296</v>
      </c>
      <c r="D64" s="371" t="s">
        <v>109</v>
      </c>
      <c r="E64" s="71"/>
      <c r="F64" s="90">
        <v>0</v>
      </c>
      <c r="H64" s="90">
        <f>IF(VLOOKUP($D64,$C$5:$AJ$596,6,)=0,0,((VLOOKUP($D64,$C$5:$AJ$596,6,)/VLOOKUP($D64,$C$5:$AJ$596,4,))*$F64))</f>
        <v>0</v>
      </c>
      <c r="I64" s="90">
        <f>IF(VLOOKUP($D64,$C$5:$AJ$596,7,)=0,0,((VLOOKUP($D64,$C$5:$AJ$596,7,)/VLOOKUP($D64,$C$5:$AJ$596,4,))*$F64))</f>
        <v>0</v>
      </c>
      <c r="J64" s="90">
        <f>IF(VLOOKUP($D64,$C$5:$AJ$596,8,)=0,0,((VLOOKUP($D64,$C$5:$AJ$596,8,)/VLOOKUP($D64,$C$5:$AJ$596,4,))*$F64))</f>
        <v>0</v>
      </c>
      <c r="K64" s="90">
        <f>IF(VLOOKUP($D64,$C$5:$AJ$596,9,)=0,0,((VLOOKUP($D64,$C$5:$AJ$596,9,)/VLOOKUP($D64,$C$5:$AJ$596,4,))*$F64))</f>
        <v>0</v>
      </c>
      <c r="L64" s="90">
        <f>IF(VLOOKUP($D64,$C$5:$AJ$596,10,)=0,0,((VLOOKUP($D64,$C$5:$AJ$596,10,)/VLOOKUP($D64,$C$5:$AJ$596,4,))*$F64))</f>
        <v>0</v>
      </c>
      <c r="M64" s="90">
        <f>IF(VLOOKUP($D64,$C$5:$AJ$596,11,)=0,0,((VLOOKUP($D64,$C$5:$AJ$596,11,)/VLOOKUP($D64,$C$5:$AJ$596,4,))*$F64))</f>
        <v>0</v>
      </c>
      <c r="N64" s="90"/>
      <c r="O64" s="90">
        <f>IF(VLOOKUP($D64,$C$5:$AJ$596,13,)=0,0,((VLOOKUP($D64,$C$5:$AJ$596,13,)/VLOOKUP($D64,$C$5:$AJ$596,4,))*$F64))</f>
        <v>0</v>
      </c>
      <c r="P64" s="90">
        <f>IF(VLOOKUP($D64,$C$5:$AJ$596,14,)=0,0,((VLOOKUP($D64,$C$5:$AJ$596,14,)/VLOOKUP($D64,$C$5:$AJ$596,4,))*$F64))</f>
        <v>0</v>
      </c>
      <c r="Q64" s="90">
        <f>IF(VLOOKUP($D64,$C$5:$AJ$596,15,)=0,0,((VLOOKUP($D64,$C$5:$AJ$596,15,)/VLOOKUP($D64,$C$5:$AJ$596,4,))*$F64))</f>
        <v>0</v>
      </c>
      <c r="R64" s="90"/>
      <c r="S64" s="90">
        <f>IF(VLOOKUP($D64,$C$5:$AJ$596,17,)=0,0,((VLOOKUP($D64,$C$5:$AJ$596,17,)/VLOOKUP($D64,$C$5:$AJ$596,4,))*$F64))</f>
        <v>0</v>
      </c>
      <c r="T64" s="90">
        <f>IF(VLOOKUP($D64,$C$5:$AJ$596,18,)=0,0,((VLOOKUP($D64,$C$5:$AJ$596,18,)/VLOOKUP($D64,$C$5:$AJ$596,4,))*$F64))</f>
        <v>0</v>
      </c>
      <c r="U64" s="90">
        <f>IF(VLOOKUP($D64,$C$5:$AJ$596,19,)=0,0,((VLOOKUP($D64,$C$5:$AJ$596,19,)/VLOOKUP($D64,$C$5:$AJ$596,4,))*$F64))</f>
        <v>0</v>
      </c>
      <c r="V64" s="90">
        <f>IF(VLOOKUP($D64,$C$5:$AJ$596,20,)=0,0,((VLOOKUP($D64,$C$5:$AJ$596,20,)/VLOOKUP($D64,$C$5:$AJ$596,4,))*$F64))</f>
        <v>0</v>
      </c>
      <c r="W64" s="90">
        <f>IF(VLOOKUP($D64,$C$5:$AJ$596,21,)=0,0,((VLOOKUP($D64,$C$5:$AJ$596,21,)/VLOOKUP($D64,$C$5:$AJ$596,4,))*$F64))</f>
        <v>0</v>
      </c>
      <c r="X64" s="90">
        <f>IF(VLOOKUP($D64,$C$5:$AJ$596,22,)=0,0,((VLOOKUP($D64,$C$5:$AJ$596,22,)/VLOOKUP($D64,$C$5:$AJ$596,4,))*$F64))</f>
        <v>0</v>
      </c>
      <c r="Y64" s="90">
        <f>IF(VLOOKUP($D64,$C$5:$AJ$596,23,)=0,0,((VLOOKUP($D64,$C$5:$AJ$596,23,)/VLOOKUP($D64,$C$5:$AJ$596,4,))*$F64))</f>
        <v>0</v>
      </c>
      <c r="Z64" s="90">
        <f>IF(VLOOKUP($D64,$C$5:$AJ$596,24,)=0,0,((VLOOKUP($D64,$C$5:$AJ$596,24,)/VLOOKUP($D64,$C$5:$AJ$596,4,))*$F64))</f>
        <v>0</v>
      </c>
      <c r="AA64" s="90">
        <f>IF(VLOOKUP($D64,$C$5:$AJ$596,25,)=0,0,((VLOOKUP($D64,$C$5:$AJ$596,25,)/VLOOKUP($D64,$C$5:$AJ$596,4,))*$F64))</f>
        <v>0</v>
      </c>
      <c r="AB64" s="90">
        <f>IF(VLOOKUP($D64,$C$5:$AJ$596,26,)=0,0,((VLOOKUP($D64,$C$5:$AJ$596,26,)/VLOOKUP($D64,$C$5:$AJ$596,4,))*$F64))</f>
        <v>0</v>
      </c>
      <c r="AC64" s="90">
        <f>IF(VLOOKUP($D64,$C$5:$AJ$596,27,)=0,0,((VLOOKUP($D64,$C$5:$AJ$596,27,)/VLOOKUP($D64,$C$5:$AJ$596,4,))*$F64))</f>
        <v>0</v>
      </c>
      <c r="AD64" s="90">
        <f>IF(VLOOKUP($D64,$C$5:$AJ$596,28,)=0,0,((VLOOKUP($D64,$C$5:$AJ$596,28,)/VLOOKUP($D64,$C$5:$AJ$596,4,))*$F64))</f>
        <v>0</v>
      </c>
      <c r="AE64" s="90"/>
      <c r="AF64" s="90">
        <f>IF(VLOOKUP($D64,$C$5:$AJ$596,30,)=0,0,((VLOOKUP($D64,$C$5:$AJ$596,30,)/VLOOKUP($D64,$C$5:$AJ$596,4,))*$F64))</f>
        <v>0</v>
      </c>
      <c r="AG64" s="90"/>
      <c r="AH64" s="90">
        <f>IF(VLOOKUP($D64,$C$5:$AJ$596,32,)=0,0,((VLOOKUP($D64,$C$5:$AJ$596,32,)/VLOOKUP($D64,$C$5:$AJ$596,4,))*$F64))</f>
        <v>0</v>
      </c>
      <c r="AI64" s="90"/>
      <c r="AJ64" s="90">
        <f>IF(VLOOKUP($D64,$C$5:$AJ$596,34,)=0,0,((VLOOKUP($D64,$C$5:$AJ$596,34,)/VLOOKUP($D64,$C$5:$AJ$596,4,))*$F64))</f>
        <v>0</v>
      </c>
      <c r="AK64" s="90">
        <f>SUM(H64:AJ64)</f>
        <v>0</v>
      </c>
      <c r="AL64" s="87" t="str">
        <f>IF(ABS(AK64-F64)&lt;1,"ok","err")</f>
        <v>ok</v>
      </c>
    </row>
    <row r="65" spans="1:39" x14ac:dyDescent="0.5">
      <c r="D65" s="371"/>
      <c r="E65" s="71"/>
      <c r="Y65" s="86"/>
      <c r="AK65" s="90"/>
      <c r="AL65" s="87"/>
    </row>
    <row r="66" spans="1:39" x14ac:dyDescent="0.5">
      <c r="B66" s="86" t="s">
        <v>175</v>
      </c>
      <c r="C66" s="86" t="s">
        <v>176</v>
      </c>
      <c r="D66" s="371"/>
      <c r="E66" s="71"/>
      <c r="F66" s="91">
        <f>F12+F16+F20+F24+F32+F45+F57+F59+F60+F61+F62+F64</f>
        <v>9650773038</v>
      </c>
      <c r="G66" s="91"/>
      <c r="H66" s="91">
        <f t="shared" ref="H66:M66" si="35">H12+H16+H20+H24+H32+H45+H57+H59+H60+H61+H62+H64</f>
        <v>6073014122.7946768</v>
      </c>
      <c r="I66" s="91">
        <f t="shared" si="35"/>
        <v>0</v>
      </c>
      <c r="J66" s="91">
        <f t="shared" si="35"/>
        <v>0</v>
      </c>
      <c r="K66" s="91">
        <f t="shared" si="35"/>
        <v>0</v>
      </c>
      <c r="L66" s="91">
        <f t="shared" si="35"/>
        <v>0</v>
      </c>
      <c r="M66" s="91">
        <f t="shared" si="35"/>
        <v>0</v>
      </c>
      <c r="N66" s="91"/>
      <c r="O66" s="91">
        <f>O12+O16+O20+O24+O32+O45+O57+O59+O60+O61+O62+O64</f>
        <v>1314530302.8368411</v>
      </c>
      <c r="P66" s="91">
        <f>P12+P16+P20+P24+P32+P45+P57+P59+P60+P61+P62+P64</f>
        <v>0</v>
      </c>
      <c r="Q66" s="91">
        <f>Q12+Q16+Q20+Q24+Q32+Q45+Q57+Q59+Q60+Q61+Q62+Q64</f>
        <v>0</v>
      </c>
      <c r="R66" s="91"/>
      <c r="S66" s="91">
        <f t="shared" ref="S66:AD66" si="36">S12+S16+S20+S24+S32+S45+S57+S59+S60+S61+S62+S64</f>
        <v>0</v>
      </c>
      <c r="T66" s="91">
        <f t="shared" si="36"/>
        <v>354760183.45902979</v>
      </c>
      <c r="U66" s="91">
        <f t="shared" si="36"/>
        <v>0</v>
      </c>
      <c r="V66" s="91">
        <f t="shared" si="36"/>
        <v>282159692.10574192</v>
      </c>
      <c r="W66" s="91">
        <f t="shared" si="36"/>
        <v>548452177.96348798</v>
      </c>
      <c r="X66" s="91">
        <f t="shared" si="36"/>
        <v>127023976.71572234</v>
      </c>
      <c r="Y66" s="91">
        <f t="shared" si="36"/>
        <v>256429859.49944761</v>
      </c>
      <c r="Z66" s="91">
        <f t="shared" si="36"/>
        <v>185167207.95059004</v>
      </c>
      <c r="AA66" s="91">
        <f t="shared" si="36"/>
        <v>153841916.13285938</v>
      </c>
      <c r="AB66" s="91">
        <f t="shared" si="36"/>
        <v>129708296.27767788</v>
      </c>
      <c r="AC66" s="91">
        <f t="shared" si="36"/>
        <v>77142556.667383939</v>
      </c>
      <c r="AD66" s="91">
        <f t="shared" si="36"/>
        <v>148542745.59654084</v>
      </c>
      <c r="AE66" s="91"/>
      <c r="AF66" s="91">
        <f>AF12+AF16+AF20+AF24+AF32+AF45+AF57+AF59+AF60+AF61+AF62+AF64</f>
        <v>0</v>
      </c>
      <c r="AG66" s="91"/>
      <c r="AH66" s="91">
        <f>AH12+AH16+AH20+AH24+AH32+AH45+AH57+AH59+AH60+AH61+AH62+AH64</f>
        <v>0</v>
      </c>
      <c r="AI66" s="91"/>
      <c r="AJ66" s="91">
        <f>AJ12+AJ16+AJ20+AJ24+AJ32+AJ45+AJ57+AJ59+AJ60+AJ61+AJ62+AJ64</f>
        <v>0</v>
      </c>
      <c r="AK66" s="91">
        <f>AK12+AK16+AK20+AK24+AK32+AK45+AK57+AK59+AK60+AK61+AK62+AK64</f>
        <v>9650773038</v>
      </c>
      <c r="AL66" s="87" t="str">
        <f>IF(ABS(AK66-F66)&lt;1,"ok","err")</f>
        <v>ok</v>
      </c>
      <c r="AM66" s="91"/>
    </row>
    <row r="67" spans="1:39" x14ac:dyDescent="0.5">
      <c r="D67" s="371"/>
      <c r="E67" s="71"/>
      <c r="AL67" s="87"/>
    </row>
    <row r="68" spans="1:39" x14ac:dyDescent="0.5">
      <c r="A68" s="22"/>
      <c r="D68" s="371"/>
      <c r="E68" s="71"/>
      <c r="AL68" s="87"/>
    </row>
    <row r="69" spans="1:39" x14ac:dyDescent="0.5">
      <c r="A69" s="22" t="s">
        <v>177</v>
      </c>
      <c r="D69" s="371"/>
      <c r="E69" s="71"/>
      <c r="AL69" s="87"/>
    </row>
    <row r="70" spans="1:39" x14ac:dyDescent="0.5">
      <c r="A70" s="22"/>
      <c r="D70" s="371"/>
      <c r="E70" s="71"/>
      <c r="AL70" s="87"/>
    </row>
    <row r="71" spans="1:39" x14ac:dyDescent="0.5">
      <c r="B71" s="86" t="s">
        <v>1598</v>
      </c>
      <c r="C71" s="86" t="s">
        <v>1036</v>
      </c>
      <c r="D71" s="371" t="s">
        <v>706</v>
      </c>
      <c r="E71" s="71"/>
      <c r="F71" s="89">
        <f>'Jurisdictional Study'!F831-104728034</f>
        <v>20992633</v>
      </c>
      <c r="H71" s="90">
        <f>IF(VLOOKUP($D71,$C$5:$AJ$596,6,)=0,0,((VLOOKUP($D71,$C$5:$AJ$596,6,)/VLOOKUP($D71,$C$5:$AJ$596,4,))*$F71))</f>
        <v>20992633</v>
      </c>
      <c r="I71" s="90">
        <f>IF(VLOOKUP($D71,$C$5:$AJ$596,7,)=0,0,((VLOOKUP($D71,$C$5:$AJ$596,7,)/VLOOKUP($D71,$C$5:$AJ$596,4,))*$F71))</f>
        <v>0</v>
      </c>
      <c r="J71" s="90">
        <f>IF(VLOOKUP($D71,$C$5:$AJ$596,8,)=0,0,((VLOOKUP($D71,$C$5:$AJ$596,8,)/VLOOKUP($D71,$C$5:$AJ$596,4,))*$F71))</f>
        <v>0</v>
      </c>
      <c r="K71" s="90">
        <f>IF(VLOOKUP($D71,$C$5:$AJ$596,9,)=0,0,((VLOOKUP($D71,$C$5:$AJ$596,9,)/VLOOKUP($D71,$C$5:$AJ$596,4,))*$F71))</f>
        <v>0</v>
      </c>
      <c r="L71" s="90">
        <f>IF(VLOOKUP($D71,$C$5:$AJ$596,10,)=0,0,((VLOOKUP($D71,$C$5:$AJ$596,10,)/VLOOKUP($D71,$C$5:$AJ$596,4,))*$F71))</f>
        <v>0</v>
      </c>
      <c r="M71" s="90">
        <f>IF(VLOOKUP($D71,$C$5:$AJ$596,11,)=0,0,((VLOOKUP($D71,$C$5:$AJ$596,11,)/VLOOKUP($D71,$C$5:$AJ$596,4,))*$F71))</f>
        <v>0</v>
      </c>
      <c r="N71" s="90"/>
      <c r="O71" s="90">
        <f>IF(VLOOKUP($D71,$C$5:$AJ$596,13,)=0,0,((VLOOKUP($D71,$C$5:$AJ$596,13,)/VLOOKUP($D71,$C$5:$AJ$596,4,))*$F71))</f>
        <v>0</v>
      </c>
      <c r="P71" s="90">
        <f>IF(VLOOKUP($D71,$C$5:$AJ$596,14,)=0,0,((VLOOKUP($D71,$C$5:$AJ$596,14,)/VLOOKUP($D71,$C$5:$AJ$596,4,))*$F71))</f>
        <v>0</v>
      </c>
      <c r="Q71" s="90">
        <f>IF(VLOOKUP($D71,$C$5:$AJ$596,15,)=0,0,((VLOOKUP($D71,$C$5:$AJ$596,15,)/VLOOKUP($D71,$C$5:$AJ$596,4,))*$F71))</f>
        <v>0</v>
      </c>
      <c r="R71" s="90"/>
      <c r="S71" s="90">
        <f>IF(VLOOKUP($D71,$C$5:$AJ$596,17,)=0,0,((VLOOKUP($D71,$C$5:$AJ$596,17,)/VLOOKUP($D71,$C$5:$AJ$596,4,))*$F71))</f>
        <v>0</v>
      </c>
      <c r="T71" s="90">
        <f>IF(VLOOKUP($D71,$C$5:$AJ$596,18,)=0,0,((VLOOKUP($D71,$C$5:$AJ$596,18,)/VLOOKUP($D71,$C$5:$AJ$596,4,))*$F71))</f>
        <v>0</v>
      </c>
      <c r="U71" s="90">
        <f>IF(VLOOKUP($D71,$C$5:$AJ$596,19,)=0,0,((VLOOKUP($D71,$C$5:$AJ$596,19,)/VLOOKUP($D71,$C$5:$AJ$596,4,))*$F71))</f>
        <v>0</v>
      </c>
      <c r="V71" s="90">
        <f>IF(VLOOKUP($D71,$C$5:$AJ$596,20,)=0,0,((VLOOKUP($D71,$C$5:$AJ$596,20,)/VLOOKUP($D71,$C$5:$AJ$596,4,))*$F71))</f>
        <v>0</v>
      </c>
      <c r="W71" s="90">
        <f>IF(VLOOKUP($D71,$C$5:$AJ$596,21,)=0,0,((VLOOKUP($D71,$C$5:$AJ$596,21,)/VLOOKUP($D71,$C$5:$AJ$596,4,))*$F71))</f>
        <v>0</v>
      </c>
      <c r="X71" s="90">
        <f>IF(VLOOKUP($D71,$C$5:$AJ$596,22,)=0,0,((VLOOKUP($D71,$C$5:$AJ$596,22,)/VLOOKUP($D71,$C$5:$AJ$596,4,))*$F71))</f>
        <v>0</v>
      </c>
      <c r="Y71" s="90">
        <f>IF(VLOOKUP($D71,$C$5:$AJ$596,23,)=0,0,((VLOOKUP($D71,$C$5:$AJ$596,23,)/VLOOKUP($D71,$C$5:$AJ$596,4,))*$F71))</f>
        <v>0</v>
      </c>
      <c r="Z71" s="90">
        <f>IF(VLOOKUP($D71,$C$5:$AJ$596,24,)=0,0,((VLOOKUP($D71,$C$5:$AJ$596,24,)/VLOOKUP($D71,$C$5:$AJ$596,4,))*$F71))</f>
        <v>0</v>
      </c>
      <c r="AA71" s="90">
        <f>IF(VLOOKUP($D71,$C$5:$AJ$596,25,)=0,0,((VLOOKUP($D71,$C$5:$AJ$596,25,)/VLOOKUP($D71,$C$5:$AJ$596,4,))*$F71))</f>
        <v>0</v>
      </c>
      <c r="AB71" s="90">
        <f>IF(VLOOKUP($D71,$C$5:$AJ$596,26,)=0,0,((VLOOKUP($D71,$C$5:$AJ$596,26,)/VLOOKUP($D71,$C$5:$AJ$596,4,))*$F71))</f>
        <v>0</v>
      </c>
      <c r="AC71" s="90">
        <f>IF(VLOOKUP($D71,$C$5:$AJ$596,27,)=0,0,((VLOOKUP($D71,$C$5:$AJ$596,27,)/VLOOKUP($D71,$C$5:$AJ$596,4,))*$F71))</f>
        <v>0</v>
      </c>
      <c r="AD71" s="90">
        <f>IF(VLOOKUP($D71,$C$5:$AJ$596,28,)=0,0,((VLOOKUP($D71,$C$5:$AJ$596,28,)/VLOOKUP($D71,$C$5:$AJ$596,4,))*$F71))</f>
        <v>0</v>
      </c>
      <c r="AE71" s="90"/>
      <c r="AF71" s="90">
        <f>IF(VLOOKUP($D71,$C$5:$AJ$596,30,)=0,0,((VLOOKUP($D71,$C$5:$AJ$596,30,)/VLOOKUP($D71,$C$5:$AJ$596,4,))*$F71))</f>
        <v>0</v>
      </c>
      <c r="AG71" s="90"/>
      <c r="AH71" s="90">
        <f>IF(VLOOKUP($D71,$C$5:$AJ$596,32,)=0,0,((VLOOKUP($D71,$C$5:$AJ$596,32,)/VLOOKUP($D71,$C$5:$AJ$596,4,))*$F71))</f>
        <v>0</v>
      </c>
      <c r="AI71" s="90"/>
      <c r="AJ71" s="90">
        <f>IF(VLOOKUP($D71,$C$5:$AJ$596,34,)=0,0,((VLOOKUP($D71,$C$5:$AJ$596,34,)/VLOOKUP($D71,$C$5:$AJ$596,4,))*$F71))</f>
        <v>0</v>
      </c>
      <c r="AK71" s="90">
        <f>SUM(H71:AJ71)</f>
        <v>20992633</v>
      </c>
      <c r="AL71" s="87" t="str">
        <f>IF(ABS(AK71-F71)&lt;1,"ok","err")</f>
        <v>ok</v>
      </c>
    </row>
    <row r="72" spans="1:39" x14ac:dyDescent="0.5">
      <c r="B72" s="86" t="s">
        <v>1297</v>
      </c>
      <c r="C72" s="86" t="s">
        <v>1037</v>
      </c>
      <c r="D72" s="371" t="s">
        <v>470</v>
      </c>
      <c r="E72" s="71"/>
      <c r="F72" s="90">
        <f>'Jurisdictional Study'!F839</f>
        <v>78958656</v>
      </c>
      <c r="H72" s="90">
        <f>IF(VLOOKUP($D72,$C$5:$AJ$596,6,)=0,0,((VLOOKUP($D72,$C$5:$AJ$596,6,)/VLOOKUP($D72,$C$5:$AJ$596,4,))*$F72))</f>
        <v>0</v>
      </c>
      <c r="I72" s="90">
        <f>IF(VLOOKUP($D72,$C$5:$AJ$596,7,)=0,0,((VLOOKUP($D72,$C$5:$AJ$596,7,)/VLOOKUP($D72,$C$5:$AJ$596,4,))*$F72))</f>
        <v>0</v>
      </c>
      <c r="J72" s="90">
        <f>IF(VLOOKUP($D72,$C$5:$AJ$596,8,)=0,0,((VLOOKUP($D72,$C$5:$AJ$596,8,)/VLOOKUP($D72,$C$5:$AJ$596,4,))*$F72))</f>
        <v>0</v>
      </c>
      <c r="K72" s="90">
        <f>IF(VLOOKUP($D72,$C$5:$AJ$596,9,)=0,0,((VLOOKUP($D72,$C$5:$AJ$596,9,)/VLOOKUP($D72,$C$5:$AJ$596,4,))*$F72))</f>
        <v>0</v>
      </c>
      <c r="L72" s="90">
        <f>IF(VLOOKUP($D72,$C$5:$AJ$596,10,)=0,0,((VLOOKUP($D72,$C$5:$AJ$596,10,)/VLOOKUP($D72,$C$5:$AJ$596,4,))*$F72))</f>
        <v>0</v>
      </c>
      <c r="M72" s="90">
        <f>IF(VLOOKUP($D72,$C$5:$AJ$596,11,)=0,0,((VLOOKUP($D72,$C$5:$AJ$596,11,)/VLOOKUP($D72,$C$5:$AJ$596,4,))*$F72))</f>
        <v>0</v>
      </c>
      <c r="N72" s="90"/>
      <c r="O72" s="90">
        <f>IF(VLOOKUP($D72,$C$5:$AJ$596,13,)=0,0,((VLOOKUP($D72,$C$5:$AJ$596,13,)/VLOOKUP($D72,$C$5:$AJ$596,4,))*$F72))</f>
        <v>78958656</v>
      </c>
      <c r="P72" s="90">
        <f>IF(VLOOKUP($D72,$C$5:$AJ$596,14,)=0,0,((VLOOKUP($D72,$C$5:$AJ$596,14,)/VLOOKUP($D72,$C$5:$AJ$596,4,))*$F72))</f>
        <v>0</v>
      </c>
      <c r="Q72" s="90">
        <f>IF(VLOOKUP($D72,$C$5:$AJ$596,15,)=0,0,((VLOOKUP($D72,$C$5:$AJ$596,15,)/VLOOKUP($D72,$C$5:$AJ$596,4,))*$F72))</f>
        <v>0</v>
      </c>
      <c r="R72" s="90"/>
      <c r="S72" s="90">
        <f>IF(VLOOKUP($D72,$C$5:$AJ$596,17,)=0,0,((VLOOKUP($D72,$C$5:$AJ$596,17,)/VLOOKUP($D72,$C$5:$AJ$596,4,))*$F72))</f>
        <v>0</v>
      </c>
      <c r="T72" s="90">
        <f>IF(VLOOKUP($D72,$C$5:$AJ$596,18,)=0,0,((VLOOKUP($D72,$C$5:$AJ$596,18,)/VLOOKUP($D72,$C$5:$AJ$596,4,))*$F72))</f>
        <v>0</v>
      </c>
      <c r="U72" s="90">
        <f>IF(VLOOKUP($D72,$C$5:$AJ$596,19,)=0,0,((VLOOKUP($D72,$C$5:$AJ$596,19,)/VLOOKUP($D72,$C$5:$AJ$596,4,))*$F72))</f>
        <v>0</v>
      </c>
      <c r="V72" s="90">
        <f>IF(VLOOKUP($D72,$C$5:$AJ$596,20,)=0,0,((VLOOKUP($D72,$C$5:$AJ$596,20,)/VLOOKUP($D72,$C$5:$AJ$596,4,))*$F72))</f>
        <v>0</v>
      </c>
      <c r="W72" s="90">
        <f>IF(VLOOKUP($D72,$C$5:$AJ$596,21,)=0,0,((VLOOKUP($D72,$C$5:$AJ$596,21,)/VLOOKUP($D72,$C$5:$AJ$596,4,))*$F72))</f>
        <v>0</v>
      </c>
      <c r="X72" s="90">
        <f>IF(VLOOKUP($D72,$C$5:$AJ$596,22,)=0,0,((VLOOKUP($D72,$C$5:$AJ$596,22,)/VLOOKUP($D72,$C$5:$AJ$596,4,))*$F72))</f>
        <v>0</v>
      </c>
      <c r="Y72" s="90">
        <f>IF(VLOOKUP($D72,$C$5:$AJ$596,23,)=0,0,((VLOOKUP($D72,$C$5:$AJ$596,23,)/VLOOKUP($D72,$C$5:$AJ$596,4,))*$F72))</f>
        <v>0</v>
      </c>
      <c r="Z72" s="90">
        <f>IF(VLOOKUP($D72,$C$5:$AJ$596,24,)=0,0,((VLOOKUP($D72,$C$5:$AJ$596,24,)/VLOOKUP($D72,$C$5:$AJ$596,4,))*$F72))</f>
        <v>0</v>
      </c>
      <c r="AA72" s="90">
        <f>IF(VLOOKUP($D72,$C$5:$AJ$596,25,)=0,0,((VLOOKUP($D72,$C$5:$AJ$596,25,)/VLOOKUP($D72,$C$5:$AJ$596,4,))*$F72))</f>
        <v>0</v>
      </c>
      <c r="AB72" s="90">
        <f>IF(VLOOKUP($D72,$C$5:$AJ$596,26,)=0,0,((VLOOKUP($D72,$C$5:$AJ$596,26,)/VLOOKUP($D72,$C$5:$AJ$596,4,))*$F72))</f>
        <v>0</v>
      </c>
      <c r="AC72" s="90">
        <f>IF(VLOOKUP($D72,$C$5:$AJ$596,27,)=0,0,((VLOOKUP($D72,$C$5:$AJ$596,27,)/VLOOKUP($D72,$C$5:$AJ$596,4,))*$F72))</f>
        <v>0</v>
      </c>
      <c r="AD72" s="90">
        <f>IF(VLOOKUP($D72,$C$5:$AJ$596,28,)=0,0,((VLOOKUP($D72,$C$5:$AJ$596,28,)/VLOOKUP($D72,$C$5:$AJ$596,4,))*$F72))</f>
        <v>0</v>
      </c>
      <c r="AE72" s="90"/>
      <c r="AF72" s="90">
        <f>IF(VLOOKUP($D72,$C$5:$AJ$596,30,)=0,0,((VLOOKUP($D72,$C$5:$AJ$596,30,)/VLOOKUP($D72,$C$5:$AJ$596,4,))*$F72))</f>
        <v>0</v>
      </c>
      <c r="AG72" s="90"/>
      <c r="AH72" s="90">
        <f>IF(VLOOKUP($D72,$C$5:$AJ$596,32,)=0,0,((VLOOKUP($D72,$C$5:$AJ$596,32,)/VLOOKUP($D72,$C$5:$AJ$596,4,))*$F72))</f>
        <v>0</v>
      </c>
      <c r="AI72" s="90"/>
      <c r="AJ72" s="90">
        <f>IF(VLOOKUP($D72,$C$5:$AJ$596,34,)=0,0,((VLOOKUP($D72,$C$5:$AJ$596,34,)/VLOOKUP($D72,$C$5:$AJ$596,4,))*$F72))</f>
        <v>0</v>
      </c>
      <c r="AK72" s="90">
        <f>SUM(H72:AJ72)</f>
        <v>78958656</v>
      </c>
      <c r="AL72" s="87" t="str">
        <f>IF(ABS(AK72-F72)&lt;1,"ok","err")</f>
        <v>ok</v>
      </c>
    </row>
    <row r="73" spans="1:39" x14ac:dyDescent="0.5">
      <c r="B73" s="86" t="s">
        <v>1302</v>
      </c>
      <c r="C73" s="86" t="s">
        <v>488</v>
      </c>
      <c r="D73" s="371" t="s">
        <v>109</v>
      </c>
      <c r="E73" s="71"/>
      <c r="F73" s="90">
        <f>'Jurisdictional Study'!F845-1663470</f>
        <v>26143041</v>
      </c>
      <c r="H73" s="90">
        <f>IF(VLOOKUP($D73,$C$5:$AJ$596,6,)=0,0,((VLOOKUP($D73,$C$5:$AJ$596,6,)/VLOOKUP($D73,$C$5:$AJ$596,4,))*$F73))</f>
        <v>0</v>
      </c>
      <c r="I73" s="90">
        <f>IF(VLOOKUP($D73,$C$5:$AJ$596,7,)=0,0,((VLOOKUP($D73,$C$5:$AJ$596,7,)/VLOOKUP($D73,$C$5:$AJ$596,4,))*$F73))</f>
        <v>0</v>
      </c>
      <c r="J73" s="90">
        <f>IF(VLOOKUP($D73,$C$5:$AJ$596,8,)=0,0,((VLOOKUP($D73,$C$5:$AJ$596,8,)/VLOOKUP($D73,$C$5:$AJ$596,4,))*$F73))</f>
        <v>0</v>
      </c>
      <c r="K73" s="90">
        <f>IF(VLOOKUP($D73,$C$5:$AJ$596,9,)=0,0,((VLOOKUP($D73,$C$5:$AJ$596,9,)/VLOOKUP($D73,$C$5:$AJ$596,4,))*$F73))</f>
        <v>0</v>
      </c>
      <c r="L73" s="90">
        <f>IF(VLOOKUP($D73,$C$5:$AJ$596,10,)=0,0,((VLOOKUP($D73,$C$5:$AJ$596,10,)/VLOOKUP($D73,$C$5:$AJ$596,4,))*$F73))</f>
        <v>0</v>
      </c>
      <c r="M73" s="90">
        <f>IF(VLOOKUP($D73,$C$5:$AJ$596,11,)=0,0,((VLOOKUP($D73,$C$5:$AJ$596,11,)/VLOOKUP($D73,$C$5:$AJ$596,4,))*$F73))</f>
        <v>0</v>
      </c>
      <c r="N73" s="90"/>
      <c r="O73" s="90">
        <f>IF(VLOOKUP($D73,$C$5:$AJ$596,13,)=0,0,((VLOOKUP($D73,$C$5:$AJ$596,13,)/VLOOKUP($D73,$C$5:$AJ$596,4,))*$F73))</f>
        <v>0</v>
      </c>
      <c r="P73" s="90">
        <f>IF(VLOOKUP($D73,$C$5:$AJ$596,14,)=0,0,((VLOOKUP($D73,$C$5:$AJ$596,14,)/VLOOKUP($D73,$C$5:$AJ$596,4,))*$F73))</f>
        <v>0</v>
      </c>
      <c r="Q73" s="90">
        <f>IF(VLOOKUP($D73,$C$5:$AJ$596,15,)=0,0,((VLOOKUP($D73,$C$5:$AJ$596,15,)/VLOOKUP($D73,$C$5:$AJ$596,4,))*$F73))</f>
        <v>0</v>
      </c>
      <c r="R73" s="90"/>
      <c r="S73" s="90">
        <f>IF(VLOOKUP($D73,$C$5:$AJ$596,17,)=0,0,((VLOOKUP($D73,$C$5:$AJ$596,17,)/VLOOKUP($D73,$C$5:$AJ$596,4,))*$F73))</f>
        <v>0</v>
      </c>
      <c r="T73" s="90">
        <f>IF(VLOOKUP($D73,$C$5:$AJ$596,18,)=0,0,((VLOOKUP($D73,$C$5:$AJ$596,18,)/VLOOKUP($D73,$C$5:$AJ$596,4,))*$F73))</f>
        <v>4097911.2629859825</v>
      </c>
      <c r="U73" s="90">
        <f>IF(VLOOKUP($D73,$C$5:$AJ$596,19,)=0,0,((VLOOKUP($D73,$C$5:$AJ$596,19,)/VLOOKUP($D73,$C$5:$AJ$596,4,))*$F73))</f>
        <v>0</v>
      </c>
      <c r="V73" s="90">
        <f>IF(VLOOKUP($D73,$C$5:$AJ$596,20,)=0,0,((VLOOKUP($D73,$C$5:$AJ$596,20,)/VLOOKUP($D73,$C$5:$AJ$596,4,))*$F73))</f>
        <v>3259287.3556632106</v>
      </c>
      <c r="W73" s="90">
        <f>IF(VLOOKUP($D73,$C$5:$AJ$596,21,)=0,0,((VLOOKUP($D73,$C$5:$AJ$596,21,)/VLOOKUP($D73,$C$5:$AJ$596,4,))*$F73))</f>
        <v>6335289.1955681602</v>
      </c>
      <c r="X73" s="90">
        <f>IF(VLOOKUP($D73,$C$5:$AJ$596,22,)=0,0,((VLOOKUP($D73,$C$5:$AJ$596,22,)/VLOOKUP($D73,$C$5:$AJ$596,4,))*$F73))</f>
        <v>1467281.3047317148</v>
      </c>
      <c r="Y73" s="90">
        <f>IF(VLOOKUP($D73,$C$5:$AJ$596,23,)=0,0,((VLOOKUP($D73,$C$5:$AJ$596,23,)/VLOOKUP($D73,$C$5:$AJ$596,4,))*$F73))</f>
        <v>2962076.519306052</v>
      </c>
      <c r="Z73" s="90">
        <f>IF(VLOOKUP($D73,$C$5:$AJ$596,24,)=0,0,((VLOOKUP($D73,$C$5:$AJ$596,24,)/VLOOKUP($D73,$C$5:$AJ$596,4,))*$F73))</f>
        <v>2138906.2876161858</v>
      </c>
      <c r="AA73" s="90">
        <f>IF(VLOOKUP($D73,$C$5:$AJ$596,25,)=0,0,((VLOOKUP($D73,$C$5:$AJ$596,25,)/VLOOKUP($D73,$C$5:$AJ$596,4,))*$F73))</f>
        <v>1777061.0971425318</v>
      </c>
      <c r="AB73" s="90">
        <f>IF(VLOOKUP($D73,$C$5:$AJ$596,26,)=0,0,((VLOOKUP($D73,$C$5:$AJ$596,26,)/VLOOKUP($D73,$C$5:$AJ$596,4,))*$F73))</f>
        <v>1498288.4579560044</v>
      </c>
      <c r="AC73" s="90">
        <f>IF(VLOOKUP($D73,$C$5:$AJ$596,27,)=0,0,((VLOOKUP($D73,$C$5:$AJ$596,27,)/VLOOKUP($D73,$C$5:$AJ$596,4,))*$F73))</f>
        <v>891090.28172355541</v>
      </c>
      <c r="AD73" s="90">
        <f>IF(VLOOKUP($D73,$C$5:$AJ$596,28,)=0,0,((VLOOKUP($D73,$C$5:$AJ$596,28,)/VLOOKUP($D73,$C$5:$AJ$596,4,))*$F73))</f>
        <v>1715849.2373066014</v>
      </c>
      <c r="AE73" s="90"/>
      <c r="AF73" s="90">
        <f>IF(VLOOKUP($D73,$C$5:$AJ$596,30,)=0,0,((VLOOKUP($D73,$C$5:$AJ$596,30,)/VLOOKUP($D73,$C$5:$AJ$596,4,))*$F73))</f>
        <v>0</v>
      </c>
      <c r="AG73" s="90"/>
      <c r="AH73" s="90">
        <f>IF(VLOOKUP($D73,$C$5:$AJ$596,32,)=0,0,((VLOOKUP($D73,$C$5:$AJ$596,32,)/VLOOKUP($D73,$C$5:$AJ$596,4,))*$F73))</f>
        <v>0</v>
      </c>
      <c r="AI73" s="90"/>
      <c r="AJ73" s="90">
        <f>IF(VLOOKUP($D73,$C$5:$AJ$596,34,)=0,0,((VLOOKUP($D73,$C$5:$AJ$596,34,)/VLOOKUP($D73,$C$5:$AJ$596,4,))*$F73))</f>
        <v>0</v>
      </c>
      <c r="AK73" s="90">
        <f>SUM(H73:AJ73)</f>
        <v>26143041</v>
      </c>
      <c r="AL73" s="87" t="str">
        <f>IF(ABS(AK73-F73)&lt;1,"ok","err")</f>
        <v>ok</v>
      </c>
    </row>
    <row r="74" spans="1:39" x14ac:dyDescent="0.5">
      <c r="B74" s="86" t="s">
        <v>1301</v>
      </c>
      <c r="C74" s="86" t="s">
        <v>489</v>
      </c>
      <c r="D74" s="371" t="s">
        <v>471</v>
      </c>
      <c r="E74" s="71"/>
      <c r="F74" s="90">
        <f>'Jurisdictional Study'!F850-7670967</f>
        <v>29729390</v>
      </c>
      <c r="H74" s="90">
        <f>IF(VLOOKUP($D74,$C$5:$AJ$596,6,)=0,0,((VLOOKUP($D74,$C$5:$AJ$596,6,)/VLOOKUP($D74,$C$5:$AJ$596,4,))*$F74))</f>
        <v>18709461.343809124</v>
      </c>
      <c r="I74" s="90">
        <f>IF(VLOOKUP($D74,$C$5:$AJ$596,7,)=0,0,((VLOOKUP($D74,$C$5:$AJ$596,7,)/VLOOKUP($D74,$C$5:$AJ$596,4,))*$F74))</f>
        <v>0</v>
      </c>
      <c r="J74" s="90">
        <f>IF(VLOOKUP($D74,$C$5:$AJ$596,8,)=0,0,((VLOOKUP($D74,$C$5:$AJ$596,8,)/VLOOKUP($D74,$C$5:$AJ$596,4,))*$F74))</f>
        <v>0</v>
      </c>
      <c r="K74" s="90">
        <f>IF(VLOOKUP($D74,$C$5:$AJ$596,9,)=0,0,((VLOOKUP($D74,$C$5:$AJ$596,9,)/VLOOKUP($D74,$C$5:$AJ$596,4,))*$F74))</f>
        <v>0</v>
      </c>
      <c r="L74" s="90">
        <f>IF(VLOOKUP($D74,$C$5:$AJ$596,10,)=0,0,((VLOOKUP($D74,$C$5:$AJ$596,10,)/VLOOKUP($D74,$C$5:$AJ$596,4,))*$F74))</f>
        <v>0</v>
      </c>
      <c r="M74" s="90">
        <f>IF(VLOOKUP($D74,$C$5:$AJ$596,11,)=0,0,((VLOOKUP($D74,$C$5:$AJ$596,11,)/VLOOKUP($D74,$C$5:$AJ$596,4,))*$F74))</f>
        <v>0</v>
      </c>
      <c r="N74" s="90"/>
      <c r="O74" s="90">
        <f>IF(VLOOKUP($D74,$C$5:$AJ$596,13,)=0,0,((VLOOKUP($D74,$C$5:$AJ$596,13,)/VLOOKUP($D74,$C$5:$AJ$596,4,))*$F74))</f>
        <v>4049937.876981881</v>
      </c>
      <c r="P74" s="90">
        <f>IF(VLOOKUP($D74,$C$5:$AJ$596,14,)=0,0,((VLOOKUP($D74,$C$5:$AJ$596,14,)/VLOOKUP($D74,$C$5:$AJ$596,4,))*$F74))</f>
        <v>0</v>
      </c>
      <c r="Q74" s="90">
        <f>IF(VLOOKUP($D74,$C$5:$AJ$596,15,)=0,0,((VLOOKUP($D74,$C$5:$AJ$596,15,)/VLOOKUP($D74,$C$5:$AJ$596,4,))*$F74))</f>
        <v>0</v>
      </c>
      <c r="R74" s="90"/>
      <c r="S74" s="90">
        <f>IF(VLOOKUP($D74,$C$5:$AJ$596,17,)=0,0,((VLOOKUP($D74,$C$5:$AJ$596,17,)/VLOOKUP($D74,$C$5:$AJ$596,4,))*$F74))</f>
        <v>0</v>
      </c>
      <c r="T74" s="90">
        <f>IF(VLOOKUP($D74,$C$5:$AJ$596,18,)=0,0,((VLOOKUP($D74,$C$5:$AJ$596,18,)/VLOOKUP($D74,$C$5:$AJ$596,4,))*$F74))</f>
        <v>1092543.2782295293</v>
      </c>
      <c r="U74" s="90">
        <f>IF(VLOOKUP($D74,$C$5:$AJ$596,19,)=0,0,((VLOOKUP($D74,$C$5:$AJ$596,19,)/VLOOKUP($D74,$C$5:$AJ$596,4,))*$F74))</f>
        <v>0</v>
      </c>
      <c r="V74" s="90">
        <f>IF(VLOOKUP($D74,$C$5:$AJ$596,20,)=0,0,((VLOOKUP($D74,$C$5:$AJ$596,20,)/VLOOKUP($D74,$C$5:$AJ$596,4,))*$F74))</f>
        <v>868957.93093714875</v>
      </c>
      <c r="W74" s="90">
        <f>IF(VLOOKUP($D74,$C$5:$AJ$596,21,)=0,0,((VLOOKUP($D74,$C$5:$AJ$596,21,)/VLOOKUP($D74,$C$5:$AJ$596,4,))*$F74))</f>
        <v>1689050.1482491058</v>
      </c>
      <c r="X74" s="90">
        <f>IF(VLOOKUP($D74,$C$5:$AJ$596,22,)=0,0,((VLOOKUP($D74,$C$5:$AJ$596,22,)/VLOOKUP($D74,$C$5:$AJ$596,4,))*$F74))</f>
        <v>391191.56660029711</v>
      </c>
      <c r="Y74" s="90">
        <f>IF(VLOOKUP($D74,$C$5:$AJ$596,23,)=0,0,((VLOOKUP($D74,$C$5:$AJ$596,23,)/VLOOKUP($D74,$C$5:$AJ$596,4,))*$F74))</f>
        <v>789718.61103972793</v>
      </c>
      <c r="Z74" s="90">
        <f>IF(VLOOKUP($D74,$C$5:$AJ$596,24,)=0,0,((VLOOKUP($D74,$C$5:$AJ$596,24,)/VLOOKUP($D74,$C$5:$AJ$596,4,))*$F74))</f>
        <v>570253.36502654618</v>
      </c>
      <c r="AA74" s="90">
        <f>IF(VLOOKUP($D74,$C$5:$AJ$596,25,)=0,0,((VLOOKUP($D74,$C$5:$AJ$596,25,)/VLOOKUP($D74,$C$5:$AJ$596,4,))*$F74))</f>
        <v>473781.89328374108</v>
      </c>
      <c r="AB74" s="90">
        <f>IF(VLOOKUP($D74,$C$5:$AJ$596,26,)=0,0,((VLOOKUP($D74,$C$5:$AJ$596,26,)/VLOOKUP($D74,$C$5:$AJ$596,4,))*$F74))</f>
        <v>399458.37733829883</v>
      </c>
      <c r="AC74" s="90">
        <f>IF(VLOOKUP($D74,$C$5:$AJ$596,27,)=0,0,((VLOOKUP($D74,$C$5:$AJ$596,27,)/VLOOKUP($D74,$C$5:$AJ$596,4,))*$F74))</f>
        <v>237573.39657065633</v>
      </c>
      <c r="AD74" s="90">
        <f>IF(VLOOKUP($D74,$C$5:$AJ$596,28,)=0,0,((VLOOKUP($D74,$C$5:$AJ$596,28,)/VLOOKUP($D74,$C$5:$AJ$596,4,))*$F74))</f>
        <v>457462.21193394449</v>
      </c>
      <c r="AE74" s="90"/>
      <c r="AF74" s="90">
        <f>IF(VLOOKUP($D74,$C$5:$AJ$596,30,)=0,0,((VLOOKUP($D74,$C$5:$AJ$596,30,)/VLOOKUP($D74,$C$5:$AJ$596,4,))*$F74))</f>
        <v>0</v>
      </c>
      <c r="AG74" s="90"/>
      <c r="AH74" s="90">
        <f>IF(VLOOKUP($D74,$C$5:$AJ$596,32,)=0,0,((VLOOKUP($D74,$C$5:$AJ$596,32,)/VLOOKUP($D74,$C$5:$AJ$596,4,))*$F74))</f>
        <v>0</v>
      </c>
      <c r="AI74" s="90"/>
      <c r="AJ74" s="90">
        <f>IF(VLOOKUP($D74,$C$5:$AJ$596,34,)=0,0,((VLOOKUP($D74,$C$5:$AJ$596,34,)/VLOOKUP($D74,$C$5:$AJ$596,4,))*$F74))</f>
        <v>0</v>
      </c>
      <c r="AK74" s="90">
        <f>SUM(H74:AJ74)</f>
        <v>29729389.999999996</v>
      </c>
      <c r="AL74" s="87" t="str">
        <f>IF(ABS(AK74-F74)&lt;1,"ok","err")</f>
        <v>ok</v>
      </c>
    </row>
    <row r="75" spans="1:39" x14ac:dyDescent="0.5">
      <c r="B75" s="86" t="s">
        <v>1303</v>
      </c>
      <c r="C75" s="86" t="s">
        <v>490</v>
      </c>
      <c r="D75" s="371" t="s">
        <v>118</v>
      </c>
      <c r="E75" s="71"/>
      <c r="F75" s="90">
        <v>0</v>
      </c>
      <c r="H75" s="90">
        <f>IF(VLOOKUP($D75,$C$5:$AJ$596,6,)=0,0,((VLOOKUP($D75,$C$5:$AJ$596,6,)/VLOOKUP($D75,$C$5:$AJ$596,4,))*$F75))</f>
        <v>0</v>
      </c>
      <c r="I75" s="90">
        <f>IF(VLOOKUP($D75,$C$5:$AJ$596,7,)=0,0,((VLOOKUP($D75,$C$5:$AJ$596,7,)/VLOOKUP($D75,$C$5:$AJ$596,4,))*$F75))</f>
        <v>0</v>
      </c>
      <c r="J75" s="90">
        <f>IF(VLOOKUP($D75,$C$5:$AJ$596,8,)=0,0,((VLOOKUP($D75,$C$5:$AJ$596,8,)/VLOOKUP($D75,$C$5:$AJ$596,4,))*$F75))</f>
        <v>0</v>
      </c>
      <c r="K75" s="90">
        <f>IF(VLOOKUP($D75,$C$5:$AJ$596,9,)=0,0,((VLOOKUP($D75,$C$5:$AJ$596,9,)/VLOOKUP($D75,$C$5:$AJ$596,4,))*$F75))</f>
        <v>0</v>
      </c>
      <c r="L75" s="90">
        <f>IF(VLOOKUP($D75,$C$5:$AJ$596,10,)=0,0,((VLOOKUP($D75,$C$5:$AJ$596,10,)/VLOOKUP($D75,$C$5:$AJ$596,4,))*$F75))</f>
        <v>0</v>
      </c>
      <c r="M75" s="90">
        <f>IF(VLOOKUP($D75,$C$5:$AJ$596,11,)=0,0,((VLOOKUP($D75,$C$5:$AJ$596,11,)/VLOOKUP($D75,$C$5:$AJ$596,4,))*$F75))</f>
        <v>0</v>
      </c>
      <c r="N75" s="90"/>
      <c r="O75" s="90">
        <f>IF(VLOOKUP($D75,$C$5:$AJ$596,13,)=0,0,((VLOOKUP($D75,$C$5:$AJ$596,13,)/VLOOKUP($D75,$C$5:$AJ$596,4,))*$F75))</f>
        <v>0</v>
      </c>
      <c r="P75" s="90">
        <f>IF(VLOOKUP($D75,$C$5:$AJ$596,14,)=0,0,((VLOOKUP($D75,$C$5:$AJ$596,14,)/VLOOKUP($D75,$C$5:$AJ$596,4,))*$F75))</f>
        <v>0</v>
      </c>
      <c r="Q75" s="90">
        <f>IF(VLOOKUP($D75,$C$5:$AJ$596,15,)=0,0,((VLOOKUP($D75,$C$5:$AJ$596,15,)/VLOOKUP($D75,$C$5:$AJ$596,4,))*$F75))</f>
        <v>0</v>
      </c>
      <c r="R75" s="90"/>
      <c r="S75" s="90">
        <f>IF(VLOOKUP($D75,$C$5:$AJ$596,17,)=0,0,((VLOOKUP($D75,$C$5:$AJ$596,17,)/VLOOKUP($D75,$C$5:$AJ$596,4,))*$F75))</f>
        <v>0</v>
      </c>
      <c r="T75" s="90">
        <f>IF(VLOOKUP($D75,$C$5:$AJ$596,18,)=0,0,((VLOOKUP($D75,$C$5:$AJ$596,18,)/VLOOKUP($D75,$C$5:$AJ$596,4,))*$F75))</f>
        <v>0</v>
      </c>
      <c r="U75" s="90">
        <f>IF(VLOOKUP($D75,$C$5:$AJ$596,19,)=0,0,((VLOOKUP($D75,$C$5:$AJ$596,19,)/VLOOKUP($D75,$C$5:$AJ$596,4,))*$F75))</f>
        <v>0</v>
      </c>
      <c r="V75" s="90">
        <f>IF(VLOOKUP($D75,$C$5:$AJ$596,20,)=0,0,((VLOOKUP($D75,$C$5:$AJ$596,20,)/VLOOKUP($D75,$C$5:$AJ$596,4,))*$F75))</f>
        <v>0</v>
      </c>
      <c r="W75" s="90">
        <f>IF(VLOOKUP($D75,$C$5:$AJ$596,21,)=0,0,((VLOOKUP($D75,$C$5:$AJ$596,21,)/VLOOKUP($D75,$C$5:$AJ$596,4,))*$F75))</f>
        <v>0</v>
      </c>
      <c r="X75" s="90">
        <f>IF(VLOOKUP($D75,$C$5:$AJ$596,22,)=0,0,((VLOOKUP($D75,$C$5:$AJ$596,22,)/VLOOKUP($D75,$C$5:$AJ$596,4,))*$F75))</f>
        <v>0</v>
      </c>
      <c r="Y75" s="90">
        <f>IF(VLOOKUP($D75,$C$5:$AJ$596,23,)=0,0,((VLOOKUP($D75,$C$5:$AJ$596,23,)/VLOOKUP($D75,$C$5:$AJ$596,4,))*$F75))</f>
        <v>0</v>
      </c>
      <c r="Z75" s="90">
        <f>IF(VLOOKUP($D75,$C$5:$AJ$596,24,)=0,0,((VLOOKUP($D75,$C$5:$AJ$596,24,)/VLOOKUP($D75,$C$5:$AJ$596,4,))*$F75))</f>
        <v>0</v>
      </c>
      <c r="AA75" s="90">
        <f>IF(VLOOKUP($D75,$C$5:$AJ$596,25,)=0,0,((VLOOKUP($D75,$C$5:$AJ$596,25,)/VLOOKUP($D75,$C$5:$AJ$596,4,))*$F75))</f>
        <v>0</v>
      </c>
      <c r="AB75" s="90">
        <f>IF(VLOOKUP($D75,$C$5:$AJ$596,26,)=0,0,((VLOOKUP($D75,$C$5:$AJ$596,26,)/VLOOKUP($D75,$C$5:$AJ$596,4,))*$F75))</f>
        <v>0</v>
      </c>
      <c r="AC75" s="90">
        <f>IF(VLOOKUP($D75,$C$5:$AJ$596,27,)=0,0,((VLOOKUP($D75,$C$5:$AJ$596,27,)/VLOOKUP($D75,$C$5:$AJ$596,4,))*$F75))</f>
        <v>0</v>
      </c>
      <c r="AD75" s="90">
        <f>IF(VLOOKUP($D75,$C$5:$AJ$596,28,)=0,0,((VLOOKUP($D75,$C$5:$AJ$596,28,)/VLOOKUP($D75,$C$5:$AJ$596,4,))*$F75))</f>
        <v>0</v>
      </c>
      <c r="AE75" s="90"/>
      <c r="AF75" s="90">
        <f>IF(VLOOKUP($D75,$C$5:$AJ$596,30,)=0,0,((VLOOKUP($D75,$C$5:$AJ$596,30,)/VLOOKUP($D75,$C$5:$AJ$596,4,))*$F75))</f>
        <v>0</v>
      </c>
      <c r="AG75" s="90"/>
      <c r="AH75" s="90">
        <f>IF(VLOOKUP($D75,$C$5:$AJ$596,32,)=0,0,((VLOOKUP($D75,$C$5:$AJ$596,32,)/VLOOKUP($D75,$C$5:$AJ$596,4,))*$F75))</f>
        <v>0</v>
      </c>
      <c r="AI75" s="90"/>
      <c r="AJ75" s="90">
        <f>IF(VLOOKUP($D75,$C$5:$AJ$596,34,)=0,0,((VLOOKUP($D75,$C$5:$AJ$596,34,)/VLOOKUP($D75,$C$5:$AJ$596,4,))*$F75))</f>
        <v>0</v>
      </c>
      <c r="AK75" s="90">
        <f>SUM(H75:AJ75)</f>
        <v>0</v>
      </c>
      <c r="AL75" s="87" t="str">
        <f>IF(ABS(AK75-F75)&lt;1,"ok","err")</f>
        <v>ok</v>
      </c>
    </row>
    <row r="76" spans="1:39" x14ac:dyDescent="0.5">
      <c r="D76" s="371"/>
      <c r="E76" s="71"/>
      <c r="F76" s="90"/>
      <c r="AK76" s="90"/>
      <c r="AL76" s="87"/>
    </row>
    <row r="77" spans="1:39" x14ac:dyDescent="0.5">
      <c r="A77" s="82" t="s">
        <v>178</v>
      </c>
      <c r="C77" s="86" t="s">
        <v>179</v>
      </c>
      <c r="D77" s="371"/>
      <c r="E77" s="71"/>
      <c r="F77" s="89">
        <f>SUM(F71:F75)</f>
        <v>155823720</v>
      </c>
      <c r="G77" s="89"/>
      <c r="H77" s="89">
        <f t="shared" ref="H77:M77" si="37">SUM(H71:H75)</f>
        <v>39702094.343809128</v>
      </c>
      <c r="I77" s="89">
        <f t="shared" si="37"/>
        <v>0</v>
      </c>
      <c r="J77" s="89">
        <f t="shared" si="37"/>
        <v>0</v>
      </c>
      <c r="K77" s="89">
        <f>SUM(K71:K75)</f>
        <v>0</v>
      </c>
      <c r="L77" s="89">
        <f t="shared" si="37"/>
        <v>0</v>
      </c>
      <c r="M77" s="89">
        <f t="shared" si="37"/>
        <v>0</v>
      </c>
      <c r="N77" s="89"/>
      <c r="O77" s="89">
        <f>SUM(O71:O75)</f>
        <v>83008593.876981884</v>
      </c>
      <c r="P77" s="89">
        <f>SUM(P71:P75)</f>
        <v>0</v>
      </c>
      <c r="Q77" s="89">
        <f>SUM(Q71:Q75)</f>
        <v>0</v>
      </c>
      <c r="R77" s="89"/>
      <c r="S77" s="89">
        <f t="shared" ref="S77:AD77" si="38">SUM(S71:S75)</f>
        <v>0</v>
      </c>
      <c r="T77" s="89">
        <f t="shared" si="38"/>
        <v>5190454.541215512</v>
      </c>
      <c r="U77" s="89">
        <f t="shared" si="38"/>
        <v>0</v>
      </c>
      <c r="V77" s="89">
        <f t="shared" si="38"/>
        <v>4128245.2866003592</v>
      </c>
      <c r="W77" s="89">
        <f t="shared" si="38"/>
        <v>8024339.3438172657</v>
      </c>
      <c r="X77" s="89">
        <f t="shared" si="38"/>
        <v>1858472.8713320119</v>
      </c>
      <c r="Y77" s="89">
        <f t="shared" si="38"/>
        <v>3751795.1303457799</v>
      </c>
      <c r="Z77" s="89">
        <f t="shared" si="38"/>
        <v>2709159.652642732</v>
      </c>
      <c r="AA77" s="89">
        <f t="shared" si="38"/>
        <v>2250842.9904262731</v>
      </c>
      <c r="AB77" s="89">
        <f t="shared" si="38"/>
        <v>1897746.8352943033</v>
      </c>
      <c r="AC77" s="89">
        <f t="shared" si="38"/>
        <v>1128663.6782942116</v>
      </c>
      <c r="AD77" s="89">
        <f t="shared" si="38"/>
        <v>2173311.4492405457</v>
      </c>
      <c r="AE77" s="89"/>
      <c r="AF77" s="89">
        <f>SUM(AF71:AF75)</f>
        <v>0</v>
      </c>
      <c r="AG77" s="89"/>
      <c r="AH77" s="89">
        <f>SUM(AH71:AH75)</f>
        <v>0</v>
      </c>
      <c r="AI77" s="89"/>
      <c r="AJ77" s="89">
        <f>SUM(AJ71:AJ75)</f>
        <v>0</v>
      </c>
      <c r="AK77" s="90">
        <f>SUM(H77:AJ77)</f>
        <v>155823720.00000003</v>
      </c>
      <c r="AL77" s="87" t="str">
        <f>IF(ABS(AK77-F77)&lt;1,"ok","err")</f>
        <v>ok</v>
      </c>
    </row>
    <row r="78" spans="1:39" x14ac:dyDescent="0.5">
      <c r="A78" s="82"/>
      <c r="D78" s="371"/>
      <c r="E78" s="71"/>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90"/>
      <c r="AL78" s="87"/>
    </row>
    <row r="79" spans="1:39" x14ac:dyDescent="0.5">
      <c r="A79" s="23" t="s">
        <v>449</v>
      </c>
      <c r="D79" s="371"/>
      <c r="E79" s="71"/>
      <c r="F79" s="89">
        <f>F66+F77</f>
        <v>9806596758</v>
      </c>
      <c r="G79" s="89"/>
      <c r="H79" s="89">
        <f t="shared" ref="H79:M79" si="39">H66+H77</f>
        <v>6112716217.1384859</v>
      </c>
      <c r="I79" s="89">
        <f t="shared" si="39"/>
        <v>0</v>
      </c>
      <c r="J79" s="89">
        <f t="shared" si="39"/>
        <v>0</v>
      </c>
      <c r="K79" s="89">
        <f>K66+K77</f>
        <v>0</v>
      </c>
      <c r="L79" s="89">
        <f t="shared" si="39"/>
        <v>0</v>
      </c>
      <c r="M79" s="89">
        <f t="shared" si="39"/>
        <v>0</v>
      </c>
      <c r="N79" s="89"/>
      <c r="O79" s="89">
        <f>O66+O77</f>
        <v>1397538896.7138231</v>
      </c>
      <c r="P79" s="89">
        <f>P66+P77</f>
        <v>0</v>
      </c>
      <c r="Q79" s="89">
        <f>Q66+Q77</f>
        <v>0</v>
      </c>
      <c r="R79" s="89"/>
      <c r="S79" s="89">
        <f t="shared" ref="S79:AD79" si="40">S66+S77</f>
        <v>0</v>
      </c>
      <c r="T79" s="89">
        <f t="shared" si="40"/>
        <v>359950638.00024533</v>
      </c>
      <c r="U79" s="89">
        <f t="shared" si="40"/>
        <v>0</v>
      </c>
      <c r="V79" s="89">
        <f t="shared" si="40"/>
        <v>286287937.39234227</v>
      </c>
      <c r="W79" s="89">
        <f t="shared" si="40"/>
        <v>556476517.30730522</v>
      </c>
      <c r="X79" s="89">
        <f t="shared" si="40"/>
        <v>128882449.58705434</v>
      </c>
      <c r="Y79" s="89">
        <f t="shared" si="40"/>
        <v>260181654.62979341</v>
      </c>
      <c r="Z79" s="89">
        <f t="shared" si="40"/>
        <v>187876367.60323277</v>
      </c>
      <c r="AA79" s="89">
        <f t="shared" si="40"/>
        <v>156092759.12328565</v>
      </c>
      <c r="AB79" s="89">
        <f t="shared" si="40"/>
        <v>131606043.11297219</v>
      </c>
      <c r="AC79" s="89">
        <f t="shared" si="40"/>
        <v>78271220.345678151</v>
      </c>
      <c r="AD79" s="89">
        <f t="shared" si="40"/>
        <v>150716057.04578137</v>
      </c>
      <c r="AE79" s="89"/>
      <c r="AF79" s="89">
        <f>AF66+AF77</f>
        <v>0</v>
      </c>
      <c r="AG79" s="89"/>
      <c r="AH79" s="89">
        <f>AH66+AH77</f>
        <v>0</v>
      </c>
      <c r="AI79" s="89"/>
      <c r="AJ79" s="89">
        <f>AJ66+AJ77</f>
        <v>0</v>
      </c>
      <c r="AK79" s="90">
        <f>SUM(H79:AJ79)</f>
        <v>9806596758.0000019</v>
      </c>
      <c r="AL79" s="87" t="str">
        <f>IF(ABS(AK79-F79)&lt;1,"ok","err")</f>
        <v>ok</v>
      </c>
    </row>
    <row r="80" spans="1:39" x14ac:dyDescent="0.5">
      <c r="A80" s="23"/>
      <c r="D80" s="371"/>
      <c r="E80" s="71"/>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90"/>
      <c r="AL80" s="87"/>
    </row>
    <row r="81" spans="1:38" x14ac:dyDescent="0.5">
      <c r="A81" s="23"/>
      <c r="D81" s="71"/>
      <c r="E81" s="71"/>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90"/>
      <c r="AL81" s="87"/>
    </row>
    <row r="82" spans="1:38" x14ac:dyDescent="0.5">
      <c r="A82" s="23"/>
      <c r="D82" s="71"/>
      <c r="E82" s="71"/>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90"/>
      <c r="AL82" s="87"/>
    </row>
    <row r="83" spans="1:38" x14ac:dyDescent="0.5">
      <c r="A83" s="23"/>
      <c r="D83" s="71"/>
      <c r="E83" s="71"/>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90"/>
      <c r="AL83" s="87"/>
    </row>
    <row r="84" spans="1:38" x14ac:dyDescent="0.5">
      <c r="A84" s="23"/>
      <c r="D84" s="375"/>
      <c r="E84" s="71"/>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90"/>
      <c r="AL84" s="87"/>
    </row>
    <row r="85" spans="1:38" x14ac:dyDescent="0.5">
      <c r="A85" s="23"/>
      <c r="D85" s="371"/>
      <c r="E85" s="71"/>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90"/>
      <c r="AL85" s="87"/>
    </row>
    <row r="86" spans="1:38" x14ac:dyDescent="0.5">
      <c r="A86" s="23"/>
      <c r="D86" s="371"/>
      <c r="E86" s="71"/>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90"/>
      <c r="AL86" s="87"/>
    </row>
    <row r="87" spans="1:38" x14ac:dyDescent="0.5">
      <c r="A87" s="23"/>
      <c r="D87" s="50"/>
      <c r="E87" s="50"/>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90"/>
      <c r="AL87" s="87"/>
    </row>
    <row r="88" spans="1:38" x14ac:dyDescent="0.5">
      <c r="A88" s="23"/>
      <c r="D88" s="50"/>
      <c r="E88" s="50"/>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90"/>
      <c r="AL88" s="87"/>
    </row>
    <row r="89" spans="1:38" x14ac:dyDescent="0.5">
      <c r="D89" s="50"/>
      <c r="E89" s="50"/>
      <c r="AL89" s="87"/>
    </row>
    <row r="90" spans="1:38" x14ac:dyDescent="0.5">
      <c r="A90" s="22" t="s">
        <v>181</v>
      </c>
      <c r="D90" s="50"/>
      <c r="E90" s="50"/>
      <c r="AL90" s="87"/>
    </row>
    <row r="91" spans="1:38" x14ac:dyDescent="0.5">
      <c r="D91" s="50"/>
      <c r="E91" s="50"/>
      <c r="AL91" s="87"/>
    </row>
    <row r="92" spans="1:38" x14ac:dyDescent="0.5">
      <c r="A92" s="22" t="s">
        <v>182</v>
      </c>
      <c r="D92" s="371"/>
      <c r="E92" s="71"/>
      <c r="AL92" s="87"/>
    </row>
    <row r="93" spans="1:38" x14ac:dyDescent="0.5">
      <c r="A93" s="86" t="s">
        <v>108</v>
      </c>
      <c r="D93" s="371"/>
      <c r="E93" s="71"/>
      <c r="F93" s="91">
        <f>F66</f>
        <v>9650773038</v>
      </c>
      <c r="G93" s="91"/>
      <c r="H93" s="91">
        <f t="shared" ref="H93:M93" si="41">H66</f>
        <v>6073014122.7946768</v>
      </c>
      <c r="I93" s="91">
        <f t="shared" si="41"/>
        <v>0</v>
      </c>
      <c r="J93" s="91">
        <f t="shared" si="41"/>
        <v>0</v>
      </c>
      <c r="K93" s="91">
        <f t="shared" si="41"/>
        <v>0</v>
      </c>
      <c r="L93" s="91">
        <f t="shared" si="41"/>
        <v>0</v>
      </c>
      <c r="M93" s="91">
        <f t="shared" si="41"/>
        <v>0</v>
      </c>
      <c r="N93" s="91"/>
      <c r="O93" s="91">
        <f>O66</f>
        <v>1314530302.8368411</v>
      </c>
      <c r="P93" s="91">
        <f>P66</f>
        <v>0</v>
      </c>
      <c r="Q93" s="91">
        <f>Q66</f>
        <v>0</v>
      </c>
      <c r="R93" s="91"/>
      <c r="S93" s="91">
        <f t="shared" ref="S93:AD93" si="42">S66</f>
        <v>0</v>
      </c>
      <c r="T93" s="91">
        <f t="shared" si="42"/>
        <v>354760183.45902979</v>
      </c>
      <c r="U93" s="91">
        <f t="shared" si="42"/>
        <v>0</v>
      </c>
      <c r="V93" s="91">
        <f t="shared" si="42"/>
        <v>282159692.10574192</v>
      </c>
      <c r="W93" s="91">
        <f t="shared" si="42"/>
        <v>548452177.96348798</v>
      </c>
      <c r="X93" s="91">
        <f t="shared" si="42"/>
        <v>127023976.71572234</v>
      </c>
      <c r="Y93" s="91">
        <f t="shared" si="42"/>
        <v>256429859.49944761</v>
      </c>
      <c r="Z93" s="91">
        <f t="shared" si="42"/>
        <v>185167207.95059004</v>
      </c>
      <c r="AA93" s="91">
        <f t="shared" si="42"/>
        <v>153841916.13285938</v>
      </c>
      <c r="AB93" s="91">
        <f t="shared" si="42"/>
        <v>129708296.27767788</v>
      </c>
      <c r="AC93" s="91">
        <f t="shared" si="42"/>
        <v>77142556.667383939</v>
      </c>
      <c r="AD93" s="91">
        <f t="shared" si="42"/>
        <v>148542745.59654084</v>
      </c>
      <c r="AE93" s="91"/>
      <c r="AF93" s="91">
        <f>AF66</f>
        <v>0</v>
      </c>
      <c r="AG93" s="91"/>
      <c r="AH93" s="91">
        <f>AH66</f>
        <v>0</v>
      </c>
      <c r="AI93" s="91"/>
      <c r="AJ93" s="91">
        <f>AJ66</f>
        <v>0</v>
      </c>
      <c r="AK93" s="90">
        <f>SUM(H93:AJ93)</f>
        <v>9650773037.9999981</v>
      </c>
      <c r="AL93" s="87" t="str">
        <f>IF(ABS(AK93-F93)&lt;1,"ok","err")</f>
        <v>ok</v>
      </c>
    </row>
    <row r="94" spans="1:38" x14ac:dyDescent="0.5">
      <c r="A94" s="86" t="s">
        <v>177</v>
      </c>
      <c r="D94" s="371"/>
      <c r="E94" s="71"/>
      <c r="F94" s="90">
        <f>F77</f>
        <v>155823720</v>
      </c>
      <c r="G94" s="95"/>
      <c r="H94" s="95">
        <f t="shared" ref="H94:AJ94" si="43">H77</f>
        <v>39702094.343809128</v>
      </c>
      <c r="I94" s="95">
        <f t="shared" si="43"/>
        <v>0</v>
      </c>
      <c r="J94" s="95">
        <f t="shared" si="43"/>
        <v>0</v>
      </c>
      <c r="K94" s="95">
        <f>K77</f>
        <v>0</v>
      </c>
      <c r="L94" s="95">
        <f t="shared" si="43"/>
        <v>0</v>
      </c>
      <c r="M94" s="95">
        <f t="shared" si="43"/>
        <v>0</v>
      </c>
      <c r="N94" s="95"/>
      <c r="O94" s="95">
        <f>O77</f>
        <v>83008593.876981884</v>
      </c>
      <c r="P94" s="95">
        <f>P77</f>
        <v>0</v>
      </c>
      <c r="Q94" s="95">
        <f>Q77</f>
        <v>0</v>
      </c>
      <c r="R94" s="95"/>
      <c r="S94" s="95">
        <f t="shared" si="43"/>
        <v>0</v>
      </c>
      <c r="T94" s="95">
        <f>T77</f>
        <v>5190454.541215512</v>
      </c>
      <c r="U94" s="95">
        <f t="shared" si="43"/>
        <v>0</v>
      </c>
      <c r="V94" s="95">
        <f t="shared" si="43"/>
        <v>4128245.2866003592</v>
      </c>
      <c r="W94" s="95">
        <f>W77</f>
        <v>8024339.3438172657</v>
      </c>
      <c r="X94" s="95">
        <f>X77</f>
        <v>1858472.8713320119</v>
      </c>
      <c r="Y94" s="95">
        <f>Y77</f>
        <v>3751795.1303457799</v>
      </c>
      <c r="Z94" s="95">
        <f t="shared" si="43"/>
        <v>2709159.652642732</v>
      </c>
      <c r="AA94" s="95">
        <f t="shared" si="43"/>
        <v>2250842.9904262731</v>
      </c>
      <c r="AB94" s="95">
        <f>AB77</f>
        <v>1897746.8352943033</v>
      </c>
      <c r="AC94" s="95">
        <f>AC77</f>
        <v>1128663.6782942116</v>
      </c>
      <c r="AD94" s="95">
        <f t="shared" si="43"/>
        <v>2173311.4492405457</v>
      </c>
      <c r="AE94" s="95"/>
      <c r="AF94" s="95">
        <f t="shared" si="43"/>
        <v>0</v>
      </c>
      <c r="AG94" s="95"/>
      <c r="AH94" s="95">
        <f t="shared" si="43"/>
        <v>0</v>
      </c>
      <c r="AI94" s="95"/>
      <c r="AJ94" s="90">
        <f t="shared" si="43"/>
        <v>0</v>
      </c>
      <c r="AK94" s="90">
        <f>SUM(H94:AJ94)</f>
        <v>155823720.00000003</v>
      </c>
      <c r="AL94" s="87" t="str">
        <f>IF(ABS(AK94-F94)&lt;1,"ok","err")</f>
        <v>ok</v>
      </c>
    </row>
    <row r="95" spans="1:38" x14ac:dyDescent="0.5">
      <c r="D95" s="371"/>
      <c r="E95" s="71"/>
      <c r="Y95" s="86"/>
      <c r="AK95" s="90"/>
      <c r="AL95" s="87"/>
    </row>
    <row r="96" spans="1:38" x14ac:dyDescent="0.5">
      <c r="A96" s="82" t="s">
        <v>183</v>
      </c>
      <c r="C96" s="86" t="s">
        <v>184</v>
      </c>
      <c r="D96" s="371"/>
      <c r="E96" s="71"/>
      <c r="F96" s="91">
        <f>F93+F94</f>
        <v>9806596758</v>
      </c>
      <c r="G96" s="91"/>
      <c r="H96" s="91">
        <f t="shared" ref="H96:AJ96" si="44">H93+H94</f>
        <v>6112716217.1384859</v>
      </c>
      <c r="I96" s="91">
        <f t="shared" si="44"/>
        <v>0</v>
      </c>
      <c r="J96" s="91">
        <f t="shared" si="44"/>
        <v>0</v>
      </c>
      <c r="K96" s="91">
        <f>K93+K94</f>
        <v>0</v>
      </c>
      <c r="L96" s="91">
        <f t="shared" si="44"/>
        <v>0</v>
      </c>
      <c r="M96" s="91">
        <f t="shared" si="44"/>
        <v>0</v>
      </c>
      <c r="N96" s="91"/>
      <c r="O96" s="91">
        <f t="shared" si="44"/>
        <v>1397538896.7138231</v>
      </c>
      <c r="P96" s="91">
        <f>P93+P94</f>
        <v>0</v>
      </c>
      <c r="Q96" s="91">
        <f>Q93+Q94</f>
        <v>0</v>
      </c>
      <c r="R96" s="91"/>
      <c r="S96" s="91">
        <f t="shared" si="44"/>
        <v>0</v>
      </c>
      <c r="T96" s="91">
        <f>T93+T94</f>
        <v>359950638.00024533</v>
      </c>
      <c r="U96" s="91">
        <f t="shared" si="44"/>
        <v>0</v>
      </c>
      <c r="V96" s="91">
        <f t="shared" si="44"/>
        <v>286287937.39234227</v>
      </c>
      <c r="W96" s="91">
        <f>W93+W94</f>
        <v>556476517.30730522</v>
      </c>
      <c r="X96" s="91">
        <f>X93+X94</f>
        <v>128882449.58705434</v>
      </c>
      <c r="Y96" s="91">
        <f>Y93+Y94</f>
        <v>260181654.62979341</v>
      </c>
      <c r="Z96" s="91">
        <f t="shared" si="44"/>
        <v>187876367.60323277</v>
      </c>
      <c r="AA96" s="91">
        <f t="shared" si="44"/>
        <v>156092759.12328565</v>
      </c>
      <c r="AB96" s="91">
        <f>AB93+AB94</f>
        <v>131606043.11297219</v>
      </c>
      <c r="AC96" s="91">
        <f>AC93+AC94</f>
        <v>78271220.345678151</v>
      </c>
      <c r="AD96" s="91">
        <f t="shared" si="44"/>
        <v>150716057.04578137</v>
      </c>
      <c r="AE96" s="91"/>
      <c r="AF96" s="91">
        <f t="shared" si="44"/>
        <v>0</v>
      </c>
      <c r="AG96" s="91"/>
      <c r="AH96" s="91">
        <f t="shared" si="44"/>
        <v>0</v>
      </c>
      <c r="AI96" s="91"/>
      <c r="AJ96" s="91">
        <f t="shared" si="44"/>
        <v>0</v>
      </c>
      <c r="AK96" s="90">
        <f>SUM(H96:AJ96)</f>
        <v>9806596758.0000019</v>
      </c>
      <c r="AL96" s="87" t="str">
        <f>IF(ABS(AK96-F96)&lt;1,"ok","err")</f>
        <v>ok</v>
      </c>
    </row>
    <row r="97" spans="1:38" x14ac:dyDescent="0.5">
      <c r="D97" s="371"/>
      <c r="E97" s="71"/>
      <c r="Y97" s="86"/>
      <c r="AL97" s="87"/>
    </row>
    <row r="98" spans="1:38" x14ac:dyDescent="0.5">
      <c r="A98" s="22" t="s">
        <v>185</v>
      </c>
      <c r="D98" s="371"/>
      <c r="E98" s="71"/>
      <c r="Y98" s="86"/>
      <c r="AL98" s="87"/>
    </row>
    <row r="99" spans="1:38" x14ac:dyDescent="0.5">
      <c r="A99" s="96" t="s">
        <v>1593</v>
      </c>
      <c r="C99" s="86" t="s">
        <v>472</v>
      </c>
      <c r="D99" s="371" t="s">
        <v>706</v>
      </c>
      <c r="E99" s="71"/>
      <c r="F99" s="89">
        <f>'Jurisdictional Study'!F786-132623812</f>
        <v>1910902169</v>
      </c>
      <c r="H99" s="90">
        <f t="shared" ref="H99:H107" si="45">IF(VLOOKUP($D99,$C$5:$AJ$596,6,)=0,0,((VLOOKUP($D99,$C$5:$AJ$596,6,)/VLOOKUP($D99,$C$5:$AJ$596,4,))*$F99))</f>
        <v>1910902169</v>
      </c>
      <c r="I99" s="90">
        <f t="shared" ref="I99:I107" si="46">IF(VLOOKUP($D99,$C$5:$AJ$596,7,)=0,0,((VLOOKUP($D99,$C$5:$AJ$596,7,)/VLOOKUP($D99,$C$5:$AJ$596,4,))*$F99))</f>
        <v>0</v>
      </c>
      <c r="J99" s="90">
        <f t="shared" ref="J99:J107" si="47">IF(VLOOKUP($D99,$C$5:$AJ$596,8,)=0,0,((VLOOKUP($D99,$C$5:$AJ$596,8,)/VLOOKUP($D99,$C$5:$AJ$596,4,))*$F99))</f>
        <v>0</v>
      </c>
      <c r="K99" s="90">
        <f t="shared" ref="K99:K107" si="48">IF(VLOOKUP($D99,$C$5:$AJ$596,9,)=0,0,((VLOOKUP($D99,$C$5:$AJ$596,9,)/VLOOKUP($D99,$C$5:$AJ$596,4,))*$F99))</f>
        <v>0</v>
      </c>
      <c r="L99" s="90">
        <f t="shared" ref="L99:L107" si="49">IF(VLOOKUP($D99,$C$5:$AJ$596,10,)=0,0,((VLOOKUP($D99,$C$5:$AJ$596,10,)/VLOOKUP($D99,$C$5:$AJ$596,4,))*$F99))</f>
        <v>0</v>
      </c>
      <c r="M99" s="90">
        <f t="shared" ref="M99:M107" si="50">IF(VLOOKUP($D99,$C$5:$AJ$596,11,)=0,0,((VLOOKUP($D99,$C$5:$AJ$596,11,)/VLOOKUP($D99,$C$5:$AJ$596,4,))*$F99))</f>
        <v>0</v>
      </c>
      <c r="N99" s="90"/>
      <c r="O99" s="90">
        <f t="shared" ref="O99:O107" si="51">IF(VLOOKUP($D99,$C$5:$AJ$596,13,)=0,0,((VLOOKUP($D99,$C$5:$AJ$596,13,)/VLOOKUP($D99,$C$5:$AJ$596,4,))*$F99))</f>
        <v>0</v>
      </c>
      <c r="P99" s="90">
        <f t="shared" ref="P99:P107" si="52">IF(VLOOKUP($D99,$C$5:$AJ$596,14,)=0,0,((VLOOKUP($D99,$C$5:$AJ$596,14,)/VLOOKUP($D99,$C$5:$AJ$596,4,))*$F99))</f>
        <v>0</v>
      </c>
      <c r="Q99" s="90">
        <f t="shared" ref="Q99:Q107" si="53">IF(VLOOKUP($D99,$C$5:$AJ$596,15,)=0,0,((VLOOKUP($D99,$C$5:$AJ$596,15,)/VLOOKUP($D99,$C$5:$AJ$596,4,))*$F99))</f>
        <v>0</v>
      </c>
      <c r="R99" s="90"/>
      <c r="S99" s="90">
        <f t="shared" ref="S99:S107" si="54">IF(VLOOKUP($D99,$C$5:$AJ$596,17,)=0,0,((VLOOKUP($D99,$C$5:$AJ$596,17,)/VLOOKUP($D99,$C$5:$AJ$596,4,))*$F99))</f>
        <v>0</v>
      </c>
      <c r="T99" s="90">
        <f t="shared" ref="T99:T107" si="55">IF(VLOOKUP($D99,$C$5:$AJ$596,18,)=0,0,((VLOOKUP($D99,$C$5:$AJ$596,18,)/VLOOKUP($D99,$C$5:$AJ$596,4,))*$F99))</f>
        <v>0</v>
      </c>
      <c r="U99" s="90">
        <f t="shared" ref="U99:U107" si="56">IF(VLOOKUP($D99,$C$5:$AJ$596,19,)=0,0,((VLOOKUP($D99,$C$5:$AJ$596,19,)/VLOOKUP($D99,$C$5:$AJ$596,4,))*$F99))</f>
        <v>0</v>
      </c>
      <c r="V99" s="90">
        <f t="shared" ref="V99:V107" si="57">IF(VLOOKUP($D99,$C$5:$AJ$596,20,)=0,0,((VLOOKUP($D99,$C$5:$AJ$596,20,)/VLOOKUP($D99,$C$5:$AJ$596,4,))*$F99))</f>
        <v>0</v>
      </c>
      <c r="W99" s="90">
        <f t="shared" ref="W99:W107" si="58">IF(VLOOKUP($D99,$C$5:$AJ$596,21,)=0,0,((VLOOKUP($D99,$C$5:$AJ$596,21,)/VLOOKUP($D99,$C$5:$AJ$596,4,))*$F99))</f>
        <v>0</v>
      </c>
      <c r="X99" s="90">
        <f t="shared" ref="X99:X107" si="59">IF(VLOOKUP($D99,$C$5:$AJ$596,22,)=0,0,((VLOOKUP($D99,$C$5:$AJ$596,22,)/VLOOKUP($D99,$C$5:$AJ$596,4,))*$F99))</f>
        <v>0</v>
      </c>
      <c r="Y99" s="90">
        <f t="shared" ref="Y99:Y107" si="60">IF(VLOOKUP($D99,$C$5:$AJ$596,23,)=0,0,((VLOOKUP($D99,$C$5:$AJ$596,23,)/VLOOKUP($D99,$C$5:$AJ$596,4,))*$F99))</f>
        <v>0</v>
      </c>
      <c r="Z99" s="90">
        <f t="shared" ref="Z99:Z107" si="61">IF(VLOOKUP($D99,$C$5:$AJ$596,24,)=0,0,((VLOOKUP($D99,$C$5:$AJ$596,24,)/VLOOKUP($D99,$C$5:$AJ$596,4,))*$F99))</f>
        <v>0</v>
      </c>
      <c r="AA99" s="90">
        <f t="shared" ref="AA99:AA107" si="62">IF(VLOOKUP($D99,$C$5:$AJ$596,25,)=0,0,((VLOOKUP($D99,$C$5:$AJ$596,25,)/VLOOKUP($D99,$C$5:$AJ$596,4,))*$F99))</f>
        <v>0</v>
      </c>
      <c r="AB99" s="90">
        <f t="shared" ref="AB99:AB107" si="63">IF(VLOOKUP($D99,$C$5:$AJ$596,26,)=0,0,((VLOOKUP($D99,$C$5:$AJ$596,26,)/VLOOKUP($D99,$C$5:$AJ$596,4,))*$F99))</f>
        <v>0</v>
      </c>
      <c r="AC99" s="90">
        <f t="shared" ref="AC99:AC107" si="64">IF(VLOOKUP($D99,$C$5:$AJ$596,27,)=0,0,((VLOOKUP($D99,$C$5:$AJ$596,27,)/VLOOKUP($D99,$C$5:$AJ$596,4,))*$F99))</f>
        <v>0</v>
      </c>
      <c r="AD99" s="90">
        <f t="shared" ref="AD99:AD107" si="65">IF(VLOOKUP($D99,$C$5:$AJ$596,28,)=0,0,((VLOOKUP($D99,$C$5:$AJ$596,28,)/VLOOKUP($D99,$C$5:$AJ$596,4,))*$F99))</f>
        <v>0</v>
      </c>
      <c r="AE99" s="90"/>
      <c r="AF99" s="90">
        <f t="shared" ref="AF99:AF107" si="66">IF(VLOOKUP($D99,$C$5:$AJ$596,30,)=0,0,((VLOOKUP($D99,$C$5:$AJ$596,30,)/VLOOKUP($D99,$C$5:$AJ$596,4,))*$F99))</f>
        <v>0</v>
      </c>
      <c r="AG99" s="90"/>
      <c r="AH99" s="90">
        <f t="shared" ref="AH99:AH107" si="67">IF(VLOOKUP($D99,$C$5:$AJ$596,32,)=0,0,((VLOOKUP($D99,$C$5:$AJ$596,32,)/VLOOKUP($D99,$C$5:$AJ$596,4,))*$F99))</f>
        <v>0</v>
      </c>
      <c r="AI99" s="90"/>
      <c r="AJ99" s="90">
        <f t="shared" ref="AJ99:AJ107" si="68">IF(VLOOKUP($D99,$C$5:$AJ$596,34,)=0,0,((VLOOKUP($D99,$C$5:$AJ$596,34,)/VLOOKUP($D99,$C$5:$AJ$596,4,))*$F99))</f>
        <v>0</v>
      </c>
      <c r="AK99" s="90">
        <f t="shared" ref="AK99:AK107" si="69">SUM(H99:AJ99)</f>
        <v>1910902169</v>
      </c>
      <c r="AL99" s="87" t="str">
        <f t="shared" ref="AL99:AL107" si="70">IF(ABS(AK99-F99)&lt;1,"ok","err")</f>
        <v>ok</v>
      </c>
    </row>
    <row r="100" spans="1:38" x14ac:dyDescent="0.5">
      <c r="A100" s="96" t="s">
        <v>1592</v>
      </c>
      <c r="C100" s="86" t="s">
        <v>473</v>
      </c>
      <c r="D100" s="371" t="s">
        <v>706</v>
      </c>
      <c r="E100" s="71"/>
      <c r="F100" s="90">
        <f>'Jurisdictional Study'!F792-102139</f>
        <v>16663604</v>
      </c>
      <c r="H100" s="90">
        <f t="shared" si="45"/>
        <v>16663604</v>
      </c>
      <c r="I100" s="90">
        <f t="shared" si="46"/>
        <v>0</v>
      </c>
      <c r="J100" s="90">
        <f t="shared" si="47"/>
        <v>0</v>
      </c>
      <c r="K100" s="90">
        <f t="shared" si="48"/>
        <v>0</v>
      </c>
      <c r="L100" s="90">
        <f t="shared" si="49"/>
        <v>0</v>
      </c>
      <c r="M100" s="90">
        <f t="shared" si="50"/>
        <v>0</v>
      </c>
      <c r="N100" s="90"/>
      <c r="O100" s="90">
        <f t="shared" si="51"/>
        <v>0</v>
      </c>
      <c r="P100" s="90">
        <f t="shared" si="52"/>
        <v>0</v>
      </c>
      <c r="Q100" s="90">
        <f t="shared" si="53"/>
        <v>0</v>
      </c>
      <c r="R100" s="90"/>
      <c r="S100" s="90">
        <f t="shared" si="54"/>
        <v>0</v>
      </c>
      <c r="T100" s="90">
        <f t="shared" si="55"/>
        <v>0</v>
      </c>
      <c r="U100" s="90">
        <f t="shared" si="56"/>
        <v>0</v>
      </c>
      <c r="V100" s="90">
        <f t="shared" si="57"/>
        <v>0</v>
      </c>
      <c r="W100" s="90">
        <f t="shared" si="58"/>
        <v>0</v>
      </c>
      <c r="X100" s="90">
        <f t="shared" si="59"/>
        <v>0</v>
      </c>
      <c r="Y100" s="90">
        <f t="shared" si="60"/>
        <v>0</v>
      </c>
      <c r="Z100" s="90">
        <f t="shared" si="61"/>
        <v>0</v>
      </c>
      <c r="AA100" s="90">
        <f t="shared" si="62"/>
        <v>0</v>
      </c>
      <c r="AB100" s="90">
        <f t="shared" si="63"/>
        <v>0</v>
      </c>
      <c r="AC100" s="90">
        <f t="shared" si="64"/>
        <v>0</v>
      </c>
      <c r="AD100" s="90">
        <f t="shared" si="65"/>
        <v>0</v>
      </c>
      <c r="AE100" s="90"/>
      <c r="AF100" s="90">
        <f t="shared" si="66"/>
        <v>0</v>
      </c>
      <c r="AG100" s="90"/>
      <c r="AH100" s="90">
        <f t="shared" si="67"/>
        <v>0</v>
      </c>
      <c r="AI100" s="90"/>
      <c r="AJ100" s="90">
        <f t="shared" si="68"/>
        <v>0</v>
      </c>
      <c r="AK100" s="90">
        <f t="shared" si="69"/>
        <v>16663604</v>
      </c>
      <c r="AL100" s="87" t="str">
        <f t="shared" si="70"/>
        <v>ok</v>
      </c>
    </row>
    <row r="101" spans="1:38" x14ac:dyDescent="0.5">
      <c r="A101" s="97" t="s">
        <v>1591</v>
      </c>
      <c r="D101" s="371" t="s">
        <v>706</v>
      </c>
      <c r="E101" s="71"/>
      <c r="F101" s="90">
        <f>'Jurisdictional Study'!F798-125415</f>
        <v>425504289</v>
      </c>
      <c r="H101" s="90">
        <f t="shared" si="45"/>
        <v>425504289</v>
      </c>
      <c r="I101" s="90">
        <f t="shared" si="46"/>
        <v>0</v>
      </c>
      <c r="J101" s="90">
        <f t="shared" si="47"/>
        <v>0</v>
      </c>
      <c r="K101" s="90">
        <f t="shared" si="48"/>
        <v>0</v>
      </c>
      <c r="L101" s="90">
        <f t="shared" si="49"/>
        <v>0</v>
      </c>
      <c r="M101" s="90">
        <f t="shared" si="50"/>
        <v>0</v>
      </c>
      <c r="N101" s="90"/>
      <c r="O101" s="90">
        <f t="shared" si="51"/>
        <v>0</v>
      </c>
      <c r="P101" s="90">
        <f t="shared" si="52"/>
        <v>0</v>
      </c>
      <c r="Q101" s="90">
        <f t="shared" si="53"/>
        <v>0</v>
      </c>
      <c r="R101" s="90"/>
      <c r="S101" s="90">
        <f t="shared" si="54"/>
        <v>0</v>
      </c>
      <c r="T101" s="90">
        <f t="shared" si="55"/>
        <v>0</v>
      </c>
      <c r="U101" s="90">
        <f t="shared" si="56"/>
        <v>0</v>
      </c>
      <c r="V101" s="90">
        <f t="shared" si="57"/>
        <v>0</v>
      </c>
      <c r="W101" s="90">
        <f t="shared" si="58"/>
        <v>0</v>
      </c>
      <c r="X101" s="90">
        <f t="shared" si="59"/>
        <v>0</v>
      </c>
      <c r="Y101" s="90">
        <f t="shared" si="60"/>
        <v>0</v>
      </c>
      <c r="Z101" s="90">
        <f t="shared" si="61"/>
        <v>0</v>
      </c>
      <c r="AA101" s="90">
        <f t="shared" si="62"/>
        <v>0</v>
      </c>
      <c r="AB101" s="90">
        <f t="shared" si="63"/>
        <v>0</v>
      </c>
      <c r="AC101" s="90">
        <f t="shared" si="64"/>
        <v>0</v>
      </c>
      <c r="AD101" s="90">
        <f t="shared" si="65"/>
        <v>0</v>
      </c>
      <c r="AE101" s="90"/>
      <c r="AF101" s="90">
        <f t="shared" si="66"/>
        <v>0</v>
      </c>
      <c r="AG101" s="90"/>
      <c r="AH101" s="90">
        <f t="shared" si="67"/>
        <v>0</v>
      </c>
      <c r="AI101" s="90"/>
      <c r="AJ101" s="90">
        <f t="shared" si="68"/>
        <v>0</v>
      </c>
      <c r="AK101" s="90">
        <f>SUM(H101:AJ101)</f>
        <v>425504289</v>
      </c>
      <c r="AL101" s="87" t="str">
        <f t="shared" si="70"/>
        <v>ok</v>
      </c>
    </row>
    <row r="102" spans="1:38" x14ac:dyDescent="0.5">
      <c r="A102" s="86" t="s">
        <v>1594</v>
      </c>
      <c r="C102" s="86" t="s">
        <v>474</v>
      </c>
      <c r="D102" s="371" t="s">
        <v>469</v>
      </c>
      <c r="E102" s="71"/>
      <c r="F102" s="90">
        <f>'Jurisdictional Study'!F803-106963</f>
        <v>340091705</v>
      </c>
      <c r="H102" s="90">
        <f t="shared" si="45"/>
        <v>0</v>
      </c>
      <c r="I102" s="90">
        <f t="shared" si="46"/>
        <v>0</v>
      </c>
      <c r="J102" s="90">
        <f t="shared" si="47"/>
        <v>0</v>
      </c>
      <c r="K102" s="90">
        <f t="shared" si="48"/>
        <v>0</v>
      </c>
      <c r="L102" s="90">
        <f t="shared" si="49"/>
        <v>0</v>
      </c>
      <c r="M102" s="90">
        <f t="shared" si="50"/>
        <v>0</v>
      </c>
      <c r="N102" s="90"/>
      <c r="O102" s="90">
        <f t="shared" si="51"/>
        <v>340091705</v>
      </c>
      <c r="P102" s="90">
        <f t="shared" si="52"/>
        <v>0</v>
      </c>
      <c r="Q102" s="90">
        <f t="shared" si="53"/>
        <v>0</v>
      </c>
      <c r="R102" s="90"/>
      <c r="S102" s="90">
        <f t="shared" si="54"/>
        <v>0</v>
      </c>
      <c r="T102" s="90">
        <f t="shared" si="55"/>
        <v>0</v>
      </c>
      <c r="U102" s="90">
        <f t="shared" si="56"/>
        <v>0</v>
      </c>
      <c r="V102" s="90">
        <f t="shared" si="57"/>
        <v>0</v>
      </c>
      <c r="W102" s="90">
        <f t="shared" si="58"/>
        <v>0</v>
      </c>
      <c r="X102" s="90">
        <f t="shared" si="59"/>
        <v>0</v>
      </c>
      <c r="Y102" s="90">
        <f t="shared" si="60"/>
        <v>0</v>
      </c>
      <c r="Z102" s="90">
        <f t="shared" si="61"/>
        <v>0</v>
      </c>
      <c r="AA102" s="90">
        <f t="shared" si="62"/>
        <v>0</v>
      </c>
      <c r="AB102" s="90">
        <f t="shared" si="63"/>
        <v>0</v>
      </c>
      <c r="AC102" s="90">
        <f t="shared" si="64"/>
        <v>0</v>
      </c>
      <c r="AD102" s="90">
        <f t="shared" si="65"/>
        <v>0</v>
      </c>
      <c r="AE102" s="90"/>
      <c r="AF102" s="90">
        <f t="shared" si="66"/>
        <v>0</v>
      </c>
      <c r="AG102" s="90"/>
      <c r="AH102" s="90">
        <f t="shared" si="67"/>
        <v>0</v>
      </c>
      <c r="AI102" s="90"/>
      <c r="AJ102" s="90">
        <f t="shared" si="68"/>
        <v>0</v>
      </c>
      <c r="AK102" s="90">
        <f t="shared" si="69"/>
        <v>340091705</v>
      </c>
      <c r="AL102" s="87" t="str">
        <f t="shared" si="70"/>
        <v>ok</v>
      </c>
    </row>
    <row r="103" spans="1:38" x14ac:dyDescent="0.5">
      <c r="A103" s="86" t="s">
        <v>1595</v>
      </c>
      <c r="C103" s="86" t="s">
        <v>1298</v>
      </c>
      <c r="D103" s="371" t="s">
        <v>469</v>
      </c>
      <c r="E103" s="71"/>
      <c r="F103" s="90">
        <f>'Jurisdictional Study'!F804</f>
        <v>2567091</v>
      </c>
      <c r="H103" s="90">
        <f t="shared" si="45"/>
        <v>0</v>
      </c>
      <c r="I103" s="90">
        <f t="shared" si="46"/>
        <v>0</v>
      </c>
      <c r="J103" s="90">
        <f t="shared" si="47"/>
        <v>0</v>
      </c>
      <c r="K103" s="90">
        <f t="shared" si="48"/>
        <v>0</v>
      </c>
      <c r="L103" s="90">
        <f t="shared" si="49"/>
        <v>0</v>
      </c>
      <c r="M103" s="90">
        <f t="shared" si="50"/>
        <v>0</v>
      </c>
      <c r="N103" s="90"/>
      <c r="O103" s="90">
        <f t="shared" si="51"/>
        <v>2567091</v>
      </c>
      <c r="P103" s="90">
        <f t="shared" si="52"/>
        <v>0</v>
      </c>
      <c r="Q103" s="90">
        <f t="shared" si="53"/>
        <v>0</v>
      </c>
      <c r="R103" s="90"/>
      <c r="S103" s="90">
        <f t="shared" si="54"/>
        <v>0</v>
      </c>
      <c r="T103" s="90">
        <f t="shared" si="55"/>
        <v>0</v>
      </c>
      <c r="U103" s="90">
        <f t="shared" si="56"/>
        <v>0</v>
      </c>
      <c r="V103" s="90">
        <f t="shared" si="57"/>
        <v>0</v>
      </c>
      <c r="W103" s="90">
        <f t="shared" si="58"/>
        <v>0</v>
      </c>
      <c r="X103" s="90">
        <f t="shared" si="59"/>
        <v>0</v>
      </c>
      <c r="Y103" s="90">
        <f t="shared" si="60"/>
        <v>0</v>
      </c>
      <c r="Z103" s="90">
        <f t="shared" si="61"/>
        <v>0</v>
      </c>
      <c r="AA103" s="90">
        <f t="shared" si="62"/>
        <v>0</v>
      </c>
      <c r="AB103" s="90">
        <f t="shared" si="63"/>
        <v>0</v>
      </c>
      <c r="AC103" s="90">
        <f t="shared" si="64"/>
        <v>0</v>
      </c>
      <c r="AD103" s="90">
        <f t="shared" si="65"/>
        <v>0</v>
      </c>
      <c r="AE103" s="90"/>
      <c r="AF103" s="90">
        <f t="shared" si="66"/>
        <v>0</v>
      </c>
      <c r="AG103" s="90"/>
      <c r="AH103" s="90">
        <f t="shared" si="67"/>
        <v>0</v>
      </c>
      <c r="AI103" s="90"/>
      <c r="AJ103" s="90">
        <f t="shared" si="68"/>
        <v>0</v>
      </c>
      <c r="AK103" s="90">
        <f t="shared" si="69"/>
        <v>2567091</v>
      </c>
      <c r="AL103" s="87" t="str">
        <f t="shared" si="70"/>
        <v>ok</v>
      </c>
    </row>
    <row r="104" spans="1:38" x14ac:dyDescent="0.5">
      <c r="A104" s="86" t="s">
        <v>2326</v>
      </c>
      <c r="C104" s="86" t="s">
        <v>2327</v>
      </c>
      <c r="D104" s="371" t="s">
        <v>469</v>
      </c>
      <c r="E104" s="71"/>
      <c r="F104" s="90">
        <f>'Jurisdictional Study'!F805+'Jurisdictional Study'!F806</f>
        <v>755524</v>
      </c>
      <c r="H104" s="90">
        <f t="shared" si="45"/>
        <v>0</v>
      </c>
      <c r="I104" s="90">
        <f t="shared" si="46"/>
        <v>0</v>
      </c>
      <c r="J104" s="90">
        <f t="shared" si="47"/>
        <v>0</v>
      </c>
      <c r="K104" s="90">
        <f t="shared" si="48"/>
        <v>0</v>
      </c>
      <c r="L104" s="90">
        <f t="shared" si="49"/>
        <v>0</v>
      </c>
      <c r="M104" s="90">
        <f t="shared" si="50"/>
        <v>0</v>
      </c>
      <c r="N104" s="90"/>
      <c r="O104" s="90">
        <f t="shared" si="51"/>
        <v>755524</v>
      </c>
      <c r="P104" s="90">
        <f t="shared" si="52"/>
        <v>0</v>
      </c>
      <c r="Q104" s="90">
        <f t="shared" si="53"/>
        <v>0</v>
      </c>
      <c r="R104" s="90"/>
      <c r="S104" s="90">
        <f t="shared" si="54"/>
        <v>0</v>
      </c>
      <c r="T104" s="90">
        <f t="shared" si="55"/>
        <v>0</v>
      </c>
      <c r="U104" s="90">
        <f t="shared" si="56"/>
        <v>0</v>
      </c>
      <c r="V104" s="90">
        <f t="shared" si="57"/>
        <v>0</v>
      </c>
      <c r="W104" s="90">
        <f t="shared" si="58"/>
        <v>0</v>
      </c>
      <c r="X104" s="90">
        <f t="shared" si="59"/>
        <v>0</v>
      </c>
      <c r="Y104" s="90">
        <f t="shared" si="60"/>
        <v>0</v>
      </c>
      <c r="Z104" s="90">
        <f t="shared" si="61"/>
        <v>0</v>
      </c>
      <c r="AA104" s="90">
        <f t="shared" si="62"/>
        <v>0</v>
      </c>
      <c r="AB104" s="90">
        <f t="shared" si="63"/>
        <v>0</v>
      </c>
      <c r="AC104" s="90">
        <f t="shared" si="64"/>
        <v>0</v>
      </c>
      <c r="AD104" s="90">
        <f t="shared" si="65"/>
        <v>0</v>
      </c>
      <c r="AE104" s="90"/>
      <c r="AF104" s="90">
        <f t="shared" si="66"/>
        <v>0</v>
      </c>
      <c r="AG104" s="90"/>
      <c r="AH104" s="90">
        <f t="shared" si="67"/>
        <v>0</v>
      </c>
      <c r="AI104" s="90"/>
      <c r="AJ104" s="90">
        <f t="shared" si="68"/>
        <v>0</v>
      </c>
      <c r="AK104" s="90">
        <f>SUM(H104:AJ104)</f>
        <v>755524</v>
      </c>
      <c r="AL104" s="87" t="str">
        <f>IF(ABS(AK104-F104)&lt;1,"ok","err")</f>
        <v>ok</v>
      </c>
    </row>
    <row r="105" spans="1:38" x14ac:dyDescent="0.5">
      <c r="A105" s="86" t="s">
        <v>1597</v>
      </c>
      <c r="C105" s="86" t="s">
        <v>1299</v>
      </c>
      <c r="D105" s="371" t="s">
        <v>109</v>
      </c>
      <c r="E105" s="71"/>
      <c r="F105" s="90">
        <f>'Jurisdictional Study'!F811-885360</f>
        <v>692590515</v>
      </c>
      <c r="H105" s="90">
        <f t="shared" si="45"/>
        <v>0</v>
      </c>
      <c r="I105" s="90">
        <f t="shared" si="46"/>
        <v>0</v>
      </c>
      <c r="J105" s="90">
        <f t="shared" si="47"/>
        <v>0</v>
      </c>
      <c r="K105" s="90">
        <f t="shared" si="48"/>
        <v>0</v>
      </c>
      <c r="L105" s="90">
        <f t="shared" si="49"/>
        <v>0</v>
      </c>
      <c r="M105" s="90">
        <f t="shared" si="50"/>
        <v>0</v>
      </c>
      <c r="N105" s="90"/>
      <c r="O105" s="90">
        <f t="shared" si="51"/>
        <v>0</v>
      </c>
      <c r="P105" s="90">
        <f t="shared" si="52"/>
        <v>0</v>
      </c>
      <c r="Q105" s="90">
        <f t="shared" si="53"/>
        <v>0</v>
      </c>
      <c r="R105" s="90"/>
      <c r="S105" s="90">
        <f t="shared" si="54"/>
        <v>0</v>
      </c>
      <c r="T105" s="90">
        <f t="shared" si="55"/>
        <v>108563287.34119961</v>
      </c>
      <c r="U105" s="90">
        <f t="shared" si="56"/>
        <v>0</v>
      </c>
      <c r="V105" s="90">
        <f t="shared" si="57"/>
        <v>86346171.747646779</v>
      </c>
      <c r="W105" s="90">
        <f t="shared" si="58"/>
        <v>167836680.00338933</v>
      </c>
      <c r="X105" s="90">
        <f t="shared" si="59"/>
        <v>38871725.538509861</v>
      </c>
      <c r="Y105" s="90">
        <f t="shared" si="60"/>
        <v>78472359.125152498</v>
      </c>
      <c r="Z105" s="90">
        <f t="shared" si="61"/>
        <v>56664647.669597134</v>
      </c>
      <c r="AA105" s="90">
        <f t="shared" si="62"/>
        <v>47078519.306778856</v>
      </c>
      <c r="AB105" s="90">
        <f t="shared" si="63"/>
        <v>39693177.802624606</v>
      </c>
      <c r="AC105" s="90">
        <f t="shared" si="64"/>
        <v>23607072.99240407</v>
      </c>
      <c r="AD105" s="90">
        <f t="shared" si="65"/>
        <v>45456873.472697236</v>
      </c>
      <c r="AE105" s="90"/>
      <c r="AF105" s="90">
        <f t="shared" si="66"/>
        <v>0</v>
      </c>
      <c r="AG105" s="90"/>
      <c r="AH105" s="90">
        <f t="shared" si="67"/>
        <v>0</v>
      </c>
      <c r="AI105" s="90"/>
      <c r="AJ105" s="90">
        <f t="shared" si="68"/>
        <v>0</v>
      </c>
      <c r="AK105" s="90">
        <f t="shared" si="69"/>
        <v>692590515</v>
      </c>
      <c r="AL105" s="87" t="str">
        <f t="shared" si="70"/>
        <v>ok</v>
      </c>
    </row>
    <row r="106" spans="1:38" x14ac:dyDescent="0.5">
      <c r="A106" s="96" t="s">
        <v>186</v>
      </c>
      <c r="C106" s="86" t="s">
        <v>1300</v>
      </c>
      <c r="D106" s="371" t="s">
        <v>471</v>
      </c>
      <c r="E106" s="71"/>
      <c r="F106" s="90">
        <f>'Jurisdictional Study'!F813-5866547</f>
        <v>77429701</v>
      </c>
      <c r="H106" s="90">
        <f t="shared" si="45"/>
        <v>48728480.393381722</v>
      </c>
      <c r="I106" s="90">
        <f t="shared" si="46"/>
        <v>0</v>
      </c>
      <c r="J106" s="90">
        <f t="shared" si="47"/>
        <v>0</v>
      </c>
      <c r="K106" s="90">
        <f t="shared" si="48"/>
        <v>0</v>
      </c>
      <c r="L106" s="90">
        <f t="shared" si="49"/>
        <v>0</v>
      </c>
      <c r="M106" s="90">
        <f t="shared" si="50"/>
        <v>0</v>
      </c>
      <c r="N106" s="90"/>
      <c r="O106" s="90">
        <f t="shared" si="51"/>
        <v>10547995.733625272</v>
      </c>
      <c r="P106" s="90">
        <f t="shared" si="52"/>
        <v>0</v>
      </c>
      <c r="Q106" s="90">
        <f t="shared" si="53"/>
        <v>0</v>
      </c>
      <c r="R106" s="90"/>
      <c r="S106" s="90">
        <f t="shared" si="54"/>
        <v>0</v>
      </c>
      <c r="T106" s="90">
        <f t="shared" si="55"/>
        <v>2845510.7677242034</v>
      </c>
      <c r="U106" s="90">
        <f t="shared" si="56"/>
        <v>0</v>
      </c>
      <c r="V106" s="90">
        <f t="shared" si="57"/>
        <v>2263186.455357546</v>
      </c>
      <c r="W106" s="90">
        <f t="shared" si="58"/>
        <v>4399102.9736208487</v>
      </c>
      <c r="X106" s="90">
        <f t="shared" si="59"/>
        <v>1018851.9184410642</v>
      </c>
      <c r="Y106" s="90">
        <f t="shared" si="60"/>
        <v>2056808.9667141314</v>
      </c>
      <c r="Z106" s="90">
        <f t="shared" si="61"/>
        <v>1485215.3894933371</v>
      </c>
      <c r="AA106" s="90">
        <f t="shared" si="62"/>
        <v>1233957.0484350328</v>
      </c>
      <c r="AB106" s="90">
        <f t="shared" si="63"/>
        <v>1040382.6892933105</v>
      </c>
      <c r="AC106" s="90">
        <f t="shared" si="64"/>
        <v>618755.95368826424</v>
      </c>
      <c r="AD106" s="90">
        <f t="shared" si="65"/>
        <v>1191452.7102252671</v>
      </c>
      <c r="AE106" s="90"/>
      <c r="AF106" s="90">
        <f t="shared" si="66"/>
        <v>0</v>
      </c>
      <c r="AG106" s="90"/>
      <c r="AH106" s="90">
        <f t="shared" si="67"/>
        <v>0</v>
      </c>
      <c r="AI106" s="90"/>
      <c r="AJ106" s="90">
        <f t="shared" si="68"/>
        <v>0</v>
      </c>
      <c r="AK106" s="90">
        <f t="shared" si="69"/>
        <v>77429700.999999985</v>
      </c>
      <c r="AL106" s="87" t="str">
        <f t="shared" si="70"/>
        <v>ok</v>
      </c>
    </row>
    <row r="107" spans="1:38" x14ac:dyDescent="0.5">
      <c r="A107" s="96" t="s">
        <v>1596</v>
      </c>
      <c r="C107" s="86" t="s">
        <v>187</v>
      </c>
      <c r="D107" s="371" t="s">
        <v>471</v>
      </c>
      <c r="E107" s="71"/>
      <c r="F107" s="90">
        <f>'Jurisdictional Study'!F815+'Jurisdictional Study'!F816</f>
        <v>49083879</v>
      </c>
      <c r="H107" s="90">
        <f t="shared" si="45"/>
        <v>30889733.585341122</v>
      </c>
      <c r="I107" s="90">
        <f t="shared" si="46"/>
        <v>0</v>
      </c>
      <c r="J107" s="90">
        <f t="shared" si="47"/>
        <v>0</v>
      </c>
      <c r="K107" s="90">
        <f t="shared" si="48"/>
        <v>0</v>
      </c>
      <c r="L107" s="90">
        <f t="shared" si="49"/>
        <v>0</v>
      </c>
      <c r="M107" s="90">
        <f t="shared" si="50"/>
        <v>0</v>
      </c>
      <c r="N107" s="90"/>
      <c r="O107" s="90">
        <f t="shared" si="51"/>
        <v>6686536.8146233587</v>
      </c>
      <c r="P107" s="90">
        <f t="shared" si="52"/>
        <v>0</v>
      </c>
      <c r="Q107" s="90">
        <f t="shared" si="53"/>
        <v>0</v>
      </c>
      <c r="R107" s="90"/>
      <c r="S107" s="90">
        <f t="shared" si="54"/>
        <v>0</v>
      </c>
      <c r="T107" s="90">
        <f t="shared" si="55"/>
        <v>1803813.0641389394</v>
      </c>
      <c r="U107" s="90">
        <f t="shared" si="56"/>
        <v>0</v>
      </c>
      <c r="V107" s="90">
        <f t="shared" si="57"/>
        <v>1434668.7213632492</v>
      </c>
      <c r="W107" s="90">
        <f t="shared" si="58"/>
        <v>2788659.0710939975</v>
      </c>
      <c r="X107" s="90">
        <f t="shared" si="59"/>
        <v>645865.90982288646</v>
      </c>
      <c r="Y107" s="90">
        <f t="shared" si="60"/>
        <v>1303842.8554478269</v>
      </c>
      <c r="Z107" s="90">
        <f t="shared" si="61"/>
        <v>941500.89081228455</v>
      </c>
      <c r="AA107" s="90">
        <f t="shared" si="62"/>
        <v>782224.36189676472</v>
      </c>
      <c r="AB107" s="90">
        <f t="shared" si="63"/>
        <v>659514.59679493599</v>
      </c>
      <c r="AC107" s="90">
        <f t="shared" si="64"/>
        <v>392238.92084207281</v>
      </c>
      <c r="AD107" s="90">
        <f t="shared" si="65"/>
        <v>755280.20782256499</v>
      </c>
      <c r="AE107" s="90"/>
      <c r="AF107" s="90">
        <f t="shared" si="66"/>
        <v>0</v>
      </c>
      <c r="AG107" s="90"/>
      <c r="AH107" s="90">
        <f t="shared" si="67"/>
        <v>0</v>
      </c>
      <c r="AI107" s="90"/>
      <c r="AJ107" s="90">
        <f t="shared" si="68"/>
        <v>0</v>
      </c>
      <c r="AK107" s="90">
        <f t="shared" si="69"/>
        <v>49083879.000000015</v>
      </c>
      <c r="AL107" s="87" t="str">
        <f t="shared" si="70"/>
        <v>ok</v>
      </c>
    </row>
    <row r="108" spans="1:38" x14ac:dyDescent="0.5">
      <c r="D108" s="371"/>
      <c r="E108" s="71"/>
      <c r="Y108" s="86"/>
      <c r="AK108" s="90"/>
      <c r="AL108" s="87"/>
    </row>
    <row r="109" spans="1:38" x14ac:dyDescent="0.5">
      <c r="A109" s="86" t="s">
        <v>188</v>
      </c>
      <c r="C109" s="86" t="s">
        <v>189</v>
      </c>
      <c r="D109" s="371"/>
      <c r="E109" s="71"/>
      <c r="F109" s="91">
        <f>SUM(F99:F107)</f>
        <v>3515588477</v>
      </c>
      <c r="G109" s="91"/>
      <c r="H109" s="91">
        <f t="shared" ref="H109:M109" si="71">SUM(H99:H107)</f>
        <v>2432688275.9787226</v>
      </c>
      <c r="I109" s="91">
        <f t="shared" si="71"/>
        <v>0</v>
      </c>
      <c r="J109" s="91">
        <f t="shared" si="71"/>
        <v>0</v>
      </c>
      <c r="K109" s="91">
        <f t="shared" si="71"/>
        <v>0</v>
      </c>
      <c r="L109" s="91">
        <f t="shared" si="71"/>
        <v>0</v>
      </c>
      <c r="M109" s="91">
        <f t="shared" si="71"/>
        <v>0</v>
      </c>
      <c r="N109" s="91"/>
      <c r="O109" s="91">
        <f>SUM(O99:O107)</f>
        <v>360648852.54824865</v>
      </c>
      <c r="P109" s="91">
        <f>SUM(P99:P107)</f>
        <v>0</v>
      </c>
      <c r="Q109" s="91">
        <f>SUM(Q99:Q107)</f>
        <v>0</v>
      </c>
      <c r="R109" s="91"/>
      <c r="S109" s="91">
        <f t="shared" ref="S109:AD109" si="72">SUM(S99:S107)</f>
        <v>0</v>
      </c>
      <c r="T109" s="91">
        <f t="shared" si="72"/>
        <v>113212611.17306274</v>
      </c>
      <c r="U109" s="91">
        <f t="shared" si="72"/>
        <v>0</v>
      </c>
      <c r="V109" s="91">
        <f t="shared" si="72"/>
        <v>90044026.924367577</v>
      </c>
      <c r="W109" s="91">
        <f t="shared" si="72"/>
        <v>175024442.0481042</v>
      </c>
      <c r="X109" s="91">
        <f t="shared" si="72"/>
        <v>40536443.366773814</v>
      </c>
      <c r="Y109" s="91">
        <f t="shared" si="72"/>
        <v>81833010.947314456</v>
      </c>
      <c r="Z109" s="91">
        <f t="shared" si="72"/>
        <v>59091363.949902758</v>
      </c>
      <c r="AA109" s="91">
        <f t="shared" si="72"/>
        <v>49094700.717110656</v>
      </c>
      <c r="AB109" s="91">
        <f t="shared" si="72"/>
        <v>41393075.088712849</v>
      </c>
      <c r="AC109" s="91">
        <f t="shared" si="72"/>
        <v>24618067.866934408</v>
      </c>
      <c r="AD109" s="91">
        <f t="shared" si="72"/>
        <v>47403606.390745074</v>
      </c>
      <c r="AE109" s="91"/>
      <c r="AF109" s="91">
        <f>SUM(AF99:AF107)</f>
        <v>0</v>
      </c>
      <c r="AG109" s="91"/>
      <c r="AH109" s="91">
        <f>SUM(AH99:AH107)</f>
        <v>0</v>
      </c>
      <c r="AI109" s="91"/>
      <c r="AJ109" s="91">
        <f>SUM(AJ99:AJ107)</f>
        <v>0</v>
      </c>
      <c r="AK109" s="90">
        <f>SUM(H109:AJ109)</f>
        <v>3515588476.999999</v>
      </c>
      <c r="AL109" s="87" t="str">
        <f>IF(ABS(AK109-F109)&lt;1,"ok","err")</f>
        <v>ok</v>
      </c>
    </row>
    <row r="110" spans="1:38" x14ac:dyDescent="0.5">
      <c r="D110" s="371"/>
      <c r="E110" s="71"/>
      <c r="F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0"/>
      <c r="AL110" s="87"/>
    </row>
    <row r="111" spans="1:38" x14ac:dyDescent="0.5">
      <c r="A111" s="22" t="s">
        <v>190</v>
      </c>
      <c r="C111" s="86" t="s">
        <v>191</v>
      </c>
      <c r="D111" s="371"/>
      <c r="E111" s="71"/>
      <c r="F111" s="91">
        <f>F96-F109</f>
        <v>6291008281</v>
      </c>
      <c r="G111" s="91"/>
      <c r="H111" s="91">
        <f t="shared" ref="H111:M111" si="73">H96-H109</f>
        <v>3680027941.1597633</v>
      </c>
      <c r="I111" s="91">
        <f t="shared" si="73"/>
        <v>0</v>
      </c>
      <c r="J111" s="91">
        <f t="shared" si="73"/>
        <v>0</v>
      </c>
      <c r="K111" s="91">
        <f t="shared" si="73"/>
        <v>0</v>
      </c>
      <c r="L111" s="91">
        <f t="shared" si="73"/>
        <v>0</v>
      </c>
      <c r="M111" s="91">
        <f t="shared" si="73"/>
        <v>0</v>
      </c>
      <c r="N111" s="91"/>
      <c r="O111" s="91">
        <f>O96-O109</f>
        <v>1036890044.1655744</v>
      </c>
      <c r="P111" s="91">
        <f>P96-P109</f>
        <v>0</v>
      </c>
      <c r="Q111" s="91">
        <f>Q96-Q109</f>
        <v>0</v>
      </c>
      <c r="R111" s="91"/>
      <c r="S111" s="91">
        <f t="shared" ref="S111:AD111" si="74">S96-S109</f>
        <v>0</v>
      </c>
      <c r="T111" s="91">
        <f t="shared" si="74"/>
        <v>246738026.82718259</v>
      </c>
      <c r="U111" s="91">
        <f t="shared" si="74"/>
        <v>0</v>
      </c>
      <c r="V111" s="91">
        <f t="shared" si="74"/>
        <v>196243910.46797469</v>
      </c>
      <c r="W111" s="91">
        <f t="shared" si="74"/>
        <v>381452075.25920105</v>
      </c>
      <c r="X111" s="91">
        <f t="shared" si="74"/>
        <v>88346006.220280528</v>
      </c>
      <c r="Y111" s="91">
        <f t="shared" si="74"/>
        <v>178348643.68247896</v>
      </c>
      <c r="Z111" s="91">
        <f t="shared" si="74"/>
        <v>128785003.65333001</v>
      </c>
      <c r="AA111" s="91">
        <f t="shared" si="74"/>
        <v>106998058.40617499</v>
      </c>
      <c r="AB111" s="91">
        <f t="shared" si="74"/>
        <v>90212968.024259329</v>
      </c>
      <c r="AC111" s="91">
        <f t="shared" si="74"/>
        <v>53653152.478743747</v>
      </c>
      <c r="AD111" s="91">
        <f t="shared" si="74"/>
        <v>103312450.6550363</v>
      </c>
      <c r="AE111" s="91"/>
      <c r="AF111" s="91">
        <f>AF96-AF109</f>
        <v>0</v>
      </c>
      <c r="AG111" s="91"/>
      <c r="AH111" s="91">
        <f>AH96-AH109</f>
        <v>0</v>
      </c>
      <c r="AI111" s="91"/>
      <c r="AJ111" s="91">
        <f>AJ96-AJ109</f>
        <v>0</v>
      </c>
      <c r="AK111" s="90">
        <f>SUM(H111:AJ111)</f>
        <v>6291008280.999999</v>
      </c>
      <c r="AL111" s="87" t="str">
        <f>IF(ABS(AK111-F111)&lt;1,"ok","err")</f>
        <v>ok</v>
      </c>
    </row>
    <row r="112" spans="1:38" x14ac:dyDescent="0.5">
      <c r="D112" s="371"/>
      <c r="E112" s="71"/>
      <c r="Y112" s="86"/>
      <c r="AL112" s="87"/>
    </row>
    <row r="113" spans="1:39" x14ac:dyDescent="0.5">
      <c r="A113" s="22" t="s">
        <v>767</v>
      </c>
      <c r="D113" s="50"/>
      <c r="E113" s="50"/>
      <c r="Y113" s="86"/>
      <c r="AL113" s="87"/>
    </row>
    <row r="114" spans="1:39" x14ac:dyDescent="0.5">
      <c r="A114" s="86" t="s">
        <v>1293</v>
      </c>
      <c r="C114" s="86" t="s">
        <v>769</v>
      </c>
      <c r="D114" s="50" t="s">
        <v>770</v>
      </c>
      <c r="E114" s="50"/>
      <c r="F114" s="89">
        <f>'Jurisdictional Study'!F568+144218</f>
        <v>130078093</v>
      </c>
      <c r="G114" s="89"/>
      <c r="H114" s="90">
        <f>IF(VLOOKUP($D114,$C$5:$AJ$596,6,)=0,0,((VLOOKUP($D114,$C$5:$AJ$596,6,)/VLOOKUP($D114,$C$5:$AJ$596,4,))*$F114))</f>
        <v>19058566.228074986</v>
      </c>
      <c r="I114" s="90">
        <f>IF(VLOOKUP($D114,$C$5:$AJ$596,7,)=0,0,((VLOOKUP($D114,$C$5:$AJ$596,7,)/VLOOKUP($D114,$C$5:$AJ$596,4,))*$F114))</f>
        <v>0</v>
      </c>
      <c r="J114" s="90">
        <f>IF(VLOOKUP($D114,$C$5:$AJ$596,8,)=0,0,((VLOOKUP($D114,$C$5:$AJ$596,8,)/VLOOKUP($D114,$C$5:$AJ$596,4,))*$F114))</f>
        <v>0</v>
      </c>
      <c r="K114" s="90">
        <f>IF(VLOOKUP($D114,$C$5:$AJ$596,9,)=0,0,((VLOOKUP($D114,$C$5:$AJ$596,9,)/VLOOKUP($D114,$C$5:$AJ$596,4,))*$F114))</f>
        <v>79624711.105574101</v>
      </c>
      <c r="L114" s="90">
        <f>IF(VLOOKUP($D114,$C$5:$AJ$596,10,)=0,0,((VLOOKUP($D114,$C$5:$AJ$596,10,)/VLOOKUP($D114,$C$5:$AJ$596,4,))*$F114))</f>
        <v>0</v>
      </c>
      <c r="M114" s="90">
        <f>IF(VLOOKUP($D114,$C$5:$AJ$596,11,)=0,0,((VLOOKUP($D114,$C$5:$AJ$596,11,)/VLOOKUP($D114,$C$5:$AJ$596,4,))*$F114))</f>
        <v>0</v>
      </c>
      <c r="N114" s="90"/>
      <c r="O114" s="90">
        <f>IF(VLOOKUP($D114,$C$5:$AJ$596,13,)=0,0,((VLOOKUP($D114,$C$5:$AJ$596,13,)/VLOOKUP($D114,$C$5:$AJ$596,4,))*$F114))</f>
        <v>8904126.5362057462</v>
      </c>
      <c r="P114" s="90">
        <f>IF(VLOOKUP($D114,$C$5:$AJ$596,14,)=0,0,((VLOOKUP($D114,$C$5:$AJ$596,14,)/VLOOKUP($D114,$C$5:$AJ$596,4,))*$F114))</f>
        <v>0</v>
      </c>
      <c r="Q114" s="90">
        <f>IF(VLOOKUP($D114,$C$5:$AJ$596,15,)=0,0,((VLOOKUP($D114,$C$5:$AJ$596,15,)/VLOOKUP($D114,$C$5:$AJ$596,4,))*$F114))</f>
        <v>0</v>
      </c>
      <c r="R114" s="90"/>
      <c r="S114" s="90">
        <f>IF(VLOOKUP($D114,$C$5:$AJ$596,17,)=0,0,((VLOOKUP($D114,$C$5:$AJ$596,17,)/VLOOKUP($D114,$C$5:$AJ$596,4,))*$F114))</f>
        <v>0</v>
      </c>
      <c r="T114" s="90">
        <f>IF(VLOOKUP($D114,$C$5:$AJ$596,18,)=0,0,((VLOOKUP($D114,$C$5:$AJ$596,18,)/VLOOKUP($D114,$C$5:$AJ$596,4,))*$F114))</f>
        <v>1431095.1294201037</v>
      </c>
      <c r="U114" s="90">
        <f>IF(VLOOKUP($D114,$C$5:$AJ$596,19,)=0,0,((VLOOKUP($D114,$C$5:$AJ$596,19,)/VLOOKUP($D114,$C$5:$AJ$596,4,))*$F114))</f>
        <v>0</v>
      </c>
      <c r="V114" s="90">
        <f>IF(VLOOKUP($D114,$C$5:$AJ$596,20,)=0,0,((VLOOKUP($D114,$C$5:$AJ$596,20,)/VLOOKUP($D114,$C$5:$AJ$596,4,))*$F114))</f>
        <v>1998527.8876253378</v>
      </c>
      <c r="W114" s="90">
        <f>IF(VLOOKUP($D114,$C$5:$AJ$596,21,)=0,0,((VLOOKUP($D114,$C$5:$AJ$596,21,)/VLOOKUP($D114,$C$5:$AJ$596,4,))*$F114))</f>
        <v>3667849.1051041456</v>
      </c>
      <c r="X114" s="90">
        <f>IF(VLOOKUP($D114,$C$5:$AJ$596,22,)=0,0,((VLOOKUP($D114,$C$5:$AJ$596,22,)/VLOOKUP($D114,$C$5:$AJ$596,4,))*$F114))</f>
        <v>857386.05511636368</v>
      </c>
      <c r="Y114" s="90">
        <f>IF(VLOOKUP($D114,$C$5:$AJ$596,23,)=0,0,((VLOOKUP($D114,$C$5:$AJ$596,23,)/VLOOKUP($D114,$C$5:$AJ$596,4,))*$F114))</f>
        <v>1599579.5160600767</v>
      </c>
      <c r="Z114" s="90">
        <f>IF(VLOOKUP($D114,$C$5:$AJ$596,24,)=0,0,((VLOOKUP($D114,$C$5:$AJ$596,24,)/VLOOKUP($D114,$C$5:$AJ$596,4,))*$F114))</f>
        <v>408278.30108480778</v>
      </c>
      <c r="AA114" s="90">
        <f>IF(VLOOKUP($D114,$C$5:$AJ$596,25,)=0,0,((VLOOKUP($D114,$C$5:$AJ$596,25,)/VLOOKUP($D114,$C$5:$AJ$596,4,))*$F114))</f>
        <v>339208.6366129989</v>
      </c>
      <c r="AB114" s="90">
        <f>IF(VLOOKUP($D114,$C$5:$AJ$596,26,)=0,0,((VLOOKUP($D114,$C$5:$AJ$596,26,)/VLOOKUP($D114,$C$5:$AJ$596,4,))*$F114))</f>
        <v>279716.93364234798</v>
      </c>
      <c r="AC114" s="90">
        <f>IF(VLOOKUP($D114,$C$5:$AJ$596,27,)=0,0,((VLOOKUP($D114,$C$5:$AJ$596,27,)/VLOOKUP($D114,$C$5:$AJ$596,4,))*$F114))</f>
        <v>1778647.0933491236</v>
      </c>
      <c r="AD114" s="90">
        <f>IF(VLOOKUP($D114,$C$5:$AJ$596,28,)=0,0,((VLOOKUP($D114,$C$5:$AJ$596,28,)/VLOOKUP($D114,$C$5:$AJ$596,4,))*$F114))</f>
        <v>320333.56774751126</v>
      </c>
      <c r="AE114" s="90"/>
      <c r="AF114" s="90">
        <f>IF(VLOOKUP($D114,$C$5:$AJ$596,30,)=0,0,((VLOOKUP($D114,$C$5:$AJ$596,30,)/VLOOKUP($D114,$C$5:$AJ$596,4,))*$F114))</f>
        <v>8704113.9440225586</v>
      </c>
      <c r="AG114" s="90"/>
      <c r="AH114" s="90">
        <f>IF(VLOOKUP($D114,$C$5:$AJ$596,32,)=0,0,((VLOOKUP($D114,$C$5:$AJ$596,32,)/VLOOKUP($D114,$C$5:$AJ$596,4,))*$F114))</f>
        <v>1105952.9603598018</v>
      </c>
      <c r="AI114" s="90"/>
      <c r="AJ114" s="90">
        <f>IF(VLOOKUP($D114,$C$5:$AJ$596,34,)=0,0,((VLOOKUP($D114,$C$5:$AJ$596,34,)/VLOOKUP($D114,$C$5:$AJ$596,4,))*$F114))</f>
        <v>0</v>
      </c>
      <c r="AK114" s="90">
        <f>SUM(H114:AJ114)</f>
        <v>130078093.00000001</v>
      </c>
      <c r="AL114" s="87" t="str">
        <f>IF(ABS(AK114-F114)&lt;1,"ok","err")</f>
        <v>ok</v>
      </c>
      <c r="AM114" s="98">
        <f>+AK114-F114</f>
        <v>0</v>
      </c>
    </row>
    <row r="115" spans="1:39" x14ac:dyDescent="0.5">
      <c r="A115" s="86" t="s">
        <v>180</v>
      </c>
      <c r="C115" s="86" t="s">
        <v>475</v>
      </c>
      <c r="D115" s="50" t="s">
        <v>176</v>
      </c>
      <c r="E115" s="50"/>
      <c r="F115" s="90">
        <f>'Jurisdictional Study'!F863</f>
        <v>59890781</v>
      </c>
      <c r="G115" s="90"/>
      <c r="H115" s="90">
        <f>IF(VLOOKUP($D115,$C$5:$AJ$596,6,)=0,0,((VLOOKUP($D115,$C$5:$AJ$596,6,)/VLOOKUP($D115,$C$5:$AJ$596,4,))*$F115))</f>
        <v>37687919.652245693</v>
      </c>
      <c r="I115" s="90">
        <f>IF(VLOOKUP($D115,$C$5:$AJ$596,7,)=0,0,((VLOOKUP($D115,$C$5:$AJ$596,7,)/VLOOKUP($D115,$C$5:$AJ$596,4,))*$F115))</f>
        <v>0</v>
      </c>
      <c r="J115" s="90">
        <f>IF(VLOOKUP($D115,$C$5:$AJ$596,8,)=0,0,((VLOOKUP($D115,$C$5:$AJ$596,8,)/VLOOKUP($D115,$C$5:$AJ$596,4,))*$F115))</f>
        <v>0</v>
      </c>
      <c r="K115" s="90">
        <f>IF(VLOOKUP($D115,$C$5:$AJ$596,9,)=0,0,((VLOOKUP($D115,$C$5:$AJ$596,9,)/VLOOKUP($D115,$C$5:$AJ$596,4,))*$F115))</f>
        <v>0</v>
      </c>
      <c r="L115" s="90">
        <f>IF(VLOOKUP($D115,$C$5:$AJ$596,10,)=0,0,((VLOOKUP($D115,$C$5:$AJ$596,10,)/VLOOKUP($D115,$C$5:$AJ$596,4,))*$F115))</f>
        <v>0</v>
      </c>
      <c r="M115" s="90">
        <f>IF(VLOOKUP($D115,$C$5:$AJ$596,11,)=0,0,((VLOOKUP($D115,$C$5:$AJ$596,11,)/VLOOKUP($D115,$C$5:$AJ$596,4,))*$F115))</f>
        <v>0</v>
      </c>
      <c r="N115" s="90"/>
      <c r="O115" s="90">
        <f>IF(VLOOKUP($D115,$C$5:$AJ$596,13,)=0,0,((VLOOKUP($D115,$C$5:$AJ$596,13,)/VLOOKUP($D115,$C$5:$AJ$596,4,))*$F115))</f>
        <v>8157714.016801741</v>
      </c>
      <c r="P115" s="90">
        <f>IF(VLOOKUP($D115,$C$5:$AJ$596,14,)=0,0,((VLOOKUP($D115,$C$5:$AJ$596,14,)/VLOOKUP($D115,$C$5:$AJ$596,4,))*$F115))</f>
        <v>0</v>
      </c>
      <c r="Q115" s="90">
        <f>IF(VLOOKUP($D115,$C$5:$AJ$596,15,)=0,0,((VLOOKUP($D115,$C$5:$AJ$596,15,)/VLOOKUP($D115,$C$5:$AJ$596,4,))*$F115))</f>
        <v>0</v>
      </c>
      <c r="R115" s="90"/>
      <c r="S115" s="90">
        <f>IF(VLOOKUP($D115,$C$5:$AJ$596,17,)=0,0,((VLOOKUP($D115,$C$5:$AJ$596,17,)/VLOOKUP($D115,$C$5:$AJ$596,4,))*$F115))</f>
        <v>0</v>
      </c>
      <c r="T115" s="90">
        <f>IF(VLOOKUP($D115,$C$5:$AJ$596,18,)=0,0,((VLOOKUP($D115,$C$5:$AJ$596,18,)/VLOOKUP($D115,$C$5:$AJ$596,4,))*$F115))</f>
        <v>2201571.2494123392</v>
      </c>
      <c r="U115" s="90">
        <f>IF(VLOOKUP($D115,$C$5:$AJ$596,19,)=0,0,((VLOOKUP($D115,$C$5:$AJ$596,19,)/VLOOKUP($D115,$C$5:$AJ$596,4,))*$F115))</f>
        <v>0</v>
      </c>
      <c r="V115" s="90">
        <f>IF(VLOOKUP($D115,$C$5:$AJ$596,20,)=0,0,((VLOOKUP($D115,$C$5:$AJ$596,20,)/VLOOKUP($D115,$C$5:$AJ$596,4,))*$F115))</f>
        <v>1751027.0172548243</v>
      </c>
      <c r="W115" s="90">
        <f>IF(VLOOKUP($D115,$C$5:$AJ$596,21,)=0,0,((VLOOKUP($D115,$C$5:$AJ$596,21,)/VLOOKUP($D115,$C$5:$AJ$596,4,))*$F115))</f>
        <v>3403585.3034827411</v>
      </c>
      <c r="X115" s="90">
        <f>IF(VLOOKUP($D115,$C$5:$AJ$596,22,)=0,0,((VLOOKUP($D115,$C$5:$AJ$596,22,)/VLOOKUP($D115,$C$5:$AJ$596,4,))*$F115))</f>
        <v>788285.57476956246</v>
      </c>
      <c r="Y115" s="90">
        <f>IF(VLOOKUP($D115,$C$5:$AJ$596,23,)=0,0,((VLOOKUP($D115,$C$5:$AJ$596,23,)/VLOOKUP($D115,$C$5:$AJ$596,4,))*$F115))</f>
        <v>1591352.7855924889</v>
      </c>
      <c r="Z115" s="90">
        <f>IF(VLOOKUP($D115,$C$5:$AJ$596,24,)=0,0,((VLOOKUP($D115,$C$5:$AJ$596,24,)/VLOOKUP($D115,$C$5:$AJ$596,4,))*$F115))</f>
        <v>1149110.9215898076</v>
      </c>
      <c r="AA115" s="90">
        <f>IF(VLOOKUP($D115,$C$5:$AJ$596,25,)=0,0,((VLOOKUP($D115,$C$5:$AJ$596,25,)/VLOOKUP($D115,$C$5:$AJ$596,4,))*$F115))</f>
        <v>954712.38122110814</v>
      </c>
      <c r="AB115" s="90">
        <f>IF(VLOOKUP($D115,$C$5:$AJ$596,26,)=0,0,((VLOOKUP($D115,$C$5:$AJ$596,26,)/VLOOKUP($D115,$C$5:$AJ$596,4,))*$F115))</f>
        <v>804943.92891239398</v>
      </c>
      <c r="AC115" s="90">
        <f>IF(VLOOKUP($D115,$C$5:$AJ$596,27,)=0,0,((VLOOKUP($D115,$C$5:$AJ$596,27,)/VLOOKUP($D115,$C$5:$AJ$596,4,))*$F115))</f>
        <v>478731.38752249052</v>
      </c>
      <c r="AD115" s="90">
        <f>IF(VLOOKUP($D115,$C$5:$AJ$596,28,)=0,0,((VLOOKUP($D115,$C$5:$AJ$596,28,)/VLOOKUP($D115,$C$5:$AJ$596,4,))*$F115))</f>
        <v>921826.78119480412</v>
      </c>
      <c r="AE115" s="90"/>
      <c r="AF115" s="90">
        <f>IF(VLOOKUP($D115,$C$5:$AJ$596,30,)=0,0,((VLOOKUP($D115,$C$5:$AJ$596,30,)/VLOOKUP($D115,$C$5:$AJ$596,4,))*$F115))</f>
        <v>0</v>
      </c>
      <c r="AG115" s="90"/>
      <c r="AH115" s="90">
        <f>IF(VLOOKUP($D115,$C$5:$AJ$596,32,)=0,0,((VLOOKUP($D115,$C$5:$AJ$596,32,)/VLOOKUP($D115,$C$5:$AJ$596,4,))*$F115))</f>
        <v>0</v>
      </c>
      <c r="AI115" s="90"/>
      <c r="AJ115" s="90">
        <f>IF(VLOOKUP($D115,$C$5:$AJ$596,34,)=0,0,((VLOOKUP($D115,$C$5:$AJ$596,34,)/VLOOKUP($D115,$C$5:$AJ$596,4,))*$F115))</f>
        <v>0</v>
      </c>
      <c r="AK115" s="90">
        <f>SUM(H115:AJ115)</f>
        <v>59890780.999999993</v>
      </c>
      <c r="AL115" s="87" t="str">
        <f>IF(ABS(AK115-F115)&lt;1,"ok","err")</f>
        <v>ok</v>
      </c>
    </row>
    <row r="116" spans="1:39" x14ac:dyDescent="0.5">
      <c r="A116" s="86" t="s">
        <v>771</v>
      </c>
      <c r="C116" s="86" t="s">
        <v>772</v>
      </c>
      <c r="D116" s="50" t="s">
        <v>176</v>
      </c>
      <c r="E116" s="50"/>
      <c r="F116" s="90">
        <f>'Jurisdictional Study'!F869</f>
        <v>19024116</v>
      </c>
      <c r="H116" s="90">
        <f>IF(VLOOKUP($D116,$C$5:$AJ$596,6,)=0,0,((VLOOKUP($D116,$C$5:$AJ$596,6,)/VLOOKUP($D116,$C$5:$AJ$596,4,))*$F116))</f>
        <v>11971447.746907854</v>
      </c>
      <c r="I116" s="90">
        <f>IF(VLOOKUP($D116,$C$5:$AJ$596,7,)=0,0,((VLOOKUP($D116,$C$5:$AJ$596,7,)/VLOOKUP($D116,$C$5:$AJ$596,4,))*$F116))</f>
        <v>0</v>
      </c>
      <c r="J116" s="90">
        <f>IF(VLOOKUP($D116,$C$5:$AJ$596,8,)=0,0,((VLOOKUP($D116,$C$5:$AJ$596,8,)/VLOOKUP($D116,$C$5:$AJ$596,4,))*$F116))</f>
        <v>0</v>
      </c>
      <c r="K116" s="90">
        <f>IF(VLOOKUP($D116,$C$5:$AJ$596,9,)=0,0,((VLOOKUP($D116,$C$5:$AJ$596,9,)/VLOOKUP($D116,$C$5:$AJ$596,4,))*$F116))</f>
        <v>0</v>
      </c>
      <c r="L116" s="90">
        <f>IF(VLOOKUP($D116,$C$5:$AJ$596,10,)=0,0,((VLOOKUP($D116,$C$5:$AJ$596,10,)/VLOOKUP($D116,$C$5:$AJ$596,4,))*$F116))</f>
        <v>0</v>
      </c>
      <c r="M116" s="90">
        <f>IF(VLOOKUP($D116,$C$5:$AJ$596,11,)=0,0,((VLOOKUP($D116,$C$5:$AJ$596,11,)/VLOOKUP($D116,$C$5:$AJ$596,4,))*$F116))</f>
        <v>0</v>
      </c>
      <c r="N116" s="90"/>
      <c r="O116" s="90">
        <f>IF(VLOOKUP($D116,$C$5:$AJ$596,13,)=0,0,((VLOOKUP($D116,$C$5:$AJ$596,13,)/VLOOKUP($D116,$C$5:$AJ$596,4,))*$F116))</f>
        <v>2591271.8979313741</v>
      </c>
      <c r="P116" s="90">
        <f>IF(VLOOKUP($D116,$C$5:$AJ$596,14,)=0,0,((VLOOKUP($D116,$C$5:$AJ$596,14,)/VLOOKUP($D116,$C$5:$AJ$596,4,))*$F116))</f>
        <v>0</v>
      </c>
      <c r="Q116" s="90">
        <f>IF(VLOOKUP($D116,$C$5:$AJ$596,15,)=0,0,((VLOOKUP($D116,$C$5:$AJ$596,15,)/VLOOKUP($D116,$C$5:$AJ$596,4,))*$F116))</f>
        <v>0</v>
      </c>
      <c r="R116" s="90"/>
      <c r="S116" s="90">
        <f>IF(VLOOKUP($D116,$C$5:$AJ$596,17,)=0,0,((VLOOKUP($D116,$C$5:$AJ$596,17,)/VLOOKUP($D116,$C$5:$AJ$596,4,))*$F116))</f>
        <v>0</v>
      </c>
      <c r="T116" s="90">
        <f>IF(VLOOKUP($D116,$C$5:$AJ$596,18,)=0,0,((VLOOKUP($D116,$C$5:$AJ$596,18,)/VLOOKUP($D116,$C$5:$AJ$596,4,))*$F116))</f>
        <v>699322.10152820125</v>
      </c>
      <c r="U116" s="90">
        <f>IF(VLOOKUP($D116,$C$5:$AJ$596,19,)=0,0,((VLOOKUP($D116,$C$5:$AJ$596,19,)/VLOOKUP($D116,$C$5:$AJ$596,4,))*$F116))</f>
        <v>0</v>
      </c>
      <c r="V116" s="90">
        <f>IF(VLOOKUP($D116,$C$5:$AJ$596,20,)=0,0,((VLOOKUP($D116,$C$5:$AJ$596,20,)/VLOOKUP($D116,$C$5:$AJ$596,4,))*$F116))</f>
        <v>556208.15990677732</v>
      </c>
      <c r="W116" s="90">
        <f>IF(VLOOKUP($D116,$C$5:$AJ$596,21,)=0,0,((VLOOKUP($D116,$C$5:$AJ$596,21,)/VLOOKUP($D116,$C$5:$AJ$596,4,))*$F116))</f>
        <v>1081138.0407503932</v>
      </c>
      <c r="X116" s="90">
        <f>IF(VLOOKUP($D116,$C$5:$AJ$596,22,)=0,0,((VLOOKUP($D116,$C$5:$AJ$596,22,)/VLOOKUP($D116,$C$5:$AJ$596,4,))*$F116))</f>
        <v>250396.40434047484</v>
      </c>
      <c r="Y116" s="90">
        <f>IF(VLOOKUP($D116,$C$5:$AJ$596,23,)=0,0,((VLOOKUP($D116,$C$5:$AJ$596,23,)/VLOOKUP($D116,$C$5:$AJ$596,4,))*$F116))</f>
        <v>505488.14833512751</v>
      </c>
      <c r="Z116" s="90">
        <f>IF(VLOOKUP($D116,$C$5:$AJ$596,24,)=0,0,((VLOOKUP($D116,$C$5:$AJ$596,24,)/VLOOKUP($D116,$C$5:$AJ$596,4,))*$F116))</f>
        <v>365011.42753826175</v>
      </c>
      <c r="AA116" s="90">
        <f>IF(VLOOKUP($D116,$C$5:$AJ$596,25,)=0,0,((VLOOKUP($D116,$C$5:$AJ$596,25,)/VLOOKUP($D116,$C$5:$AJ$596,4,))*$F116))</f>
        <v>303261.34980585048</v>
      </c>
      <c r="AB116" s="90">
        <f>IF(VLOOKUP($D116,$C$5:$AJ$596,26,)=0,0,((VLOOKUP($D116,$C$5:$AJ$596,26,)/VLOOKUP($D116,$C$5:$AJ$596,4,))*$F116))</f>
        <v>255687.87752367326</v>
      </c>
      <c r="AC116" s="90">
        <f>IF(VLOOKUP($D116,$C$5:$AJ$596,27,)=0,0,((VLOOKUP($D116,$C$5:$AJ$596,27,)/VLOOKUP($D116,$C$5:$AJ$596,4,))*$F116))</f>
        <v>152067.50182584548</v>
      </c>
      <c r="AD116" s="90">
        <f>IF(VLOOKUP($D116,$C$5:$AJ$596,28,)=0,0,((VLOOKUP($D116,$C$5:$AJ$596,28,)/VLOOKUP($D116,$C$5:$AJ$596,4,))*$F116))</f>
        <v>292815.34360616491</v>
      </c>
      <c r="AE116" s="90"/>
      <c r="AF116" s="90">
        <f>IF(VLOOKUP($D116,$C$5:$AJ$596,30,)=0,0,((VLOOKUP($D116,$C$5:$AJ$596,30,)/VLOOKUP($D116,$C$5:$AJ$596,4,))*$F116))</f>
        <v>0</v>
      </c>
      <c r="AG116" s="90"/>
      <c r="AH116" s="90">
        <f>IF(VLOOKUP($D116,$C$5:$AJ$596,32,)=0,0,((VLOOKUP($D116,$C$5:$AJ$596,32,)/VLOOKUP($D116,$C$5:$AJ$596,4,))*$F116))</f>
        <v>0</v>
      </c>
      <c r="AI116" s="90"/>
      <c r="AJ116" s="90">
        <f>IF(VLOOKUP($D116,$C$5:$AJ$596,34,)=0,0,((VLOOKUP($D116,$C$5:$AJ$596,34,)/VLOOKUP($D116,$C$5:$AJ$596,4,))*$F116))</f>
        <v>0</v>
      </c>
      <c r="AK116" s="90">
        <f>SUM(H116:AJ116)</f>
        <v>19024116</v>
      </c>
      <c r="AL116" s="87" t="str">
        <f>IF(ABS(AK116-F116)&lt;1,"ok","err")</f>
        <v>ok</v>
      </c>
    </row>
    <row r="117" spans="1:39" x14ac:dyDescent="0.5">
      <c r="A117" s="86" t="s">
        <v>2328</v>
      </c>
      <c r="D117" s="50" t="s">
        <v>706</v>
      </c>
      <c r="E117" s="50"/>
      <c r="F117" s="90">
        <f>'Jurisdictional Study'!F566</f>
        <v>62536188</v>
      </c>
      <c r="H117" s="90">
        <f>IF(VLOOKUP($D117,$C$5:$AJ$596,6,)=0,0,((VLOOKUP($D117,$C$5:$AJ$596,6,)/VLOOKUP($D117,$C$5:$AJ$596,4,))*$F117))</f>
        <v>62536188</v>
      </c>
      <c r="I117" s="90">
        <f>IF(VLOOKUP($D117,$C$5:$AJ$596,7,)=0,0,((VLOOKUP($D117,$C$5:$AJ$596,7,)/VLOOKUP($D117,$C$5:$AJ$596,4,))*$F117))</f>
        <v>0</v>
      </c>
      <c r="J117" s="90">
        <f>IF(VLOOKUP($D117,$C$5:$AJ$596,8,)=0,0,((VLOOKUP($D117,$C$5:$AJ$596,8,)/VLOOKUP($D117,$C$5:$AJ$596,4,))*$F117))</f>
        <v>0</v>
      </c>
      <c r="K117" s="90">
        <f>IF(VLOOKUP($D117,$C$5:$AJ$596,9,)=0,0,((VLOOKUP($D117,$C$5:$AJ$596,9,)/VLOOKUP($D117,$C$5:$AJ$596,4,))*$F117))</f>
        <v>0</v>
      </c>
      <c r="L117" s="90">
        <f>IF(VLOOKUP($D117,$C$5:$AJ$596,10,)=0,0,((VLOOKUP($D117,$C$5:$AJ$596,10,)/VLOOKUP($D117,$C$5:$AJ$596,4,))*$F117))</f>
        <v>0</v>
      </c>
      <c r="M117" s="90">
        <f>IF(VLOOKUP($D117,$C$5:$AJ$596,11,)=0,0,((VLOOKUP($D117,$C$5:$AJ$596,11,)/VLOOKUP($D117,$C$5:$AJ$596,4,))*$F117))</f>
        <v>0</v>
      </c>
      <c r="N117" s="90"/>
      <c r="O117" s="90">
        <f>IF(VLOOKUP($D117,$C$5:$AJ$596,13,)=0,0,((VLOOKUP($D117,$C$5:$AJ$596,13,)/VLOOKUP($D117,$C$5:$AJ$596,4,))*$F117))</f>
        <v>0</v>
      </c>
      <c r="P117" s="90">
        <f>IF(VLOOKUP($D117,$C$5:$AJ$596,14,)=0,0,((VLOOKUP($D117,$C$5:$AJ$596,14,)/VLOOKUP($D117,$C$5:$AJ$596,4,))*$F117))</f>
        <v>0</v>
      </c>
      <c r="Q117" s="90">
        <f>IF(VLOOKUP($D117,$C$5:$AJ$596,15,)=0,0,((VLOOKUP($D117,$C$5:$AJ$596,15,)/VLOOKUP($D117,$C$5:$AJ$596,4,))*$F117))</f>
        <v>0</v>
      </c>
      <c r="R117" s="90"/>
      <c r="S117" s="90">
        <f>IF(VLOOKUP($D117,$C$5:$AJ$596,17,)=0,0,((VLOOKUP($D117,$C$5:$AJ$596,17,)/VLOOKUP($D117,$C$5:$AJ$596,4,))*$F117))</f>
        <v>0</v>
      </c>
      <c r="T117" s="90">
        <f>IF(VLOOKUP($D117,$C$5:$AJ$596,18,)=0,0,((VLOOKUP($D117,$C$5:$AJ$596,18,)/VLOOKUP($D117,$C$5:$AJ$596,4,))*$F117))</f>
        <v>0</v>
      </c>
      <c r="U117" s="90">
        <f>IF(VLOOKUP($D117,$C$5:$AJ$596,19,)=0,0,((VLOOKUP($D117,$C$5:$AJ$596,19,)/VLOOKUP($D117,$C$5:$AJ$596,4,))*$F117))</f>
        <v>0</v>
      </c>
      <c r="V117" s="90">
        <f>IF(VLOOKUP($D117,$C$5:$AJ$596,20,)=0,0,((VLOOKUP($D117,$C$5:$AJ$596,20,)/VLOOKUP($D117,$C$5:$AJ$596,4,))*$F117))</f>
        <v>0</v>
      </c>
      <c r="W117" s="90">
        <f>IF(VLOOKUP($D117,$C$5:$AJ$596,21,)=0,0,((VLOOKUP($D117,$C$5:$AJ$596,21,)/VLOOKUP($D117,$C$5:$AJ$596,4,))*$F117))</f>
        <v>0</v>
      </c>
      <c r="X117" s="90">
        <f>IF(VLOOKUP($D117,$C$5:$AJ$596,22,)=0,0,((VLOOKUP($D117,$C$5:$AJ$596,22,)/VLOOKUP($D117,$C$5:$AJ$596,4,))*$F117))</f>
        <v>0</v>
      </c>
      <c r="Y117" s="90">
        <f>IF(VLOOKUP($D117,$C$5:$AJ$596,23,)=0,0,((VLOOKUP($D117,$C$5:$AJ$596,23,)/VLOOKUP($D117,$C$5:$AJ$596,4,))*$F117))</f>
        <v>0</v>
      </c>
      <c r="Z117" s="90">
        <f>IF(VLOOKUP($D117,$C$5:$AJ$596,24,)=0,0,((VLOOKUP($D117,$C$5:$AJ$596,24,)/VLOOKUP($D117,$C$5:$AJ$596,4,))*$F117))</f>
        <v>0</v>
      </c>
      <c r="AA117" s="90">
        <f>IF(VLOOKUP($D117,$C$5:$AJ$596,25,)=0,0,((VLOOKUP($D117,$C$5:$AJ$596,25,)/VLOOKUP($D117,$C$5:$AJ$596,4,))*$F117))</f>
        <v>0</v>
      </c>
      <c r="AB117" s="90">
        <f>IF(VLOOKUP($D117,$C$5:$AJ$596,26,)=0,0,((VLOOKUP($D117,$C$5:$AJ$596,26,)/VLOOKUP($D117,$C$5:$AJ$596,4,))*$F117))</f>
        <v>0</v>
      </c>
      <c r="AC117" s="90">
        <f>IF(VLOOKUP($D117,$C$5:$AJ$596,27,)=0,0,((VLOOKUP($D117,$C$5:$AJ$596,27,)/VLOOKUP($D117,$C$5:$AJ$596,4,))*$F117))</f>
        <v>0</v>
      </c>
      <c r="AD117" s="90">
        <f>IF(VLOOKUP($D117,$C$5:$AJ$596,28,)=0,0,((VLOOKUP($D117,$C$5:$AJ$596,28,)/VLOOKUP($D117,$C$5:$AJ$596,4,))*$F117))</f>
        <v>0</v>
      </c>
      <c r="AE117" s="90"/>
      <c r="AF117" s="90">
        <f>IF(VLOOKUP($D117,$C$5:$AJ$596,30,)=0,0,((VLOOKUP($D117,$C$5:$AJ$596,30,)/VLOOKUP($D117,$C$5:$AJ$596,4,))*$F117))</f>
        <v>0</v>
      </c>
      <c r="AG117" s="90"/>
      <c r="AH117" s="90">
        <f>IF(VLOOKUP($D117,$C$5:$AJ$596,32,)=0,0,((VLOOKUP($D117,$C$5:$AJ$596,32,)/VLOOKUP($D117,$C$5:$AJ$596,4,))*$F117))</f>
        <v>0</v>
      </c>
      <c r="AI117" s="90"/>
      <c r="AJ117" s="90">
        <f>IF(VLOOKUP($D117,$C$5:$AJ$596,34,)=0,0,((VLOOKUP($D117,$C$5:$AJ$596,34,)/VLOOKUP($D117,$C$5:$AJ$596,4,))*$F117))</f>
        <v>0</v>
      </c>
      <c r="AK117" s="90">
        <f>SUM(H117:AJ117)</f>
        <v>62536188</v>
      </c>
      <c r="AL117" s="87" t="str">
        <f>IF(ABS(AK117-F117)&lt;1,"ok","err")</f>
        <v>ok</v>
      </c>
    </row>
    <row r="118" spans="1:39" x14ac:dyDescent="0.5">
      <c r="A118" s="96" t="s">
        <v>773</v>
      </c>
      <c r="C118" s="86" t="s">
        <v>774</v>
      </c>
      <c r="D118" s="50"/>
      <c r="E118" s="50"/>
      <c r="F118" s="91">
        <f>SUM(F114:F117)</f>
        <v>271529178</v>
      </c>
      <c r="G118" s="91"/>
      <c r="H118" s="91">
        <f t="shared" ref="H118:M118" si="75">SUM(H114:H117)</f>
        <v>131254121.62722854</v>
      </c>
      <c r="I118" s="91">
        <f t="shared" si="75"/>
        <v>0</v>
      </c>
      <c r="J118" s="91">
        <f t="shared" si="75"/>
        <v>0</v>
      </c>
      <c r="K118" s="91">
        <f t="shared" si="75"/>
        <v>79624711.105574101</v>
      </c>
      <c r="L118" s="91">
        <f t="shared" si="75"/>
        <v>0</v>
      </c>
      <c r="M118" s="91">
        <f t="shared" si="75"/>
        <v>0</v>
      </c>
      <c r="N118" s="91"/>
      <c r="O118" s="91">
        <f>SUM(O114:O117)</f>
        <v>19653112.450938862</v>
      </c>
      <c r="P118" s="91">
        <f>SUM(P114:P117)</f>
        <v>0</v>
      </c>
      <c r="Q118" s="91">
        <f>SUM(Q114:Q117)</f>
        <v>0</v>
      </c>
      <c r="R118" s="91"/>
      <c r="S118" s="91">
        <f t="shared" ref="S118:AD118" si="76">SUM(S114:S117)</f>
        <v>0</v>
      </c>
      <c r="T118" s="91">
        <f t="shared" si="76"/>
        <v>4331988.4803606439</v>
      </c>
      <c r="U118" s="91">
        <f t="shared" si="76"/>
        <v>0</v>
      </c>
      <c r="V118" s="91">
        <f t="shared" si="76"/>
        <v>4305763.0647869399</v>
      </c>
      <c r="W118" s="91">
        <f t="shared" si="76"/>
        <v>8152572.4493372794</v>
      </c>
      <c r="X118" s="91">
        <f t="shared" si="76"/>
        <v>1896068.034226401</v>
      </c>
      <c r="Y118" s="91">
        <f t="shared" si="76"/>
        <v>3696420.4499876932</v>
      </c>
      <c r="Z118" s="91">
        <f t="shared" si="76"/>
        <v>1922400.6502128772</v>
      </c>
      <c r="AA118" s="91">
        <f t="shared" si="76"/>
        <v>1597182.3676399575</v>
      </c>
      <c r="AB118" s="91">
        <f t="shared" si="76"/>
        <v>1340348.7400784153</v>
      </c>
      <c r="AC118" s="91">
        <f t="shared" si="76"/>
        <v>2409445.9826974594</v>
      </c>
      <c r="AD118" s="91">
        <f t="shared" si="76"/>
        <v>1534975.6925484804</v>
      </c>
      <c r="AE118" s="91"/>
      <c r="AF118" s="91">
        <f>SUM(AF114:AF117)</f>
        <v>8704113.9440225586</v>
      </c>
      <c r="AG118" s="91"/>
      <c r="AH118" s="91">
        <f>SUM(AH114:AH117)</f>
        <v>1105952.9603598018</v>
      </c>
      <c r="AI118" s="91"/>
      <c r="AJ118" s="91">
        <f>SUM(AJ114:AJ117)</f>
        <v>0</v>
      </c>
      <c r="AK118" s="90">
        <f>SUM(H118:AJ118)</f>
        <v>271529178</v>
      </c>
      <c r="AL118" s="87" t="str">
        <f>IF(ABS(AK118-F118)&lt;1,"ok","err")</f>
        <v>ok</v>
      </c>
      <c r="AM118" s="98">
        <f>+AK118-F118</f>
        <v>0</v>
      </c>
    </row>
    <row r="119" spans="1:39" x14ac:dyDescent="0.5">
      <c r="A119" s="96"/>
      <c r="D119" s="50"/>
      <c r="E119" s="50"/>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0"/>
      <c r="AL119" s="87"/>
    </row>
    <row r="120" spans="1:39" x14ac:dyDescent="0.5">
      <c r="A120" s="86" t="s">
        <v>1759</v>
      </c>
      <c r="C120" s="86" t="s">
        <v>1760</v>
      </c>
      <c r="D120" s="50" t="s">
        <v>709</v>
      </c>
      <c r="E120" s="50"/>
      <c r="F120" s="90">
        <v>0</v>
      </c>
      <c r="H120" s="90">
        <f>IF(VLOOKUP($D120,$C$5:$AJ$596,6,)=0,0,((VLOOKUP($D120,$C$5:$AJ$596,6,)/VLOOKUP($D120,$C$5:$AJ$596,4,))*$F120))</f>
        <v>0</v>
      </c>
      <c r="I120" s="90">
        <f>IF(VLOOKUP($D120,$C$5:$AJ$596,7,)=0,0,((VLOOKUP($D120,$C$5:$AJ$596,7,)/VLOOKUP($D120,$C$5:$AJ$596,4,))*$F120))</f>
        <v>0</v>
      </c>
      <c r="J120" s="90">
        <f>IF(VLOOKUP($D120,$C$5:$AJ$596,8,)=0,0,((VLOOKUP($D120,$C$5:$AJ$596,8,)/VLOOKUP($D120,$C$5:$AJ$596,4,))*$F120))</f>
        <v>0</v>
      </c>
      <c r="K120" s="90">
        <f>IF(VLOOKUP($D120,$C$5:$AJ$596,9,)=0,0,((VLOOKUP($D120,$C$5:$AJ$596,9,)/VLOOKUP($D120,$C$5:$AJ$596,4,))*$F120))</f>
        <v>0</v>
      </c>
      <c r="L120" s="90">
        <f>IF(VLOOKUP($D120,$C$5:$AJ$596,10,)=0,0,((VLOOKUP($D120,$C$5:$AJ$596,10,)/VLOOKUP($D120,$C$5:$AJ$596,4,))*$F120))</f>
        <v>0</v>
      </c>
      <c r="M120" s="90">
        <f>IF(VLOOKUP($D120,$C$5:$AJ$596,11,)=0,0,((VLOOKUP($D120,$C$5:$AJ$596,11,)/VLOOKUP($D120,$C$5:$AJ$596,4,))*$F120))</f>
        <v>0</v>
      </c>
      <c r="N120" s="90"/>
      <c r="O120" s="90">
        <f>IF(VLOOKUP($D120,$C$5:$AJ$596,13,)=0,0,((VLOOKUP($D120,$C$5:$AJ$596,13,)/VLOOKUP($D120,$C$5:$AJ$596,4,))*$F120))</f>
        <v>0</v>
      </c>
      <c r="P120" s="90">
        <f>IF(VLOOKUP($D120,$C$5:$AJ$596,14,)=0,0,((VLOOKUP($D120,$C$5:$AJ$596,14,)/VLOOKUP($D120,$C$5:$AJ$596,4,))*$F120))</f>
        <v>0</v>
      </c>
      <c r="Q120" s="90">
        <f>IF(VLOOKUP($D120,$C$5:$AJ$596,15,)=0,0,((VLOOKUP($D120,$C$5:$AJ$596,15,)/VLOOKUP($D120,$C$5:$AJ$596,4,))*$F120))</f>
        <v>0</v>
      </c>
      <c r="R120" s="90"/>
      <c r="S120" s="90">
        <f>IF(VLOOKUP($D120,$C$5:$AJ$596,17,)=0,0,((VLOOKUP($D120,$C$5:$AJ$596,17,)/VLOOKUP($D120,$C$5:$AJ$596,4,))*$F120))</f>
        <v>0</v>
      </c>
      <c r="T120" s="90">
        <f>IF(VLOOKUP($D120,$C$5:$AJ$596,18,)=0,0,((VLOOKUP($D120,$C$5:$AJ$596,18,)/VLOOKUP($D120,$C$5:$AJ$596,4,))*$F120))</f>
        <v>0</v>
      </c>
      <c r="U120" s="90">
        <f>IF(VLOOKUP($D120,$C$5:$AJ$596,19,)=0,0,((VLOOKUP($D120,$C$5:$AJ$596,19,)/VLOOKUP($D120,$C$5:$AJ$596,4,))*$F120))</f>
        <v>0</v>
      </c>
      <c r="V120" s="90">
        <f>IF(VLOOKUP($D120,$C$5:$AJ$596,20,)=0,0,((VLOOKUP($D120,$C$5:$AJ$596,20,)/VLOOKUP($D120,$C$5:$AJ$596,4,))*$F120))</f>
        <v>0</v>
      </c>
      <c r="W120" s="90">
        <f>IF(VLOOKUP($D120,$C$5:$AJ$596,21,)=0,0,((VLOOKUP($D120,$C$5:$AJ$596,21,)/VLOOKUP($D120,$C$5:$AJ$596,4,))*$F120))</f>
        <v>0</v>
      </c>
      <c r="X120" s="90">
        <f>IF(VLOOKUP($D120,$C$5:$AJ$596,22,)=0,0,((VLOOKUP($D120,$C$5:$AJ$596,22,)/VLOOKUP($D120,$C$5:$AJ$596,4,))*$F120))</f>
        <v>0</v>
      </c>
      <c r="Y120" s="90">
        <f>IF(VLOOKUP($D120,$C$5:$AJ$596,23,)=0,0,((VLOOKUP($D120,$C$5:$AJ$596,23,)/VLOOKUP($D120,$C$5:$AJ$596,4,))*$F120))</f>
        <v>0</v>
      </c>
      <c r="Z120" s="90">
        <f>IF(VLOOKUP($D120,$C$5:$AJ$596,24,)=0,0,((VLOOKUP($D120,$C$5:$AJ$596,24,)/VLOOKUP($D120,$C$5:$AJ$596,4,))*$F120))</f>
        <v>0</v>
      </c>
      <c r="AA120" s="90">
        <f>IF(VLOOKUP($D120,$C$5:$AJ$596,25,)=0,0,((VLOOKUP($D120,$C$5:$AJ$596,25,)/VLOOKUP($D120,$C$5:$AJ$596,4,))*$F120))</f>
        <v>0</v>
      </c>
      <c r="AB120" s="90">
        <f>IF(VLOOKUP($D120,$C$5:$AJ$596,26,)=0,0,((VLOOKUP($D120,$C$5:$AJ$596,26,)/VLOOKUP($D120,$C$5:$AJ$596,4,))*$F120))</f>
        <v>0</v>
      </c>
      <c r="AC120" s="90">
        <f>IF(VLOOKUP($D120,$C$5:$AJ$596,27,)=0,0,((VLOOKUP($D120,$C$5:$AJ$596,27,)/VLOOKUP($D120,$C$5:$AJ$596,4,))*$F120))</f>
        <v>0</v>
      </c>
      <c r="AD120" s="90">
        <f>IF(VLOOKUP($D120,$C$5:$AJ$596,28,)=0,0,((VLOOKUP($D120,$C$5:$AJ$596,28,)/VLOOKUP($D120,$C$5:$AJ$596,4,))*$F120))</f>
        <v>0</v>
      </c>
      <c r="AE120" s="90"/>
      <c r="AF120" s="90">
        <f>IF(VLOOKUP($D120,$C$5:$AJ$596,30,)=0,0,((VLOOKUP($D120,$C$5:$AJ$596,30,)/VLOOKUP($D120,$C$5:$AJ$596,4,))*$F120))</f>
        <v>0</v>
      </c>
      <c r="AG120" s="90"/>
      <c r="AH120" s="90">
        <f>IF(VLOOKUP($D120,$C$5:$AJ$596,32,)=0,0,((VLOOKUP($D120,$C$5:$AJ$596,32,)/VLOOKUP($D120,$C$5:$AJ$596,4,))*$F120))</f>
        <v>0</v>
      </c>
      <c r="AI120" s="90"/>
      <c r="AJ120" s="90">
        <f>IF(VLOOKUP($D120,$C$5:$AJ$596,34,)=0,0,((VLOOKUP($D120,$C$5:$AJ$596,34,)/VLOOKUP($D120,$C$5:$AJ$596,4,))*$F120))</f>
        <v>0</v>
      </c>
      <c r="AK120" s="90">
        <f>SUM(H120:AJ120)</f>
        <v>0</v>
      </c>
      <c r="AL120" s="87" t="str">
        <f>IF(ABS(AK120-F120)&lt;1,"ok","err")</f>
        <v>ok</v>
      </c>
    </row>
    <row r="121" spans="1:39" x14ac:dyDescent="0.5">
      <c r="D121" s="348"/>
      <c r="E121" s="50"/>
      <c r="Y121" s="86"/>
      <c r="AL121" s="87"/>
    </row>
    <row r="122" spans="1:39" x14ac:dyDescent="0.5">
      <c r="A122" s="22" t="s">
        <v>959</v>
      </c>
      <c r="D122" s="348"/>
      <c r="E122" s="50"/>
      <c r="Y122" s="86"/>
      <c r="AL122" s="87"/>
    </row>
    <row r="123" spans="1:39" x14ac:dyDescent="0.5">
      <c r="A123" s="86" t="s">
        <v>504</v>
      </c>
      <c r="C123" s="86" t="s">
        <v>505</v>
      </c>
      <c r="D123" s="348" t="s">
        <v>1015</v>
      </c>
      <c r="E123" s="50"/>
      <c r="F123" s="89">
        <v>0</v>
      </c>
      <c r="H123" s="90">
        <f>IF(VLOOKUP($D123,$C$5:$AJ$596,6,)=0,0,((VLOOKUP($D123,$C$5:$AJ$596,6,)/VLOOKUP($D123,$C$5:$AJ$596,4,))*$F123))</f>
        <v>0</v>
      </c>
      <c r="I123" s="90">
        <f>IF(VLOOKUP($D123,$C$5:$AJ$596,7,)=0,0,((VLOOKUP($D123,$C$5:$AJ$596,7,)/VLOOKUP($D123,$C$5:$AJ$596,4,))*$F123))</f>
        <v>0</v>
      </c>
      <c r="J123" s="90">
        <f>IF(VLOOKUP($D123,$C$5:$AJ$596,8,)=0,0,((VLOOKUP($D123,$C$5:$AJ$596,8,)/VLOOKUP($D123,$C$5:$AJ$596,4,))*$F123))</f>
        <v>0</v>
      </c>
      <c r="K123" s="90">
        <f>IF(VLOOKUP($D123,$C$5:$AJ$596,9,)=0,0,((VLOOKUP($D123,$C$5:$AJ$596,9,)/VLOOKUP($D123,$C$5:$AJ$596,4,))*$F123))</f>
        <v>0</v>
      </c>
      <c r="L123" s="90">
        <f>IF(VLOOKUP($D123,$C$5:$AJ$596,10,)=0,0,((VLOOKUP($D123,$C$5:$AJ$596,10,)/VLOOKUP($D123,$C$5:$AJ$596,4,))*$F123))</f>
        <v>0</v>
      </c>
      <c r="M123" s="90">
        <f>IF(VLOOKUP($D123,$C$5:$AJ$596,11,)=0,0,((VLOOKUP($D123,$C$5:$AJ$596,11,)/VLOOKUP($D123,$C$5:$AJ$596,4,))*$F123))</f>
        <v>0</v>
      </c>
      <c r="N123" s="90"/>
      <c r="O123" s="90">
        <f>IF(VLOOKUP($D123,$C$5:$AJ$596,13,)=0,0,((VLOOKUP($D123,$C$5:$AJ$596,13,)/VLOOKUP($D123,$C$5:$AJ$596,4,))*$F123))</f>
        <v>0</v>
      </c>
      <c r="P123" s="90">
        <f>IF(VLOOKUP($D123,$C$5:$AJ$596,14,)=0,0,((VLOOKUP($D123,$C$5:$AJ$596,14,)/VLOOKUP($D123,$C$5:$AJ$596,4,))*$F123))</f>
        <v>0</v>
      </c>
      <c r="Q123" s="90">
        <f>IF(VLOOKUP($D123,$C$5:$AJ$596,15,)=0,0,((VLOOKUP($D123,$C$5:$AJ$596,15,)/VLOOKUP($D123,$C$5:$AJ$596,4,))*$F123))</f>
        <v>0</v>
      </c>
      <c r="R123" s="90"/>
      <c r="S123" s="90">
        <f>IF(VLOOKUP($D123,$C$5:$AJ$596,17,)=0,0,((VLOOKUP($D123,$C$5:$AJ$596,17,)/VLOOKUP($D123,$C$5:$AJ$596,4,))*$F123))</f>
        <v>0</v>
      </c>
      <c r="T123" s="90">
        <f>IF(VLOOKUP($D123,$C$5:$AJ$596,18,)=0,0,((VLOOKUP($D123,$C$5:$AJ$596,18,)/VLOOKUP($D123,$C$5:$AJ$596,4,))*$F123))</f>
        <v>0</v>
      </c>
      <c r="U123" s="90">
        <f>IF(VLOOKUP($D123,$C$5:$AJ$596,19,)=0,0,((VLOOKUP($D123,$C$5:$AJ$596,19,)/VLOOKUP($D123,$C$5:$AJ$596,4,))*$F123))</f>
        <v>0</v>
      </c>
      <c r="V123" s="90">
        <f>IF(VLOOKUP($D123,$C$5:$AJ$596,20,)=0,0,((VLOOKUP($D123,$C$5:$AJ$596,20,)/VLOOKUP($D123,$C$5:$AJ$596,4,))*$F123))</f>
        <v>0</v>
      </c>
      <c r="W123" s="90">
        <f>IF(VLOOKUP($D123,$C$5:$AJ$596,21,)=0,0,((VLOOKUP($D123,$C$5:$AJ$596,21,)/VLOOKUP($D123,$C$5:$AJ$596,4,))*$F123))</f>
        <v>0</v>
      </c>
      <c r="X123" s="90">
        <f>IF(VLOOKUP($D123,$C$5:$AJ$596,22,)=0,0,((VLOOKUP($D123,$C$5:$AJ$596,22,)/VLOOKUP($D123,$C$5:$AJ$596,4,))*$F123))</f>
        <v>0</v>
      </c>
      <c r="Y123" s="90">
        <f>IF(VLOOKUP($D123,$C$5:$AJ$596,23,)=0,0,((VLOOKUP($D123,$C$5:$AJ$596,23,)/VLOOKUP($D123,$C$5:$AJ$596,4,))*$F123))</f>
        <v>0</v>
      </c>
      <c r="Z123" s="90">
        <f>IF(VLOOKUP($D123,$C$5:$AJ$596,24,)=0,0,((VLOOKUP($D123,$C$5:$AJ$596,24,)/VLOOKUP($D123,$C$5:$AJ$596,4,))*$F123))</f>
        <v>0</v>
      </c>
      <c r="AA123" s="90">
        <f>IF(VLOOKUP($D123,$C$5:$AJ$596,25,)=0,0,((VLOOKUP($D123,$C$5:$AJ$596,25,)/VLOOKUP($D123,$C$5:$AJ$596,4,))*$F123))</f>
        <v>0</v>
      </c>
      <c r="AB123" s="90">
        <f>IF(VLOOKUP($D123,$C$5:$AJ$596,26,)=0,0,((VLOOKUP($D123,$C$5:$AJ$596,26,)/VLOOKUP($D123,$C$5:$AJ$596,4,))*$F123))</f>
        <v>0</v>
      </c>
      <c r="AC123" s="90">
        <f>IF(VLOOKUP($D123,$C$5:$AJ$596,27,)=0,0,((VLOOKUP($D123,$C$5:$AJ$596,27,)/VLOOKUP($D123,$C$5:$AJ$596,4,))*$F123))</f>
        <v>0</v>
      </c>
      <c r="AD123" s="90">
        <f>IF(VLOOKUP($D123,$C$5:$AJ$596,28,)=0,0,((VLOOKUP($D123,$C$5:$AJ$596,28,)/VLOOKUP($D123,$C$5:$AJ$596,4,))*$F123))</f>
        <v>0</v>
      </c>
      <c r="AE123" s="90"/>
      <c r="AF123" s="90">
        <f>IF(VLOOKUP($D123,$C$5:$AJ$596,30,)=0,0,((VLOOKUP($D123,$C$5:$AJ$596,30,)/VLOOKUP($D123,$C$5:$AJ$596,4,))*$F123))</f>
        <v>0</v>
      </c>
      <c r="AG123" s="90"/>
      <c r="AH123" s="90">
        <f>IF(VLOOKUP($D123,$C$5:$AJ$596,32,)=0,0,((VLOOKUP($D123,$C$5:$AJ$596,32,)/VLOOKUP($D123,$C$5:$AJ$596,4,))*$F123))</f>
        <v>0</v>
      </c>
      <c r="AI123" s="90"/>
      <c r="AJ123" s="90">
        <f>IF(VLOOKUP($D123,$C$5:$AJ$596,34,)=0,0,((VLOOKUP($D123,$C$5:$AJ$596,34,)/VLOOKUP($D123,$C$5:$AJ$596,4,))*$F123))</f>
        <v>0</v>
      </c>
      <c r="AK123" s="90">
        <f>SUM(H123:AJ123)</f>
        <v>0</v>
      </c>
      <c r="AL123" s="87" t="str">
        <f>IF(ABS(AK123-F123)&lt;1,"ok","err")</f>
        <v>ok</v>
      </c>
    </row>
    <row r="124" spans="1:39" ht="15.3" x14ac:dyDescent="0.55000000000000004">
      <c r="A124" s="31" t="s">
        <v>683</v>
      </c>
      <c r="D124" s="348"/>
      <c r="E124" s="50"/>
      <c r="F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87"/>
    </row>
    <row r="125" spans="1:39" ht="15.3" x14ac:dyDescent="0.55000000000000004">
      <c r="A125" s="31" t="s">
        <v>684</v>
      </c>
      <c r="C125" s="86" t="s">
        <v>1761</v>
      </c>
      <c r="D125" s="348" t="s">
        <v>706</v>
      </c>
      <c r="E125" s="50"/>
      <c r="F125" s="90">
        <f>'Jurisdictional Study'!F890-58958146.51</f>
        <v>732330105.49000001</v>
      </c>
      <c r="H125" s="90">
        <f>IF(VLOOKUP($D125,$C$5:$AJ$596,6,)=0,0,((VLOOKUP($D125,$C$5:$AJ$596,6,)/VLOOKUP($D125,$C$5:$AJ$596,4,))*$F125))</f>
        <v>732330105.49000001</v>
      </c>
      <c r="I125" s="90">
        <f>IF(VLOOKUP($D125,$C$5:$AJ$596,7,)=0,0,((VLOOKUP($D125,$C$5:$AJ$596,7,)/VLOOKUP($D125,$C$5:$AJ$596,4,))*$F125))</f>
        <v>0</v>
      </c>
      <c r="J125" s="90">
        <f>IF(VLOOKUP($D125,$C$5:$AJ$596,8,)=0,0,((VLOOKUP($D125,$C$5:$AJ$596,8,)/VLOOKUP($D125,$C$5:$AJ$596,4,))*$F125))</f>
        <v>0</v>
      </c>
      <c r="K125" s="90">
        <f>IF(VLOOKUP($D125,$C$5:$AJ$596,9,)=0,0,((VLOOKUP($D125,$C$5:$AJ$596,9,)/VLOOKUP($D125,$C$5:$AJ$596,4,))*$F125))</f>
        <v>0</v>
      </c>
      <c r="L125" s="90">
        <f>IF(VLOOKUP($D125,$C$5:$AJ$596,10,)=0,0,((VLOOKUP($D125,$C$5:$AJ$596,10,)/VLOOKUP($D125,$C$5:$AJ$596,4,))*$F125))</f>
        <v>0</v>
      </c>
      <c r="M125" s="90">
        <f>IF(VLOOKUP($D125,$C$5:$AJ$596,11,)=0,0,((VLOOKUP($D125,$C$5:$AJ$596,11,)/VLOOKUP($D125,$C$5:$AJ$596,4,))*$F125))</f>
        <v>0</v>
      </c>
      <c r="N125" s="90"/>
      <c r="O125" s="90">
        <f>IF(VLOOKUP($D125,$C$5:$AJ$596,13,)=0,0,((VLOOKUP($D125,$C$5:$AJ$596,13,)/VLOOKUP($D125,$C$5:$AJ$596,4,))*$F125))</f>
        <v>0</v>
      </c>
      <c r="P125" s="90">
        <f>IF(VLOOKUP($D125,$C$5:$AJ$596,14,)=0,0,((VLOOKUP($D125,$C$5:$AJ$596,14,)/VLOOKUP($D125,$C$5:$AJ$596,4,))*$F125))</f>
        <v>0</v>
      </c>
      <c r="Q125" s="90">
        <f>IF(VLOOKUP($D125,$C$5:$AJ$596,15,)=0,0,((VLOOKUP($D125,$C$5:$AJ$596,15,)/VLOOKUP($D125,$C$5:$AJ$596,4,))*$F125))</f>
        <v>0</v>
      </c>
      <c r="R125" s="90"/>
      <c r="S125" s="90">
        <f>IF(VLOOKUP($D125,$C$5:$AJ$596,17,)=0,0,((VLOOKUP($D125,$C$5:$AJ$596,17,)/VLOOKUP($D125,$C$5:$AJ$596,4,))*$F125))</f>
        <v>0</v>
      </c>
      <c r="T125" s="90">
        <f>IF(VLOOKUP($D125,$C$5:$AJ$596,18,)=0,0,((VLOOKUP($D125,$C$5:$AJ$596,18,)/VLOOKUP($D125,$C$5:$AJ$596,4,))*$F125))</f>
        <v>0</v>
      </c>
      <c r="U125" s="90">
        <f>IF(VLOOKUP($D125,$C$5:$AJ$596,19,)=0,0,((VLOOKUP($D125,$C$5:$AJ$596,19,)/VLOOKUP($D125,$C$5:$AJ$596,4,))*$F125))</f>
        <v>0</v>
      </c>
      <c r="V125" s="90">
        <f>IF(VLOOKUP($D125,$C$5:$AJ$596,20,)=0,0,((VLOOKUP($D125,$C$5:$AJ$596,20,)/VLOOKUP($D125,$C$5:$AJ$596,4,))*$F125))</f>
        <v>0</v>
      </c>
      <c r="W125" s="90">
        <f>IF(VLOOKUP($D125,$C$5:$AJ$596,21,)=0,0,((VLOOKUP($D125,$C$5:$AJ$596,21,)/VLOOKUP($D125,$C$5:$AJ$596,4,))*$F125))</f>
        <v>0</v>
      </c>
      <c r="X125" s="90">
        <f>IF(VLOOKUP($D125,$C$5:$AJ$596,22,)=0,0,((VLOOKUP($D125,$C$5:$AJ$596,22,)/VLOOKUP($D125,$C$5:$AJ$596,4,))*$F125))</f>
        <v>0</v>
      </c>
      <c r="Y125" s="90">
        <f>IF(VLOOKUP($D125,$C$5:$AJ$596,23,)=0,0,((VLOOKUP($D125,$C$5:$AJ$596,23,)/VLOOKUP($D125,$C$5:$AJ$596,4,))*$F125))</f>
        <v>0</v>
      </c>
      <c r="Z125" s="90">
        <f>IF(VLOOKUP($D125,$C$5:$AJ$596,24,)=0,0,((VLOOKUP($D125,$C$5:$AJ$596,24,)/VLOOKUP($D125,$C$5:$AJ$596,4,))*$F125))</f>
        <v>0</v>
      </c>
      <c r="AA125" s="90">
        <f>IF(VLOOKUP($D125,$C$5:$AJ$596,25,)=0,0,((VLOOKUP($D125,$C$5:$AJ$596,25,)/VLOOKUP($D125,$C$5:$AJ$596,4,))*$F125))</f>
        <v>0</v>
      </c>
      <c r="AB125" s="90">
        <f>IF(VLOOKUP($D125,$C$5:$AJ$596,26,)=0,0,((VLOOKUP($D125,$C$5:$AJ$596,26,)/VLOOKUP($D125,$C$5:$AJ$596,4,))*$F125))</f>
        <v>0</v>
      </c>
      <c r="AC125" s="90">
        <f>IF(VLOOKUP($D125,$C$5:$AJ$596,27,)=0,0,((VLOOKUP($D125,$C$5:$AJ$596,27,)/VLOOKUP($D125,$C$5:$AJ$596,4,))*$F125))</f>
        <v>0</v>
      </c>
      <c r="AD125" s="90">
        <f>IF(VLOOKUP($D125,$C$5:$AJ$596,28,)=0,0,((VLOOKUP($D125,$C$5:$AJ$596,28,)/VLOOKUP($D125,$C$5:$AJ$596,4,))*$F125))</f>
        <v>0</v>
      </c>
      <c r="AE125" s="90"/>
      <c r="AF125" s="90">
        <f>IF(VLOOKUP($D125,$C$5:$AJ$596,30,)=0,0,((VLOOKUP($D125,$C$5:$AJ$596,30,)/VLOOKUP($D125,$C$5:$AJ$596,4,))*$F125))</f>
        <v>0</v>
      </c>
      <c r="AG125" s="90"/>
      <c r="AH125" s="90">
        <f>IF(VLOOKUP($D125,$C$5:$AJ$596,32,)=0,0,((VLOOKUP($D125,$C$5:$AJ$596,32,)/VLOOKUP($D125,$C$5:$AJ$596,4,))*$F125))</f>
        <v>0</v>
      </c>
      <c r="AI125" s="90"/>
      <c r="AJ125" s="90">
        <f>IF(VLOOKUP($D125,$C$5:$AJ$596,34,)=0,0,((VLOOKUP($D125,$C$5:$AJ$596,34,)/VLOOKUP($D125,$C$5:$AJ$596,4,))*$F125))</f>
        <v>0</v>
      </c>
      <c r="AK125" s="90">
        <f>SUM(H125:AJ125)</f>
        <v>732330105.49000001</v>
      </c>
      <c r="AL125" s="87" t="str">
        <f t="shared" ref="AL125:AL130" si="77">IF(ABS(AK125-F125)&lt;1,"ok","err")</f>
        <v>ok</v>
      </c>
    </row>
    <row r="126" spans="1:39" ht="15.3" x14ac:dyDescent="0.55000000000000004">
      <c r="A126" s="31" t="s">
        <v>685</v>
      </c>
      <c r="C126" s="86" t="s">
        <v>1762</v>
      </c>
      <c r="D126" s="348" t="s">
        <v>470</v>
      </c>
      <c r="E126" s="50"/>
      <c r="F126" s="90">
        <f>'Jurisdictional Study'!F898</f>
        <v>198625100</v>
      </c>
      <c r="H126" s="90">
        <f>IF(VLOOKUP($D126,$C$5:$AJ$596,6,)=0,0,((VLOOKUP($D126,$C$5:$AJ$596,6,)/VLOOKUP($D126,$C$5:$AJ$596,4,))*$F126))</f>
        <v>0</v>
      </c>
      <c r="I126" s="90">
        <f>IF(VLOOKUP($D126,$C$5:$AJ$596,7,)=0,0,((VLOOKUP($D126,$C$5:$AJ$596,7,)/VLOOKUP($D126,$C$5:$AJ$596,4,))*$F126))</f>
        <v>0</v>
      </c>
      <c r="J126" s="90">
        <f>IF(VLOOKUP($D126,$C$5:$AJ$596,8,)=0,0,((VLOOKUP($D126,$C$5:$AJ$596,8,)/VLOOKUP($D126,$C$5:$AJ$596,4,))*$F126))</f>
        <v>0</v>
      </c>
      <c r="K126" s="90">
        <f>IF(VLOOKUP($D126,$C$5:$AJ$596,9,)=0,0,((VLOOKUP($D126,$C$5:$AJ$596,9,)/VLOOKUP($D126,$C$5:$AJ$596,4,))*$F126))</f>
        <v>0</v>
      </c>
      <c r="L126" s="90">
        <f>IF(VLOOKUP($D126,$C$5:$AJ$596,10,)=0,0,((VLOOKUP($D126,$C$5:$AJ$596,10,)/VLOOKUP($D126,$C$5:$AJ$596,4,))*$F126))</f>
        <v>0</v>
      </c>
      <c r="M126" s="90">
        <f>IF(VLOOKUP($D126,$C$5:$AJ$596,11,)=0,0,((VLOOKUP($D126,$C$5:$AJ$596,11,)/VLOOKUP($D126,$C$5:$AJ$596,4,))*$F126))</f>
        <v>0</v>
      </c>
      <c r="N126" s="90"/>
      <c r="O126" s="90">
        <f>IF(VLOOKUP($D126,$C$5:$AJ$596,13,)=0,0,((VLOOKUP($D126,$C$5:$AJ$596,13,)/VLOOKUP($D126,$C$5:$AJ$596,4,))*$F126))</f>
        <v>198625100</v>
      </c>
      <c r="P126" s="90">
        <f>IF(VLOOKUP($D126,$C$5:$AJ$596,14,)=0,0,((VLOOKUP($D126,$C$5:$AJ$596,14,)/VLOOKUP($D126,$C$5:$AJ$596,4,))*$F126))</f>
        <v>0</v>
      </c>
      <c r="Q126" s="90">
        <f>IF(VLOOKUP($D126,$C$5:$AJ$596,15,)=0,0,((VLOOKUP($D126,$C$5:$AJ$596,15,)/VLOOKUP($D126,$C$5:$AJ$596,4,))*$F126))</f>
        <v>0</v>
      </c>
      <c r="R126" s="90"/>
      <c r="S126" s="90">
        <f>IF(VLOOKUP($D126,$C$5:$AJ$596,17,)=0,0,((VLOOKUP($D126,$C$5:$AJ$596,17,)/VLOOKUP($D126,$C$5:$AJ$596,4,))*$F126))</f>
        <v>0</v>
      </c>
      <c r="T126" s="90">
        <f>IF(VLOOKUP($D126,$C$5:$AJ$596,18,)=0,0,((VLOOKUP($D126,$C$5:$AJ$596,18,)/VLOOKUP($D126,$C$5:$AJ$596,4,))*$F126))</f>
        <v>0</v>
      </c>
      <c r="U126" s="90">
        <f>IF(VLOOKUP($D126,$C$5:$AJ$596,19,)=0,0,((VLOOKUP($D126,$C$5:$AJ$596,19,)/VLOOKUP($D126,$C$5:$AJ$596,4,))*$F126))</f>
        <v>0</v>
      </c>
      <c r="V126" s="90">
        <f>IF(VLOOKUP($D126,$C$5:$AJ$596,20,)=0,0,((VLOOKUP($D126,$C$5:$AJ$596,20,)/VLOOKUP($D126,$C$5:$AJ$596,4,))*$F126))</f>
        <v>0</v>
      </c>
      <c r="W126" s="90">
        <f>IF(VLOOKUP($D126,$C$5:$AJ$596,21,)=0,0,((VLOOKUP($D126,$C$5:$AJ$596,21,)/VLOOKUP($D126,$C$5:$AJ$596,4,))*$F126))</f>
        <v>0</v>
      </c>
      <c r="X126" s="90">
        <f>IF(VLOOKUP($D126,$C$5:$AJ$596,22,)=0,0,((VLOOKUP($D126,$C$5:$AJ$596,22,)/VLOOKUP($D126,$C$5:$AJ$596,4,))*$F126))</f>
        <v>0</v>
      </c>
      <c r="Y126" s="90">
        <f>IF(VLOOKUP($D126,$C$5:$AJ$596,23,)=0,0,((VLOOKUP($D126,$C$5:$AJ$596,23,)/VLOOKUP($D126,$C$5:$AJ$596,4,))*$F126))</f>
        <v>0</v>
      </c>
      <c r="Z126" s="90">
        <f>IF(VLOOKUP($D126,$C$5:$AJ$596,24,)=0,0,((VLOOKUP($D126,$C$5:$AJ$596,24,)/VLOOKUP($D126,$C$5:$AJ$596,4,))*$F126))</f>
        <v>0</v>
      </c>
      <c r="AA126" s="90">
        <f>IF(VLOOKUP($D126,$C$5:$AJ$596,25,)=0,0,((VLOOKUP($D126,$C$5:$AJ$596,25,)/VLOOKUP($D126,$C$5:$AJ$596,4,))*$F126))</f>
        <v>0</v>
      </c>
      <c r="AB126" s="90">
        <f>IF(VLOOKUP($D126,$C$5:$AJ$596,26,)=0,0,((VLOOKUP($D126,$C$5:$AJ$596,26,)/VLOOKUP($D126,$C$5:$AJ$596,4,))*$F126))</f>
        <v>0</v>
      </c>
      <c r="AC126" s="90">
        <f>IF(VLOOKUP($D126,$C$5:$AJ$596,27,)=0,0,((VLOOKUP($D126,$C$5:$AJ$596,27,)/VLOOKUP($D126,$C$5:$AJ$596,4,))*$F126))</f>
        <v>0</v>
      </c>
      <c r="AD126" s="90">
        <f>IF(VLOOKUP($D126,$C$5:$AJ$596,28,)=0,0,((VLOOKUP($D126,$C$5:$AJ$596,28,)/VLOOKUP($D126,$C$5:$AJ$596,4,))*$F126))</f>
        <v>0</v>
      </c>
      <c r="AE126" s="90"/>
      <c r="AF126" s="90">
        <f>IF(VLOOKUP($D126,$C$5:$AJ$596,30,)=0,0,((VLOOKUP($D126,$C$5:$AJ$596,30,)/VLOOKUP($D126,$C$5:$AJ$596,4,))*$F126))</f>
        <v>0</v>
      </c>
      <c r="AG126" s="90"/>
      <c r="AH126" s="90">
        <f>IF(VLOOKUP($D126,$C$5:$AJ$596,32,)=0,0,((VLOOKUP($D126,$C$5:$AJ$596,32,)/VLOOKUP($D126,$C$5:$AJ$596,4,))*$F126))</f>
        <v>0</v>
      </c>
      <c r="AI126" s="90"/>
      <c r="AJ126" s="90">
        <f>IF(VLOOKUP($D126,$C$5:$AJ$596,34,)=0,0,((VLOOKUP($D126,$C$5:$AJ$596,34,)/VLOOKUP($D126,$C$5:$AJ$596,4,))*$F126))</f>
        <v>0</v>
      </c>
      <c r="AK126" s="90">
        <f>SUM(H126:AJ126)</f>
        <v>198625100</v>
      </c>
      <c r="AL126" s="87" t="str">
        <f t="shared" si="77"/>
        <v>ok</v>
      </c>
    </row>
    <row r="127" spans="1:39" ht="15.3" x14ac:dyDescent="0.55000000000000004">
      <c r="A127" s="31" t="s">
        <v>686</v>
      </c>
      <c r="C127" s="86" t="s">
        <v>681</v>
      </c>
      <c r="D127" s="348" t="s">
        <v>109</v>
      </c>
      <c r="E127" s="50"/>
      <c r="F127" s="90">
        <f>'Jurisdictional Study'!F903-1193111.83-'Jurisdictional Study'!F902-'Jurisdictional Study'!F906</f>
        <v>315220930.17000002</v>
      </c>
      <c r="H127" s="90">
        <f>IF(VLOOKUP($D127,$C$5:$AJ$596,6,)=0,0,((VLOOKUP($D127,$C$5:$AJ$596,6,)/VLOOKUP($D127,$C$5:$AJ$596,4,))*$F127))</f>
        <v>0</v>
      </c>
      <c r="I127" s="90">
        <f>IF(VLOOKUP($D127,$C$5:$AJ$596,7,)=0,0,((VLOOKUP($D127,$C$5:$AJ$596,7,)/VLOOKUP($D127,$C$5:$AJ$596,4,))*$F127))</f>
        <v>0</v>
      </c>
      <c r="J127" s="90">
        <f>IF(VLOOKUP($D127,$C$5:$AJ$596,8,)=0,0,((VLOOKUP($D127,$C$5:$AJ$596,8,)/VLOOKUP($D127,$C$5:$AJ$596,4,))*$F127))</f>
        <v>0</v>
      </c>
      <c r="K127" s="90">
        <f>IF(VLOOKUP($D127,$C$5:$AJ$596,9,)=0,0,((VLOOKUP($D127,$C$5:$AJ$596,9,)/VLOOKUP($D127,$C$5:$AJ$596,4,))*$F127))</f>
        <v>0</v>
      </c>
      <c r="L127" s="90">
        <f>IF(VLOOKUP($D127,$C$5:$AJ$596,10,)=0,0,((VLOOKUP($D127,$C$5:$AJ$596,10,)/VLOOKUP($D127,$C$5:$AJ$596,4,))*$F127))</f>
        <v>0</v>
      </c>
      <c r="M127" s="90">
        <f>IF(VLOOKUP($D127,$C$5:$AJ$596,11,)=0,0,((VLOOKUP($D127,$C$5:$AJ$596,11,)/VLOOKUP($D127,$C$5:$AJ$596,4,))*$F127))</f>
        <v>0</v>
      </c>
      <c r="N127" s="90"/>
      <c r="O127" s="90">
        <f>IF(VLOOKUP($D127,$C$5:$AJ$596,13,)=0,0,((VLOOKUP($D127,$C$5:$AJ$596,13,)/VLOOKUP($D127,$C$5:$AJ$596,4,))*$F127))</f>
        <v>0</v>
      </c>
      <c r="P127" s="90">
        <f>IF(VLOOKUP($D127,$C$5:$AJ$596,14,)=0,0,((VLOOKUP($D127,$C$5:$AJ$596,14,)/VLOOKUP($D127,$C$5:$AJ$596,4,))*$F127))</f>
        <v>0</v>
      </c>
      <c r="Q127" s="90">
        <f>IF(VLOOKUP($D127,$C$5:$AJ$596,15,)=0,0,((VLOOKUP($D127,$C$5:$AJ$596,15,)/VLOOKUP($D127,$C$5:$AJ$596,4,))*$F127))</f>
        <v>0</v>
      </c>
      <c r="R127" s="90"/>
      <c r="S127" s="90">
        <f>IF(VLOOKUP($D127,$C$5:$AJ$596,17,)=0,0,((VLOOKUP($D127,$C$5:$AJ$596,17,)/VLOOKUP($D127,$C$5:$AJ$596,4,))*$F127))</f>
        <v>0</v>
      </c>
      <c r="T127" s="90">
        <f>IF(VLOOKUP($D127,$C$5:$AJ$596,18,)=0,0,((VLOOKUP($D127,$C$5:$AJ$596,18,)/VLOOKUP($D127,$C$5:$AJ$596,4,))*$F127))</f>
        <v>49410755.239704557</v>
      </c>
      <c r="U127" s="90">
        <f>IF(VLOOKUP($D127,$C$5:$AJ$596,19,)=0,0,((VLOOKUP($D127,$C$5:$AJ$596,19,)/VLOOKUP($D127,$C$5:$AJ$596,4,))*$F127))</f>
        <v>0</v>
      </c>
      <c r="V127" s="90">
        <f>IF(VLOOKUP($D127,$C$5:$AJ$596,20,)=0,0,((VLOOKUP($D127,$C$5:$AJ$596,20,)/VLOOKUP($D127,$C$5:$AJ$596,4,))*$F127))</f>
        <v>39299008.556176648</v>
      </c>
      <c r="W127" s="90">
        <f>IF(VLOOKUP($D127,$C$5:$AJ$596,21,)=0,0,((VLOOKUP($D127,$C$5:$AJ$596,21,)/VLOOKUP($D127,$C$5:$AJ$596,4,))*$F127))</f>
        <v>76388043.499719352</v>
      </c>
      <c r="X127" s="90">
        <f>IF(VLOOKUP($D127,$C$5:$AJ$596,22,)=0,0,((VLOOKUP($D127,$C$5:$AJ$596,22,)/VLOOKUP($D127,$C$5:$AJ$596,4,))*$F127))</f>
        <v>17691812.429111917</v>
      </c>
      <c r="Y127" s="90">
        <f>IF(VLOOKUP($D127,$C$5:$AJ$596,23,)=0,0,((VLOOKUP($D127,$C$5:$AJ$596,23,)/VLOOKUP($D127,$C$5:$AJ$596,4,))*$F127))</f>
        <v>35715375.103086501</v>
      </c>
      <c r="Z127" s="90">
        <f>IF(VLOOKUP($D127,$C$5:$AJ$596,24,)=0,0,((VLOOKUP($D127,$C$5:$AJ$596,24,)/VLOOKUP($D127,$C$5:$AJ$596,4,))*$F127))</f>
        <v>25789961.830715705</v>
      </c>
      <c r="AA127" s="90">
        <f>IF(VLOOKUP($D127,$C$5:$AJ$596,25,)=0,0,((VLOOKUP($D127,$C$5:$AJ$596,25,)/VLOOKUP($D127,$C$5:$AJ$596,4,))*$F127))</f>
        <v>21426996.653151009</v>
      </c>
      <c r="AB127" s="90">
        <f>IF(VLOOKUP($D127,$C$5:$AJ$596,26,)=0,0,((VLOOKUP($D127,$C$5:$AJ$596,26,)/VLOOKUP($D127,$C$5:$AJ$596,4,))*$F127))</f>
        <v>18065682.618172336</v>
      </c>
      <c r="AC127" s="90">
        <f>IF(VLOOKUP($D127,$C$5:$AJ$596,27,)=0,0,((VLOOKUP($D127,$C$5:$AJ$596,27,)/VLOOKUP($D127,$C$5:$AJ$596,4,))*$F127))</f>
        <v>10744362.427857818</v>
      </c>
      <c r="AD127" s="90">
        <f>IF(VLOOKUP($D127,$C$5:$AJ$596,28,)=0,0,((VLOOKUP($D127,$C$5:$AJ$596,28,)/VLOOKUP($D127,$C$5:$AJ$596,4,))*$F127))</f>
        <v>20688931.812304161</v>
      </c>
      <c r="AE127" s="90"/>
      <c r="AF127" s="90">
        <f>IF(VLOOKUP($D127,$C$5:$AJ$596,30,)=0,0,((VLOOKUP($D127,$C$5:$AJ$596,30,)/VLOOKUP($D127,$C$5:$AJ$596,4,))*$F127))</f>
        <v>0</v>
      </c>
      <c r="AG127" s="90"/>
      <c r="AH127" s="90">
        <f>IF(VLOOKUP($D127,$C$5:$AJ$596,32,)=0,0,((VLOOKUP($D127,$C$5:$AJ$596,32,)/VLOOKUP($D127,$C$5:$AJ$596,4,))*$F127))</f>
        <v>0</v>
      </c>
      <c r="AI127" s="90"/>
      <c r="AJ127" s="90">
        <f>IF(VLOOKUP($D127,$C$5:$AJ$596,34,)=0,0,((VLOOKUP($D127,$C$5:$AJ$596,34,)/VLOOKUP($D127,$C$5:$AJ$596,4,))*$F127))</f>
        <v>0</v>
      </c>
      <c r="AK127" s="90">
        <f>SUM(H127:AJ127)</f>
        <v>315220930.17000002</v>
      </c>
      <c r="AL127" s="87" t="str">
        <f t="shared" si="77"/>
        <v>ok</v>
      </c>
    </row>
    <row r="128" spans="1:39" ht="15.3" x14ac:dyDescent="0.55000000000000004">
      <c r="A128" s="31" t="s">
        <v>687</v>
      </c>
      <c r="C128" s="86" t="s">
        <v>682</v>
      </c>
      <c r="D128" s="348" t="s">
        <v>471</v>
      </c>
      <c r="E128" s="50"/>
      <c r="F128" s="90">
        <f>'Jurisdictional Study'!F907</f>
        <v>35890099</v>
      </c>
      <c r="H128" s="90">
        <f>IF(VLOOKUP($D128,$C$5:$AJ$596,6,)=0,0,((VLOOKUP($D128,$C$5:$AJ$596,6,)/VLOOKUP($D128,$C$5:$AJ$596,4,))*$F128))</f>
        <v>22586552.225457117</v>
      </c>
      <c r="I128" s="90">
        <f>IF(VLOOKUP($D128,$C$5:$AJ$596,7,)=0,0,((VLOOKUP($D128,$C$5:$AJ$596,7,)/VLOOKUP($D128,$C$5:$AJ$596,4,))*$F128))</f>
        <v>0</v>
      </c>
      <c r="J128" s="90">
        <f>IF(VLOOKUP($D128,$C$5:$AJ$596,8,)=0,0,((VLOOKUP($D128,$C$5:$AJ$596,8,)/VLOOKUP($D128,$C$5:$AJ$596,4,))*$F128))</f>
        <v>0</v>
      </c>
      <c r="K128" s="90">
        <f>IF(VLOOKUP($D128,$C$5:$AJ$596,9,)=0,0,((VLOOKUP($D128,$C$5:$AJ$596,9,)/VLOOKUP($D128,$C$5:$AJ$596,4,))*$F128))</f>
        <v>0</v>
      </c>
      <c r="L128" s="90">
        <f>IF(VLOOKUP($D128,$C$5:$AJ$596,10,)=0,0,((VLOOKUP($D128,$C$5:$AJ$596,10,)/VLOOKUP($D128,$C$5:$AJ$596,4,))*$F128))</f>
        <v>0</v>
      </c>
      <c r="M128" s="90">
        <f>IF(VLOOKUP($D128,$C$5:$AJ$596,11,)=0,0,((VLOOKUP($D128,$C$5:$AJ$596,11,)/VLOOKUP($D128,$C$5:$AJ$596,4,))*$F128))</f>
        <v>0</v>
      </c>
      <c r="N128" s="90"/>
      <c r="O128" s="90">
        <f>IF(VLOOKUP($D128,$C$5:$AJ$596,13,)=0,0,((VLOOKUP($D128,$C$5:$AJ$596,13,)/VLOOKUP($D128,$C$5:$AJ$596,4,))*$F128))</f>
        <v>4889191.1791237397</v>
      </c>
      <c r="P128" s="90">
        <f>IF(VLOOKUP($D128,$C$5:$AJ$596,14,)=0,0,((VLOOKUP($D128,$C$5:$AJ$596,14,)/VLOOKUP($D128,$C$5:$AJ$596,4,))*$F128))</f>
        <v>0</v>
      </c>
      <c r="Q128" s="90">
        <f>IF(VLOOKUP($D128,$C$5:$AJ$596,15,)=0,0,((VLOOKUP($D128,$C$5:$AJ$596,15,)/VLOOKUP($D128,$C$5:$AJ$596,4,))*$F128))</f>
        <v>0</v>
      </c>
      <c r="R128" s="90"/>
      <c r="S128" s="90">
        <f>IF(VLOOKUP($D128,$C$5:$AJ$596,17,)=0,0,((VLOOKUP($D128,$C$5:$AJ$596,17,)/VLOOKUP($D128,$C$5:$AJ$596,4,))*$F128))</f>
        <v>0</v>
      </c>
      <c r="T128" s="90">
        <f>IF(VLOOKUP($D128,$C$5:$AJ$596,18,)=0,0,((VLOOKUP($D128,$C$5:$AJ$596,18,)/VLOOKUP($D128,$C$5:$AJ$596,4,))*$F128))</f>
        <v>1318946.8878252243</v>
      </c>
      <c r="U128" s="90">
        <f>IF(VLOOKUP($D128,$C$5:$AJ$596,19,)=0,0,((VLOOKUP($D128,$C$5:$AJ$596,19,)/VLOOKUP($D128,$C$5:$AJ$596,4,))*$F128))</f>
        <v>0</v>
      </c>
      <c r="V128" s="90">
        <f>IF(VLOOKUP($D128,$C$5:$AJ$596,20,)=0,0,((VLOOKUP($D128,$C$5:$AJ$596,20,)/VLOOKUP($D128,$C$5:$AJ$596,4,))*$F128))</f>
        <v>1049028.7950129292</v>
      </c>
      <c r="W128" s="90">
        <f>IF(VLOOKUP($D128,$C$5:$AJ$596,21,)=0,0,((VLOOKUP($D128,$C$5:$AJ$596,21,)/VLOOKUP($D128,$C$5:$AJ$596,4,))*$F128))</f>
        <v>2039065.6194636044</v>
      </c>
      <c r="X128" s="90">
        <f>IF(VLOOKUP($D128,$C$5:$AJ$596,22,)=0,0,((VLOOKUP($D128,$C$5:$AJ$596,22,)/VLOOKUP($D128,$C$5:$AJ$596,4,))*$F128))</f>
        <v>472256.7147610414</v>
      </c>
      <c r="Y128" s="90">
        <f>IF(VLOOKUP($D128,$C$5:$AJ$596,23,)=0,0,((VLOOKUP($D128,$C$5:$AJ$596,23,)/VLOOKUP($D128,$C$5:$AJ$596,4,))*$F128))</f>
        <v>953369.01067792939</v>
      </c>
      <c r="Z128" s="90">
        <f>IF(VLOOKUP($D128,$C$5:$AJ$596,24,)=0,0,((VLOOKUP($D128,$C$5:$AJ$596,24,)/VLOOKUP($D128,$C$5:$AJ$596,4,))*$F128))</f>
        <v>688424.81214333291</v>
      </c>
      <c r="AA128" s="90">
        <f>IF(VLOOKUP($D128,$C$5:$AJ$596,25,)=0,0,((VLOOKUP($D128,$C$5:$AJ$596,25,)/VLOOKUP($D128,$C$5:$AJ$596,4,))*$F128))</f>
        <v>571961.9223388338</v>
      </c>
      <c r="AB128" s="90">
        <f>IF(VLOOKUP($D128,$C$5:$AJ$596,26,)=0,0,((VLOOKUP($D128,$C$5:$AJ$596,26,)/VLOOKUP($D128,$C$5:$AJ$596,4,))*$F128))</f>
        <v>482236.62540842249</v>
      </c>
      <c r="AC128" s="90">
        <f>IF(VLOOKUP($D128,$C$5:$AJ$596,27,)=0,0,((VLOOKUP($D128,$C$5:$AJ$596,27,)/VLOOKUP($D128,$C$5:$AJ$596,4,))*$F128))</f>
        <v>286804.83261469932</v>
      </c>
      <c r="AD128" s="90">
        <f>IF(VLOOKUP($D128,$C$5:$AJ$596,28,)=0,0,((VLOOKUP($D128,$C$5:$AJ$596,28,)/VLOOKUP($D128,$C$5:$AJ$596,4,))*$F128))</f>
        <v>552260.37517312833</v>
      </c>
      <c r="AE128" s="90"/>
      <c r="AF128" s="90">
        <f>IF(VLOOKUP($D128,$C$5:$AJ$596,30,)=0,0,((VLOOKUP($D128,$C$5:$AJ$596,30,)/VLOOKUP($D128,$C$5:$AJ$596,4,))*$F128))</f>
        <v>0</v>
      </c>
      <c r="AG128" s="90"/>
      <c r="AH128" s="90">
        <f>IF(VLOOKUP($D128,$C$5:$AJ$596,32,)=0,0,((VLOOKUP($D128,$C$5:$AJ$596,32,)/VLOOKUP($D128,$C$5:$AJ$596,4,))*$F128))</f>
        <v>0</v>
      </c>
      <c r="AI128" s="90"/>
      <c r="AJ128" s="90">
        <f>IF(VLOOKUP($D128,$C$5:$AJ$596,34,)=0,0,((VLOOKUP($D128,$C$5:$AJ$596,34,)/VLOOKUP($D128,$C$5:$AJ$596,4,))*$F128))</f>
        <v>0</v>
      </c>
      <c r="AK128" s="90">
        <f>SUM(H128:AJ128)</f>
        <v>35890099.000000007</v>
      </c>
      <c r="AL128" s="87" t="str">
        <f t="shared" si="77"/>
        <v>ok</v>
      </c>
    </row>
    <row r="129" spans="1:38" ht="15.3" x14ac:dyDescent="0.55000000000000004">
      <c r="A129" s="32"/>
      <c r="D129" s="348"/>
      <c r="E129" s="50"/>
      <c r="F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87"/>
    </row>
    <row r="130" spans="1:38" ht="15" x14ac:dyDescent="0.5">
      <c r="A130" s="83" t="s">
        <v>689</v>
      </c>
      <c r="C130" s="86" t="s">
        <v>688</v>
      </c>
      <c r="D130" s="348"/>
      <c r="E130" s="50"/>
      <c r="F130" s="90">
        <f>SUM(F125:F129)</f>
        <v>1282066234.6600001</v>
      </c>
      <c r="H130" s="90">
        <f t="shared" ref="H130:M130" si="78">SUM(H125:H129)</f>
        <v>754916657.71545708</v>
      </c>
      <c r="I130" s="90">
        <f t="shared" si="78"/>
        <v>0</v>
      </c>
      <c r="J130" s="90">
        <f t="shared" si="78"/>
        <v>0</v>
      </c>
      <c r="K130" s="90">
        <f t="shared" si="78"/>
        <v>0</v>
      </c>
      <c r="L130" s="90">
        <f t="shared" si="78"/>
        <v>0</v>
      </c>
      <c r="M130" s="90">
        <f t="shared" si="78"/>
        <v>0</v>
      </c>
      <c r="N130" s="90"/>
      <c r="O130" s="90">
        <f>SUM(O125:O129)</f>
        <v>203514291.17912373</v>
      </c>
      <c r="P130" s="90">
        <f>SUM(P125:P129)</f>
        <v>0</v>
      </c>
      <c r="Q130" s="90">
        <f>SUM(Q125:Q129)</f>
        <v>0</v>
      </c>
      <c r="R130" s="90"/>
      <c r="S130" s="90">
        <f t="shared" ref="S130:AD130" si="79">SUM(S125:S129)</f>
        <v>0</v>
      </c>
      <c r="T130" s="90">
        <f t="shared" si="79"/>
        <v>50729702.127529778</v>
      </c>
      <c r="U130" s="90">
        <f t="shared" si="79"/>
        <v>0</v>
      </c>
      <c r="V130" s="90">
        <f t="shared" si="79"/>
        <v>40348037.351189576</v>
      </c>
      <c r="W130" s="90">
        <f t="shared" si="79"/>
        <v>78427109.119182959</v>
      </c>
      <c r="X130" s="90">
        <f t="shared" si="79"/>
        <v>18164069.143872958</v>
      </c>
      <c r="Y130" s="90">
        <f t="shared" si="79"/>
        <v>36668744.113764428</v>
      </c>
      <c r="Z130" s="90">
        <f t="shared" si="79"/>
        <v>26478386.642859038</v>
      </c>
      <c r="AA130" s="90">
        <f t="shared" si="79"/>
        <v>21998958.575489841</v>
      </c>
      <c r="AB130" s="90">
        <f t="shared" si="79"/>
        <v>18547919.243580759</v>
      </c>
      <c r="AC130" s="90">
        <f t="shared" si="79"/>
        <v>11031167.260472517</v>
      </c>
      <c r="AD130" s="90">
        <f t="shared" si="79"/>
        <v>21241192.187477291</v>
      </c>
      <c r="AE130" s="90"/>
      <c r="AF130" s="90">
        <f>SUM(AF125:AF129)</f>
        <v>0</v>
      </c>
      <c r="AG130" s="90"/>
      <c r="AH130" s="90">
        <f>SUM(AH125:AH129)</f>
        <v>0</v>
      </c>
      <c r="AI130" s="90"/>
      <c r="AJ130" s="90">
        <f>SUM(AJ125:AJ129)</f>
        <v>0</v>
      </c>
      <c r="AK130" s="90">
        <f>SUM(AK125:AK129)</f>
        <v>1282066234.6600001</v>
      </c>
      <c r="AL130" s="87" t="str">
        <f t="shared" si="77"/>
        <v>ok</v>
      </c>
    </row>
    <row r="131" spans="1:38" ht="15.3" x14ac:dyDescent="0.55000000000000004">
      <c r="A131" s="99"/>
      <c r="D131" s="348"/>
      <c r="E131" s="50"/>
      <c r="F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87"/>
    </row>
    <row r="132" spans="1:38" ht="15.3" x14ac:dyDescent="0.55000000000000004">
      <c r="A132" s="31" t="s">
        <v>697</v>
      </c>
      <c r="D132" s="348"/>
      <c r="E132" s="50"/>
      <c r="F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87"/>
    </row>
    <row r="133" spans="1:38" ht="15.3" x14ac:dyDescent="0.55000000000000004">
      <c r="A133" s="31" t="s">
        <v>698</v>
      </c>
      <c r="C133" s="86" t="s">
        <v>690</v>
      </c>
      <c r="D133" s="348" t="s">
        <v>706</v>
      </c>
      <c r="E133" s="50"/>
      <c r="F133" s="89">
        <f>'Jurisdictional Study'!F918</f>
        <v>80926985</v>
      </c>
      <c r="H133" s="90">
        <f t="shared" ref="H133:H138" si="80">IF(VLOOKUP($D133,$C$5:$AJ$596,6,)=0,0,((VLOOKUP($D133,$C$5:$AJ$596,6,)/VLOOKUP($D133,$C$5:$AJ$596,4,))*$F133))</f>
        <v>80926985</v>
      </c>
      <c r="I133" s="90">
        <f t="shared" ref="I133:I138" si="81">IF(VLOOKUP($D133,$C$5:$AJ$596,7,)=0,0,((VLOOKUP($D133,$C$5:$AJ$596,7,)/VLOOKUP($D133,$C$5:$AJ$596,4,))*$F133))</f>
        <v>0</v>
      </c>
      <c r="J133" s="90">
        <f t="shared" ref="J133:J138" si="82">IF(VLOOKUP($D133,$C$5:$AJ$596,8,)=0,0,((VLOOKUP($D133,$C$5:$AJ$596,8,)/VLOOKUP($D133,$C$5:$AJ$596,4,))*$F133))</f>
        <v>0</v>
      </c>
      <c r="K133" s="90">
        <f t="shared" ref="K133:K138" si="83">IF(VLOOKUP($D133,$C$5:$AJ$596,9,)=0,0,((VLOOKUP($D133,$C$5:$AJ$596,9,)/VLOOKUP($D133,$C$5:$AJ$596,4,))*$F133))</f>
        <v>0</v>
      </c>
      <c r="L133" s="90">
        <f t="shared" ref="L133:L138" si="84">IF(VLOOKUP($D133,$C$5:$AJ$596,10,)=0,0,((VLOOKUP($D133,$C$5:$AJ$596,10,)/VLOOKUP($D133,$C$5:$AJ$596,4,))*$F133))</f>
        <v>0</v>
      </c>
      <c r="M133" s="90">
        <f t="shared" ref="M133:M138" si="85">IF(VLOOKUP($D133,$C$5:$AJ$596,11,)=0,0,((VLOOKUP($D133,$C$5:$AJ$596,11,)/VLOOKUP($D133,$C$5:$AJ$596,4,))*$F133))</f>
        <v>0</v>
      </c>
      <c r="N133" s="90"/>
      <c r="O133" s="90">
        <f t="shared" ref="O133:O138" si="86">IF(VLOOKUP($D133,$C$5:$AJ$596,13,)=0,0,((VLOOKUP($D133,$C$5:$AJ$596,13,)/VLOOKUP($D133,$C$5:$AJ$596,4,))*$F133))</f>
        <v>0</v>
      </c>
      <c r="P133" s="90">
        <f t="shared" ref="P133:P138" si="87">IF(VLOOKUP($D133,$C$5:$AJ$596,14,)=0,0,((VLOOKUP($D133,$C$5:$AJ$596,14,)/VLOOKUP($D133,$C$5:$AJ$596,4,))*$F133))</f>
        <v>0</v>
      </c>
      <c r="Q133" s="90">
        <f t="shared" ref="Q133:Q138" si="88">IF(VLOOKUP($D133,$C$5:$AJ$596,15,)=0,0,((VLOOKUP($D133,$C$5:$AJ$596,15,)/VLOOKUP($D133,$C$5:$AJ$596,4,))*$F133))</f>
        <v>0</v>
      </c>
      <c r="R133" s="90"/>
      <c r="S133" s="90">
        <f t="shared" ref="S133:S138" si="89">IF(VLOOKUP($D133,$C$5:$AJ$596,17,)=0,0,((VLOOKUP($D133,$C$5:$AJ$596,17,)/VLOOKUP($D133,$C$5:$AJ$596,4,))*$F133))</f>
        <v>0</v>
      </c>
      <c r="T133" s="90">
        <f t="shared" ref="T133:T138" si="90">IF(VLOOKUP($D133,$C$5:$AJ$596,18,)=0,0,((VLOOKUP($D133,$C$5:$AJ$596,18,)/VLOOKUP($D133,$C$5:$AJ$596,4,))*$F133))</f>
        <v>0</v>
      </c>
      <c r="U133" s="90">
        <f t="shared" ref="U133:U138" si="91">IF(VLOOKUP($D133,$C$5:$AJ$596,19,)=0,0,((VLOOKUP($D133,$C$5:$AJ$596,19,)/VLOOKUP($D133,$C$5:$AJ$596,4,))*$F133))</f>
        <v>0</v>
      </c>
      <c r="V133" s="90">
        <f t="shared" ref="V133:V138" si="92">IF(VLOOKUP($D133,$C$5:$AJ$596,20,)=0,0,((VLOOKUP($D133,$C$5:$AJ$596,20,)/VLOOKUP($D133,$C$5:$AJ$596,4,))*$F133))</f>
        <v>0</v>
      </c>
      <c r="W133" s="90">
        <f t="shared" ref="W133:W138" si="93">IF(VLOOKUP($D133,$C$5:$AJ$596,21,)=0,0,((VLOOKUP($D133,$C$5:$AJ$596,21,)/VLOOKUP($D133,$C$5:$AJ$596,4,))*$F133))</f>
        <v>0</v>
      </c>
      <c r="X133" s="90">
        <f t="shared" ref="X133:X138" si="94">IF(VLOOKUP($D133,$C$5:$AJ$596,22,)=0,0,((VLOOKUP($D133,$C$5:$AJ$596,22,)/VLOOKUP($D133,$C$5:$AJ$596,4,))*$F133))</f>
        <v>0</v>
      </c>
      <c r="Y133" s="90">
        <f t="shared" ref="Y133:Y138" si="95">IF(VLOOKUP($D133,$C$5:$AJ$596,23,)=0,0,((VLOOKUP($D133,$C$5:$AJ$596,23,)/VLOOKUP($D133,$C$5:$AJ$596,4,))*$F133))</f>
        <v>0</v>
      </c>
      <c r="Z133" s="90">
        <f t="shared" ref="Z133:Z138" si="96">IF(VLOOKUP($D133,$C$5:$AJ$596,24,)=0,0,((VLOOKUP($D133,$C$5:$AJ$596,24,)/VLOOKUP($D133,$C$5:$AJ$596,4,))*$F133))</f>
        <v>0</v>
      </c>
      <c r="AA133" s="90">
        <f t="shared" ref="AA133:AA138" si="97">IF(VLOOKUP($D133,$C$5:$AJ$596,25,)=0,0,((VLOOKUP($D133,$C$5:$AJ$596,25,)/VLOOKUP($D133,$C$5:$AJ$596,4,))*$F133))</f>
        <v>0</v>
      </c>
      <c r="AB133" s="90">
        <f t="shared" ref="AB133:AB138" si="98">IF(VLOOKUP($D133,$C$5:$AJ$596,26,)=0,0,((VLOOKUP($D133,$C$5:$AJ$596,26,)/VLOOKUP($D133,$C$5:$AJ$596,4,))*$F133))</f>
        <v>0</v>
      </c>
      <c r="AC133" s="90">
        <f t="shared" ref="AC133:AC138" si="99">IF(VLOOKUP($D133,$C$5:$AJ$596,27,)=0,0,((VLOOKUP($D133,$C$5:$AJ$596,27,)/VLOOKUP($D133,$C$5:$AJ$596,4,))*$F133))</f>
        <v>0</v>
      </c>
      <c r="AD133" s="90">
        <f t="shared" ref="AD133:AD138" si="100">IF(VLOOKUP($D133,$C$5:$AJ$596,28,)=0,0,((VLOOKUP($D133,$C$5:$AJ$596,28,)/VLOOKUP($D133,$C$5:$AJ$596,4,))*$F133))</f>
        <v>0</v>
      </c>
      <c r="AE133" s="90"/>
      <c r="AF133" s="90">
        <f t="shared" ref="AF133:AF138" si="101">IF(VLOOKUP($D133,$C$5:$AJ$596,30,)=0,0,((VLOOKUP($D133,$C$5:$AJ$596,30,)/VLOOKUP($D133,$C$5:$AJ$596,4,))*$F133))</f>
        <v>0</v>
      </c>
      <c r="AG133" s="90"/>
      <c r="AH133" s="90">
        <f t="shared" ref="AH133:AH138" si="102">IF(VLOOKUP($D133,$C$5:$AJ$596,32,)=0,0,((VLOOKUP($D133,$C$5:$AJ$596,32,)/VLOOKUP($D133,$C$5:$AJ$596,4,))*$F133))</f>
        <v>0</v>
      </c>
      <c r="AI133" s="90"/>
      <c r="AJ133" s="90">
        <f t="shared" ref="AJ133:AJ138" si="103">IF(VLOOKUP($D133,$C$5:$AJ$596,34,)=0,0,((VLOOKUP($D133,$C$5:$AJ$596,34,)/VLOOKUP($D133,$C$5:$AJ$596,4,))*$F133))</f>
        <v>0</v>
      </c>
      <c r="AK133" s="90">
        <f t="shared" ref="AK133:AK138" si="104">SUM(H133:AJ133)</f>
        <v>80926985</v>
      </c>
      <c r="AL133" s="87" t="str">
        <f t="shared" ref="AL133:AL140" si="105">IF(ABS(AK133-F133)&lt;1,"ok","err")</f>
        <v>ok</v>
      </c>
    </row>
    <row r="134" spans="1:38" ht="15.3" x14ac:dyDescent="0.55000000000000004">
      <c r="A134" s="31" t="s">
        <v>699</v>
      </c>
      <c r="C134" s="86" t="s">
        <v>695</v>
      </c>
      <c r="D134" s="348" t="s">
        <v>470</v>
      </c>
      <c r="E134" s="50"/>
      <c r="F134" s="90">
        <f>'Jurisdictional Study'!F913</f>
        <v>0</v>
      </c>
      <c r="H134" s="90">
        <f t="shared" si="80"/>
        <v>0</v>
      </c>
      <c r="I134" s="90">
        <f t="shared" si="81"/>
        <v>0</v>
      </c>
      <c r="J134" s="90">
        <f t="shared" si="82"/>
        <v>0</v>
      </c>
      <c r="K134" s="90">
        <f t="shared" si="83"/>
        <v>0</v>
      </c>
      <c r="L134" s="90">
        <f t="shared" si="84"/>
        <v>0</v>
      </c>
      <c r="M134" s="90">
        <f t="shared" si="85"/>
        <v>0</v>
      </c>
      <c r="N134" s="90"/>
      <c r="O134" s="90">
        <f t="shared" si="86"/>
        <v>0</v>
      </c>
      <c r="P134" s="90">
        <f t="shared" si="87"/>
        <v>0</v>
      </c>
      <c r="Q134" s="90">
        <f t="shared" si="88"/>
        <v>0</v>
      </c>
      <c r="R134" s="90"/>
      <c r="S134" s="90">
        <f t="shared" si="89"/>
        <v>0</v>
      </c>
      <c r="T134" s="90">
        <f t="shared" si="90"/>
        <v>0</v>
      </c>
      <c r="U134" s="90">
        <f t="shared" si="91"/>
        <v>0</v>
      </c>
      <c r="V134" s="90">
        <f t="shared" si="92"/>
        <v>0</v>
      </c>
      <c r="W134" s="90">
        <f t="shared" si="93"/>
        <v>0</v>
      </c>
      <c r="X134" s="90">
        <f t="shared" si="94"/>
        <v>0</v>
      </c>
      <c r="Y134" s="90">
        <f t="shared" si="95"/>
        <v>0</v>
      </c>
      <c r="Z134" s="90">
        <f t="shared" si="96"/>
        <v>0</v>
      </c>
      <c r="AA134" s="90">
        <f t="shared" si="97"/>
        <v>0</v>
      </c>
      <c r="AB134" s="90">
        <f t="shared" si="98"/>
        <v>0</v>
      </c>
      <c r="AC134" s="90">
        <f t="shared" si="99"/>
        <v>0</v>
      </c>
      <c r="AD134" s="90">
        <f t="shared" si="100"/>
        <v>0</v>
      </c>
      <c r="AE134" s="90"/>
      <c r="AF134" s="90">
        <f t="shared" si="101"/>
        <v>0</v>
      </c>
      <c r="AG134" s="90"/>
      <c r="AH134" s="90">
        <f t="shared" si="102"/>
        <v>0</v>
      </c>
      <c r="AI134" s="90"/>
      <c r="AJ134" s="90">
        <f t="shared" si="103"/>
        <v>0</v>
      </c>
      <c r="AK134" s="90">
        <f t="shared" si="104"/>
        <v>0</v>
      </c>
      <c r="AL134" s="87" t="str">
        <f t="shared" si="105"/>
        <v>ok</v>
      </c>
    </row>
    <row r="135" spans="1:38" ht="15.3" x14ac:dyDescent="0.55000000000000004">
      <c r="A135" s="31" t="s">
        <v>700</v>
      </c>
      <c r="C135" s="86" t="s">
        <v>696</v>
      </c>
      <c r="D135" s="348" t="s">
        <v>470</v>
      </c>
      <c r="E135" s="50"/>
      <c r="F135" s="90">
        <f>'Jurisdictional Study'!F914</f>
        <v>0</v>
      </c>
      <c r="H135" s="90">
        <f t="shared" si="80"/>
        <v>0</v>
      </c>
      <c r="I135" s="90">
        <f t="shared" si="81"/>
        <v>0</v>
      </c>
      <c r="J135" s="90">
        <f t="shared" si="82"/>
        <v>0</v>
      </c>
      <c r="K135" s="90">
        <f t="shared" si="83"/>
        <v>0</v>
      </c>
      <c r="L135" s="90">
        <f t="shared" si="84"/>
        <v>0</v>
      </c>
      <c r="M135" s="90">
        <f t="shared" si="85"/>
        <v>0</v>
      </c>
      <c r="N135" s="90"/>
      <c r="O135" s="90">
        <f t="shared" si="86"/>
        <v>0</v>
      </c>
      <c r="P135" s="90">
        <f t="shared" si="87"/>
        <v>0</v>
      </c>
      <c r="Q135" s="90">
        <f t="shared" si="88"/>
        <v>0</v>
      </c>
      <c r="R135" s="90"/>
      <c r="S135" s="90">
        <f t="shared" si="89"/>
        <v>0</v>
      </c>
      <c r="T135" s="90">
        <f t="shared" si="90"/>
        <v>0</v>
      </c>
      <c r="U135" s="90">
        <f t="shared" si="91"/>
        <v>0</v>
      </c>
      <c r="V135" s="90">
        <f t="shared" si="92"/>
        <v>0</v>
      </c>
      <c r="W135" s="90">
        <f t="shared" si="93"/>
        <v>0</v>
      </c>
      <c r="X135" s="90">
        <f t="shared" si="94"/>
        <v>0</v>
      </c>
      <c r="Y135" s="90">
        <f t="shared" si="95"/>
        <v>0</v>
      </c>
      <c r="Z135" s="90">
        <f t="shared" si="96"/>
        <v>0</v>
      </c>
      <c r="AA135" s="90">
        <f t="shared" si="97"/>
        <v>0</v>
      </c>
      <c r="AB135" s="90">
        <f t="shared" si="98"/>
        <v>0</v>
      </c>
      <c r="AC135" s="90">
        <f t="shared" si="99"/>
        <v>0</v>
      </c>
      <c r="AD135" s="90">
        <f t="shared" si="100"/>
        <v>0</v>
      </c>
      <c r="AE135" s="90"/>
      <c r="AF135" s="90">
        <f t="shared" si="101"/>
        <v>0</v>
      </c>
      <c r="AG135" s="90"/>
      <c r="AH135" s="90">
        <f t="shared" si="102"/>
        <v>0</v>
      </c>
      <c r="AI135" s="90"/>
      <c r="AJ135" s="90">
        <f t="shared" si="103"/>
        <v>0</v>
      </c>
      <c r="AK135" s="90">
        <f t="shared" si="104"/>
        <v>0</v>
      </c>
      <c r="AL135" s="87" t="str">
        <f t="shared" si="105"/>
        <v>ok</v>
      </c>
    </row>
    <row r="136" spans="1:38" ht="15.3" x14ac:dyDescent="0.55000000000000004">
      <c r="A136" s="31" t="s">
        <v>701</v>
      </c>
      <c r="C136" s="86" t="s">
        <v>694</v>
      </c>
      <c r="D136" s="348" t="s">
        <v>109</v>
      </c>
      <c r="E136" s="50"/>
      <c r="F136" s="90">
        <f>'Jurisdictional Study'!F915</f>
        <v>0</v>
      </c>
      <c r="H136" s="90">
        <f t="shared" si="80"/>
        <v>0</v>
      </c>
      <c r="I136" s="90">
        <f t="shared" si="81"/>
        <v>0</v>
      </c>
      <c r="J136" s="90">
        <f t="shared" si="82"/>
        <v>0</v>
      </c>
      <c r="K136" s="90">
        <f t="shared" si="83"/>
        <v>0</v>
      </c>
      <c r="L136" s="90">
        <f t="shared" si="84"/>
        <v>0</v>
      </c>
      <c r="M136" s="90">
        <f t="shared" si="85"/>
        <v>0</v>
      </c>
      <c r="N136" s="90"/>
      <c r="O136" s="90">
        <f t="shared" si="86"/>
        <v>0</v>
      </c>
      <c r="P136" s="90">
        <f t="shared" si="87"/>
        <v>0</v>
      </c>
      <c r="Q136" s="90">
        <f t="shared" si="88"/>
        <v>0</v>
      </c>
      <c r="R136" s="90"/>
      <c r="S136" s="90">
        <f t="shared" si="89"/>
        <v>0</v>
      </c>
      <c r="T136" s="90">
        <f t="shared" si="90"/>
        <v>0</v>
      </c>
      <c r="U136" s="90">
        <f t="shared" si="91"/>
        <v>0</v>
      </c>
      <c r="V136" s="90">
        <f t="shared" si="92"/>
        <v>0</v>
      </c>
      <c r="W136" s="90">
        <f t="shared" si="93"/>
        <v>0</v>
      </c>
      <c r="X136" s="90">
        <f t="shared" si="94"/>
        <v>0</v>
      </c>
      <c r="Y136" s="90">
        <f t="shared" si="95"/>
        <v>0</v>
      </c>
      <c r="Z136" s="90">
        <f t="shared" si="96"/>
        <v>0</v>
      </c>
      <c r="AA136" s="90">
        <f t="shared" si="97"/>
        <v>0</v>
      </c>
      <c r="AB136" s="90">
        <f t="shared" si="98"/>
        <v>0</v>
      </c>
      <c r="AC136" s="90">
        <f t="shared" si="99"/>
        <v>0</v>
      </c>
      <c r="AD136" s="90">
        <f t="shared" si="100"/>
        <v>0</v>
      </c>
      <c r="AE136" s="90"/>
      <c r="AF136" s="90">
        <f t="shared" si="101"/>
        <v>0</v>
      </c>
      <c r="AG136" s="90"/>
      <c r="AH136" s="90">
        <f t="shared" si="102"/>
        <v>0</v>
      </c>
      <c r="AI136" s="90"/>
      <c r="AJ136" s="90">
        <f t="shared" si="103"/>
        <v>0</v>
      </c>
      <c r="AK136" s="90">
        <f t="shared" si="104"/>
        <v>0</v>
      </c>
      <c r="AL136" s="87" t="str">
        <f t="shared" si="105"/>
        <v>ok</v>
      </c>
    </row>
    <row r="137" spans="1:38" ht="15.3" x14ac:dyDescent="0.55000000000000004">
      <c r="A137" s="31" t="s">
        <v>703</v>
      </c>
      <c r="C137" s="86" t="s">
        <v>693</v>
      </c>
      <c r="D137" s="348" t="s">
        <v>109</v>
      </c>
      <c r="E137" s="50"/>
      <c r="F137" s="90">
        <f>'Jurisdictional Study'!F916</f>
        <v>0</v>
      </c>
      <c r="H137" s="90">
        <f t="shared" si="80"/>
        <v>0</v>
      </c>
      <c r="I137" s="90">
        <f t="shared" si="81"/>
        <v>0</v>
      </c>
      <c r="J137" s="90">
        <f t="shared" si="82"/>
        <v>0</v>
      </c>
      <c r="K137" s="90">
        <f t="shared" si="83"/>
        <v>0</v>
      </c>
      <c r="L137" s="90">
        <f t="shared" si="84"/>
        <v>0</v>
      </c>
      <c r="M137" s="90">
        <f t="shared" si="85"/>
        <v>0</v>
      </c>
      <c r="N137" s="90"/>
      <c r="O137" s="90">
        <f t="shared" si="86"/>
        <v>0</v>
      </c>
      <c r="P137" s="90">
        <f t="shared" si="87"/>
        <v>0</v>
      </c>
      <c r="Q137" s="90">
        <f t="shared" si="88"/>
        <v>0</v>
      </c>
      <c r="R137" s="90"/>
      <c r="S137" s="90">
        <f t="shared" si="89"/>
        <v>0</v>
      </c>
      <c r="T137" s="90">
        <f t="shared" si="90"/>
        <v>0</v>
      </c>
      <c r="U137" s="90">
        <f t="shared" si="91"/>
        <v>0</v>
      </c>
      <c r="V137" s="90">
        <f t="shared" si="92"/>
        <v>0</v>
      </c>
      <c r="W137" s="90">
        <f t="shared" si="93"/>
        <v>0</v>
      </c>
      <c r="X137" s="90">
        <f t="shared" si="94"/>
        <v>0</v>
      </c>
      <c r="Y137" s="90">
        <f t="shared" si="95"/>
        <v>0</v>
      </c>
      <c r="Z137" s="90">
        <f t="shared" si="96"/>
        <v>0</v>
      </c>
      <c r="AA137" s="90">
        <f t="shared" si="97"/>
        <v>0</v>
      </c>
      <c r="AB137" s="90">
        <f t="shared" si="98"/>
        <v>0</v>
      </c>
      <c r="AC137" s="90">
        <f t="shared" si="99"/>
        <v>0</v>
      </c>
      <c r="AD137" s="90">
        <f t="shared" si="100"/>
        <v>0</v>
      </c>
      <c r="AE137" s="90"/>
      <c r="AF137" s="90">
        <f t="shared" si="101"/>
        <v>0</v>
      </c>
      <c r="AG137" s="90"/>
      <c r="AH137" s="90">
        <f t="shared" si="102"/>
        <v>0</v>
      </c>
      <c r="AI137" s="90"/>
      <c r="AJ137" s="90">
        <f t="shared" si="103"/>
        <v>0</v>
      </c>
      <c r="AK137" s="90">
        <f t="shared" si="104"/>
        <v>0</v>
      </c>
      <c r="AL137" s="87" t="str">
        <f t="shared" si="105"/>
        <v>ok</v>
      </c>
    </row>
    <row r="138" spans="1:38" ht="15.3" x14ac:dyDescent="0.55000000000000004">
      <c r="A138" s="31" t="s">
        <v>147</v>
      </c>
      <c r="C138" s="86" t="s">
        <v>692</v>
      </c>
      <c r="D138" s="348" t="s">
        <v>471</v>
      </c>
      <c r="E138" s="50"/>
      <c r="F138" s="90">
        <f>'Jurisdictional Study'!F917</f>
        <v>0</v>
      </c>
      <c r="H138" s="90">
        <f t="shared" si="80"/>
        <v>0</v>
      </c>
      <c r="I138" s="90">
        <f t="shared" si="81"/>
        <v>0</v>
      </c>
      <c r="J138" s="90">
        <f t="shared" si="82"/>
        <v>0</v>
      </c>
      <c r="K138" s="90">
        <f t="shared" si="83"/>
        <v>0</v>
      </c>
      <c r="L138" s="90">
        <f t="shared" si="84"/>
        <v>0</v>
      </c>
      <c r="M138" s="90">
        <f t="shared" si="85"/>
        <v>0</v>
      </c>
      <c r="N138" s="90"/>
      <c r="O138" s="90">
        <f t="shared" si="86"/>
        <v>0</v>
      </c>
      <c r="P138" s="90">
        <f t="shared" si="87"/>
        <v>0</v>
      </c>
      <c r="Q138" s="90">
        <f t="shared" si="88"/>
        <v>0</v>
      </c>
      <c r="R138" s="90"/>
      <c r="S138" s="90">
        <f t="shared" si="89"/>
        <v>0</v>
      </c>
      <c r="T138" s="90">
        <f t="shared" si="90"/>
        <v>0</v>
      </c>
      <c r="U138" s="90">
        <f t="shared" si="91"/>
        <v>0</v>
      </c>
      <c r="V138" s="90">
        <f t="shared" si="92"/>
        <v>0</v>
      </c>
      <c r="W138" s="90">
        <f t="shared" si="93"/>
        <v>0</v>
      </c>
      <c r="X138" s="90">
        <f t="shared" si="94"/>
        <v>0</v>
      </c>
      <c r="Y138" s="90">
        <f t="shared" si="95"/>
        <v>0</v>
      </c>
      <c r="Z138" s="90">
        <f t="shared" si="96"/>
        <v>0</v>
      </c>
      <c r="AA138" s="90">
        <f t="shared" si="97"/>
        <v>0</v>
      </c>
      <c r="AB138" s="90">
        <f t="shared" si="98"/>
        <v>0</v>
      </c>
      <c r="AC138" s="90">
        <f t="shared" si="99"/>
        <v>0</v>
      </c>
      <c r="AD138" s="90">
        <f t="shared" si="100"/>
        <v>0</v>
      </c>
      <c r="AE138" s="90"/>
      <c r="AF138" s="90">
        <f t="shared" si="101"/>
        <v>0</v>
      </c>
      <c r="AG138" s="90"/>
      <c r="AH138" s="90">
        <f t="shared" si="102"/>
        <v>0</v>
      </c>
      <c r="AI138" s="90"/>
      <c r="AJ138" s="90">
        <f t="shared" si="103"/>
        <v>0</v>
      </c>
      <c r="AK138" s="90">
        <f t="shared" si="104"/>
        <v>0</v>
      </c>
      <c r="AL138" s="87" t="str">
        <f t="shared" si="105"/>
        <v>ok</v>
      </c>
    </row>
    <row r="139" spans="1:38" ht="15.3" x14ac:dyDescent="0.55000000000000004">
      <c r="A139" s="31"/>
      <c r="D139" s="348"/>
      <c r="E139" s="50"/>
      <c r="F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87"/>
    </row>
    <row r="140" spans="1:38" ht="15" x14ac:dyDescent="0.5">
      <c r="A140" s="83" t="s">
        <v>702</v>
      </c>
      <c r="C140" s="86" t="s">
        <v>691</v>
      </c>
      <c r="D140" s="348"/>
      <c r="E140" s="50"/>
      <c r="F140" s="90">
        <f>SUM(F133:F139)</f>
        <v>80926985</v>
      </c>
      <c r="H140" s="90">
        <f t="shared" ref="H140:M140" si="106">SUM(H133:H139)</f>
        <v>80926985</v>
      </c>
      <c r="I140" s="90">
        <f t="shared" si="106"/>
        <v>0</v>
      </c>
      <c r="J140" s="90">
        <f t="shared" si="106"/>
        <v>0</v>
      </c>
      <c r="K140" s="90">
        <f t="shared" si="106"/>
        <v>0</v>
      </c>
      <c r="L140" s="90">
        <f t="shared" si="106"/>
        <v>0</v>
      </c>
      <c r="M140" s="90">
        <f t="shared" si="106"/>
        <v>0</v>
      </c>
      <c r="N140" s="90"/>
      <c r="O140" s="90">
        <f>SUM(O133:O139)</f>
        <v>0</v>
      </c>
      <c r="P140" s="90">
        <f>SUM(P133:P139)</f>
        <v>0</v>
      </c>
      <c r="Q140" s="90">
        <f>SUM(Q133:Q139)</f>
        <v>0</v>
      </c>
      <c r="R140" s="90"/>
      <c r="S140" s="90">
        <f t="shared" ref="S140:AD140" si="107">SUM(S133:S139)</f>
        <v>0</v>
      </c>
      <c r="T140" s="90">
        <f t="shared" si="107"/>
        <v>0</v>
      </c>
      <c r="U140" s="90">
        <f t="shared" si="107"/>
        <v>0</v>
      </c>
      <c r="V140" s="90">
        <f t="shared" si="107"/>
        <v>0</v>
      </c>
      <c r="W140" s="90">
        <f t="shared" si="107"/>
        <v>0</v>
      </c>
      <c r="X140" s="90">
        <f t="shared" si="107"/>
        <v>0</v>
      </c>
      <c r="Y140" s="90">
        <f t="shared" si="107"/>
        <v>0</v>
      </c>
      <c r="Z140" s="90">
        <f t="shared" si="107"/>
        <v>0</v>
      </c>
      <c r="AA140" s="90">
        <f t="shared" si="107"/>
        <v>0</v>
      </c>
      <c r="AB140" s="90">
        <f t="shared" si="107"/>
        <v>0</v>
      </c>
      <c r="AC140" s="90">
        <f t="shared" si="107"/>
        <v>0</v>
      </c>
      <c r="AD140" s="90">
        <f t="shared" si="107"/>
        <v>0</v>
      </c>
      <c r="AE140" s="90"/>
      <c r="AF140" s="90">
        <f>SUM(AF133:AF139)</f>
        <v>0</v>
      </c>
      <c r="AG140" s="90"/>
      <c r="AH140" s="90">
        <f>SUM(AH133:AH139)</f>
        <v>0</v>
      </c>
      <c r="AI140" s="90"/>
      <c r="AJ140" s="90">
        <f>SUM(AJ133:AJ139)</f>
        <v>0</v>
      </c>
      <c r="AK140" s="90">
        <f>SUM(AK133:AK139)</f>
        <v>80926985</v>
      </c>
      <c r="AL140" s="87" t="str">
        <f t="shared" si="105"/>
        <v>ok</v>
      </c>
    </row>
    <row r="141" spans="1:38" x14ac:dyDescent="0.5">
      <c r="D141" s="348"/>
      <c r="E141" s="5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87"/>
    </row>
    <row r="142" spans="1:38" x14ac:dyDescent="0.5">
      <c r="A142" s="86" t="s">
        <v>450</v>
      </c>
      <c r="D142" s="371"/>
      <c r="E142" s="71"/>
      <c r="F142" s="91">
        <f>F130+F140</f>
        <v>1362993219.6600001</v>
      </c>
      <c r="G142" s="91"/>
      <c r="H142" s="91">
        <f t="shared" ref="H142:M142" si="108">H130+H140</f>
        <v>835843642.71545708</v>
      </c>
      <c r="I142" s="91">
        <f t="shared" si="108"/>
        <v>0</v>
      </c>
      <c r="J142" s="91">
        <f t="shared" si="108"/>
        <v>0</v>
      </c>
      <c r="K142" s="91">
        <f t="shared" si="108"/>
        <v>0</v>
      </c>
      <c r="L142" s="91">
        <f t="shared" si="108"/>
        <v>0</v>
      </c>
      <c r="M142" s="91">
        <f t="shared" si="108"/>
        <v>0</v>
      </c>
      <c r="N142" s="91"/>
      <c r="O142" s="91">
        <f>O130+O140</f>
        <v>203514291.17912373</v>
      </c>
      <c r="P142" s="91">
        <f>P130+P140</f>
        <v>0</v>
      </c>
      <c r="Q142" s="91">
        <f>Q130+Q140</f>
        <v>0</v>
      </c>
      <c r="R142" s="91"/>
      <c r="S142" s="91">
        <f t="shared" ref="S142:AD142" si="109">S130+S140</f>
        <v>0</v>
      </c>
      <c r="T142" s="91">
        <f t="shared" si="109"/>
        <v>50729702.127529778</v>
      </c>
      <c r="U142" s="91">
        <f t="shared" si="109"/>
        <v>0</v>
      </c>
      <c r="V142" s="91">
        <f t="shared" si="109"/>
        <v>40348037.351189576</v>
      </c>
      <c r="W142" s="91">
        <f t="shared" si="109"/>
        <v>78427109.119182959</v>
      </c>
      <c r="X142" s="91">
        <f t="shared" si="109"/>
        <v>18164069.143872958</v>
      </c>
      <c r="Y142" s="91">
        <f t="shared" si="109"/>
        <v>36668744.113764428</v>
      </c>
      <c r="Z142" s="91">
        <f t="shared" si="109"/>
        <v>26478386.642859038</v>
      </c>
      <c r="AA142" s="91">
        <f t="shared" si="109"/>
        <v>21998958.575489841</v>
      </c>
      <c r="AB142" s="91">
        <f t="shared" si="109"/>
        <v>18547919.243580759</v>
      </c>
      <c r="AC142" s="91">
        <f t="shared" si="109"/>
        <v>11031167.260472517</v>
      </c>
      <c r="AD142" s="91">
        <f t="shared" si="109"/>
        <v>21241192.187477291</v>
      </c>
      <c r="AE142" s="91"/>
      <c r="AF142" s="91">
        <f>AF130+AF140</f>
        <v>0</v>
      </c>
      <c r="AG142" s="91"/>
      <c r="AH142" s="91">
        <f>AH130+AH140</f>
        <v>0</v>
      </c>
      <c r="AI142" s="91"/>
      <c r="AJ142" s="91">
        <f>AJ130+AJ140</f>
        <v>0</v>
      </c>
      <c r="AK142" s="91">
        <f>AK130+AK140</f>
        <v>1362993219.6600001</v>
      </c>
      <c r="AL142" s="87" t="str">
        <f>IF(ABS(AK142-F142)&lt;1,"ok","err")</f>
        <v>ok</v>
      </c>
    </row>
    <row r="143" spans="1:38" x14ac:dyDescent="0.5">
      <c r="A143" s="86" t="s">
        <v>1244</v>
      </c>
      <c r="C143" s="86" t="s">
        <v>775</v>
      </c>
      <c r="D143" s="348" t="s">
        <v>548</v>
      </c>
      <c r="E143" s="50"/>
      <c r="F143" s="89">
        <f>'Jurisdictional Study'!F920</f>
        <v>1712216</v>
      </c>
      <c r="H143" s="90">
        <f>IF(VLOOKUP($D143,$C$5:$AJ$596,6,)=0,0,((VLOOKUP($D143,$C$5:$AJ$596,6,)/VLOOKUP($D143,$C$5:$AJ$596,4,))*$F143))</f>
        <v>0</v>
      </c>
      <c r="I143" s="90">
        <f>IF(VLOOKUP($D143,$C$5:$AJ$596,7,)=0,0,((VLOOKUP($D143,$C$5:$AJ$596,7,)/VLOOKUP($D143,$C$5:$AJ$596,4,))*$F143))</f>
        <v>0</v>
      </c>
      <c r="J143" s="90">
        <f>IF(VLOOKUP($D143,$C$5:$AJ$596,8,)=0,0,((VLOOKUP($D143,$C$5:$AJ$596,8,)/VLOOKUP($D143,$C$5:$AJ$596,4,))*$F143))</f>
        <v>0</v>
      </c>
      <c r="K143" s="90">
        <f>IF(VLOOKUP($D143,$C$5:$AJ$596,9,)=0,0,((VLOOKUP($D143,$C$5:$AJ$596,9,)/VLOOKUP($D143,$C$5:$AJ$596,4,))*$F143))</f>
        <v>0</v>
      </c>
      <c r="L143" s="90">
        <f>IF(VLOOKUP($D143,$C$5:$AJ$596,10,)=0,0,((VLOOKUP($D143,$C$5:$AJ$596,10,)/VLOOKUP($D143,$C$5:$AJ$596,4,))*$F143))</f>
        <v>0</v>
      </c>
      <c r="M143" s="90">
        <f>IF(VLOOKUP($D143,$C$5:$AJ$596,11,)=0,0,((VLOOKUP($D143,$C$5:$AJ$596,11,)/VLOOKUP($D143,$C$5:$AJ$596,4,))*$F143))</f>
        <v>0</v>
      </c>
      <c r="N143" s="90"/>
      <c r="O143" s="90">
        <f>IF(VLOOKUP($D143,$C$5:$AJ$596,13,)=0,0,((VLOOKUP($D143,$C$5:$AJ$596,13,)/VLOOKUP($D143,$C$5:$AJ$596,4,))*$F143))</f>
        <v>0</v>
      </c>
      <c r="P143" s="90">
        <f>IF(VLOOKUP($D143,$C$5:$AJ$596,14,)=0,0,((VLOOKUP($D143,$C$5:$AJ$596,14,)/VLOOKUP($D143,$C$5:$AJ$596,4,))*$F143))</f>
        <v>0</v>
      </c>
      <c r="Q143" s="90">
        <f>IF(VLOOKUP($D143,$C$5:$AJ$596,15,)=0,0,((VLOOKUP($D143,$C$5:$AJ$596,15,)/VLOOKUP($D143,$C$5:$AJ$596,4,))*$F143))</f>
        <v>0</v>
      </c>
      <c r="R143" s="90"/>
      <c r="S143" s="90">
        <f>IF(VLOOKUP($D143,$C$5:$AJ$596,17,)=0,0,((VLOOKUP($D143,$C$5:$AJ$596,17,)/VLOOKUP($D143,$C$5:$AJ$596,4,))*$F143))</f>
        <v>0</v>
      </c>
      <c r="T143" s="90">
        <f>IF(VLOOKUP($D143,$C$5:$AJ$596,18,)=0,0,((VLOOKUP($D143,$C$5:$AJ$596,18,)/VLOOKUP($D143,$C$5:$AJ$596,4,))*$F143))</f>
        <v>0</v>
      </c>
      <c r="U143" s="90">
        <f>IF(VLOOKUP($D143,$C$5:$AJ$596,19,)=0,0,((VLOOKUP($D143,$C$5:$AJ$596,19,)/VLOOKUP($D143,$C$5:$AJ$596,4,))*$F143))</f>
        <v>0</v>
      </c>
      <c r="V143" s="90">
        <f>IF(VLOOKUP($D143,$C$5:$AJ$596,20,)=0,0,((VLOOKUP($D143,$C$5:$AJ$596,20,)/VLOOKUP($D143,$C$5:$AJ$596,4,))*$F143))</f>
        <v>397934.2607881492</v>
      </c>
      <c r="W143" s="90">
        <f>IF(VLOOKUP($D143,$C$5:$AJ$596,21,)=0,0,((VLOOKUP($D143,$C$5:$AJ$596,21,)/VLOOKUP($D143,$C$5:$AJ$596,4,))*$F143))</f>
        <v>773490.75052775675</v>
      </c>
      <c r="X143" s="90">
        <f>IF(VLOOKUP($D143,$C$5:$AJ$596,22,)=0,0,((VLOOKUP($D143,$C$5:$AJ$596,22,)/VLOOKUP($D143,$C$5:$AJ$596,4,))*$F143))</f>
        <v>179143.91633869178</v>
      </c>
      <c r="Y143" s="90">
        <f>IF(VLOOKUP($D143,$C$5:$AJ$596,23,)=0,0,((VLOOKUP($D143,$C$5:$AJ$596,23,)/VLOOKUP($D143,$C$5:$AJ$596,4,))*$F143))</f>
        <v>361647.07234540221</v>
      </c>
      <c r="Z143" s="90">
        <f>IF(VLOOKUP($D143,$C$5:$AJ$596,24,)=0,0,((VLOOKUP($D143,$C$5:$AJ$596,24,)/VLOOKUP($D143,$C$5:$AJ$596,4,))*$F143))</f>
        <v>0</v>
      </c>
      <c r="AA143" s="90">
        <f>IF(VLOOKUP($D143,$C$5:$AJ$596,25,)=0,0,((VLOOKUP($D143,$C$5:$AJ$596,25,)/VLOOKUP($D143,$C$5:$AJ$596,4,))*$F143))</f>
        <v>0</v>
      </c>
      <c r="AB143" s="90">
        <f>IF(VLOOKUP($D143,$C$5:$AJ$596,26,)=0,0,((VLOOKUP($D143,$C$5:$AJ$596,26,)/VLOOKUP($D143,$C$5:$AJ$596,4,))*$F143))</f>
        <v>0</v>
      </c>
      <c r="AC143" s="90">
        <f>IF(VLOOKUP($D143,$C$5:$AJ$596,27,)=0,0,((VLOOKUP($D143,$C$5:$AJ$596,27,)/VLOOKUP($D143,$C$5:$AJ$596,4,))*$F143))</f>
        <v>0</v>
      </c>
      <c r="AD143" s="90">
        <f>IF(VLOOKUP($D143,$C$5:$AJ$596,28,)=0,0,((VLOOKUP($D143,$C$5:$AJ$596,28,)/VLOOKUP($D143,$C$5:$AJ$596,4,))*$F143))</f>
        <v>0</v>
      </c>
      <c r="AE143" s="90"/>
      <c r="AF143" s="90">
        <f>IF(VLOOKUP($D143,$C$5:$AJ$596,30,)=0,0,((VLOOKUP($D143,$C$5:$AJ$596,30,)/VLOOKUP($D143,$C$5:$AJ$596,4,))*$F143))</f>
        <v>0</v>
      </c>
      <c r="AG143" s="90"/>
      <c r="AH143" s="90">
        <f>IF(VLOOKUP($D143,$C$5:$AJ$596,32,)=0,0,((VLOOKUP($D143,$C$5:$AJ$596,32,)/VLOOKUP($D143,$C$5:$AJ$596,4,))*$F143))</f>
        <v>0</v>
      </c>
      <c r="AI143" s="90"/>
      <c r="AJ143" s="90">
        <f>IF(VLOOKUP($D143,$C$5:$AJ$596,34,)=0,0,((VLOOKUP($D143,$C$5:$AJ$596,34,)/VLOOKUP($D143,$C$5:$AJ$596,4,))*$F143))</f>
        <v>0</v>
      </c>
      <c r="AK143" s="90">
        <f>SUM(H143:AJ143)</f>
        <v>1712216</v>
      </c>
      <c r="AL143" s="87" t="str">
        <f>IF(ABS(AK143-F143)&lt;1,"ok","err")</f>
        <v>ok</v>
      </c>
    </row>
    <row r="144" spans="1:38" x14ac:dyDescent="0.5">
      <c r="A144" s="86" t="s">
        <v>1786</v>
      </c>
      <c r="D144" s="348" t="s">
        <v>706</v>
      </c>
      <c r="E144" s="50"/>
      <c r="F144" s="89"/>
      <c r="H144" s="90">
        <f>IF(VLOOKUP($D144,$C$5:$AJ$596,6,)=0,0,((VLOOKUP($D144,$C$5:$AJ$596,6,)/VLOOKUP($D144,$C$5:$AJ$596,4,))*$F144))</f>
        <v>0</v>
      </c>
      <c r="I144" s="90">
        <f>IF(VLOOKUP($D144,$C$5:$AJ$596,7,)=0,0,((VLOOKUP($D144,$C$5:$AJ$596,7,)/VLOOKUP($D144,$C$5:$AJ$596,4,))*$F144))</f>
        <v>0</v>
      </c>
      <c r="J144" s="90">
        <f>IF(VLOOKUP($D144,$C$5:$AJ$596,8,)=0,0,((VLOOKUP($D144,$C$5:$AJ$596,8,)/VLOOKUP($D144,$C$5:$AJ$596,4,))*$F144))</f>
        <v>0</v>
      </c>
      <c r="K144" s="90">
        <f>IF(VLOOKUP($D144,$C$5:$AJ$596,9,)=0,0,((VLOOKUP($D144,$C$5:$AJ$596,9,)/VLOOKUP($D144,$C$5:$AJ$596,4,))*$F144))</f>
        <v>0</v>
      </c>
      <c r="L144" s="90">
        <f>IF(VLOOKUP($D144,$C$5:$AJ$596,10,)=0,0,((VLOOKUP($D144,$C$5:$AJ$596,10,)/VLOOKUP($D144,$C$5:$AJ$596,4,))*$F144))</f>
        <v>0</v>
      </c>
      <c r="M144" s="90">
        <f>IF(VLOOKUP($D144,$C$5:$AJ$596,11,)=0,0,((VLOOKUP($D144,$C$5:$AJ$596,11,)/VLOOKUP($D144,$C$5:$AJ$596,4,))*$F144))</f>
        <v>0</v>
      </c>
      <c r="N144" s="90"/>
      <c r="O144" s="90">
        <f>IF(VLOOKUP($D144,$C$5:$AJ$596,13,)=0,0,((VLOOKUP($D144,$C$5:$AJ$596,13,)/VLOOKUP($D144,$C$5:$AJ$596,4,))*$F144))</f>
        <v>0</v>
      </c>
      <c r="P144" s="90">
        <f>IF(VLOOKUP($D144,$C$5:$AJ$596,14,)=0,0,((VLOOKUP($D144,$C$5:$AJ$596,14,)/VLOOKUP($D144,$C$5:$AJ$596,4,))*$F144))</f>
        <v>0</v>
      </c>
      <c r="Q144" s="90">
        <f>IF(VLOOKUP($D144,$C$5:$AJ$596,15,)=0,0,((VLOOKUP($D144,$C$5:$AJ$596,15,)/VLOOKUP($D144,$C$5:$AJ$596,4,))*$F144))</f>
        <v>0</v>
      </c>
      <c r="R144" s="90"/>
      <c r="S144" s="90">
        <f>IF(VLOOKUP($D144,$C$5:$AJ$596,17,)=0,0,((VLOOKUP($D144,$C$5:$AJ$596,17,)/VLOOKUP($D144,$C$5:$AJ$596,4,))*$F144))</f>
        <v>0</v>
      </c>
      <c r="T144" s="90">
        <f>IF(VLOOKUP($D144,$C$5:$AJ$596,18,)=0,0,((VLOOKUP($D144,$C$5:$AJ$596,18,)/VLOOKUP($D144,$C$5:$AJ$596,4,))*$F144))</f>
        <v>0</v>
      </c>
      <c r="U144" s="90">
        <f>IF(VLOOKUP($D144,$C$5:$AJ$596,19,)=0,0,((VLOOKUP($D144,$C$5:$AJ$596,19,)/VLOOKUP($D144,$C$5:$AJ$596,4,))*$F144))</f>
        <v>0</v>
      </c>
      <c r="V144" s="90">
        <f>IF(VLOOKUP($D144,$C$5:$AJ$596,20,)=0,0,((VLOOKUP($D144,$C$5:$AJ$596,20,)/VLOOKUP($D144,$C$5:$AJ$596,4,))*$F144))</f>
        <v>0</v>
      </c>
      <c r="W144" s="90">
        <f>IF(VLOOKUP($D144,$C$5:$AJ$596,21,)=0,0,((VLOOKUP($D144,$C$5:$AJ$596,21,)/VLOOKUP($D144,$C$5:$AJ$596,4,))*$F144))</f>
        <v>0</v>
      </c>
      <c r="X144" s="90">
        <f>IF(VLOOKUP($D144,$C$5:$AJ$596,22,)=0,0,((VLOOKUP($D144,$C$5:$AJ$596,22,)/VLOOKUP($D144,$C$5:$AJ$596,4,))*$F144))</f>
        <v>0</v>
      </c>
      <c r="Y144" s="90">
        <f>IF(VLOOKUP($D144,$C$5:$AJ$596,23,)=0,0,((VLOOKUP($D144,$C$5:$AJ$596,23,)/VLOOKUP($D144,$C$5:$AJ$596,4,))*$F144))</f>
        <v>0</v>
      </c>
      <c r="Z144" s="90">
        <f>IF(VLOOKUP($D144,$C$5:$AJ$596,24,)=0,0,((VLOOKUP($D144,$C$5:$AJ$596,24,)/VLOOKUP($D144,$C$5:$AJ$596,4,))*$F144))</f>
        <v>0</v>
      </c>
      <c r="AA144" s="90">
        <f>IF(VLOOKUP($D144,$C$5:$AJ$596,25,)=0,0,((VLOOKUP($D144,$C$5:$AJ$596,25,)/VLOOKUP($D144,$C$5:$AJ$596,4,))*$F144))</f>
        <v>0</v>
      </c>
      <c r="AB144" s="90">
        <f>IF(VLOOKUP($D144,$C$5:$AJ$596,26,)=0,0,((VLOOKUP($D144,$C$5:$AJ$596,26,)/VLOOKUP($D144,$C$5:$AJ$596,4,))*$F144))</f>
        <v>0</v>
      </c>
      <c r="AC144" s="90">
        <f>IF(VLOOKUP($D144,$C$5:$AJ$596,27,)=0,0,((VLOOKUP($D144,$C$5:$AJ$596,27,)/VLOOKUP($D144,$C$5:$AJ$596,4,))*$F144))</f>
        <v>0</v>
      </c>
      <c r="AD144" s="90">
        <f>IF(VLOOKUP($D144,$C$5:$AJ$596,28,)=0,0,((VLOOKUP($D144,$C$5:$AJ$596,28,)/VLOOKUP($D144,$C$5:$AJ$596,4,))*$F144))</f>
        <v>0</v>
      </c>
      <c r="AE144" s="90"/>
      <c r="AF144" s="90">
        <f>IF(VLOOKUP($D144,$C$5:$AJ$596,30,)=0,0,((VLOOKUP($D144,$C$5:$AJ$596,30,)/VLOOKUP($D144,$C$5:$AJ$596,4,))*$F144))</f>
        <v>0</v>
      </c>
      <c r="AG144" s="90"/>
      <c r="AH144" s="90">
        <f>IF(VLOOKUP($D144,$C$5:$AJ$596,32,)=0,0,((VLOOKUP($D144,$C$5:$AJ$596,32,)/VLOOKUP($D144,$C$5:$AJ$596,4,))*$F144))</f>
        <v>0</v>
      </c>
      <c r="AI144" s="90"/>
      <c r="AJ144" s="90">
        <f>IF(VLOOKUP($D144,$C$5:$AJ$596,34,)=0,0,((VLOOKUP($D144,$C$5:$AJ$596,34,)/VLOOKUP($D144,$C$5:$AJ$596,4,))*$F144))</f>
        <v>0</v>
      </c>
      <c r="AK144" s="90">
        <f>SUM(H144:AJ144)</f>
        <v>0</v>
      </c>
      <c r="AL144" s="87" t="str">
        <f>IF(ABS(AK144-F144)&lt;1,"ok","err")</f>
        <v>ok</v>
      </c>
    </row>
    <row r="145" spans="1:39" x14ac:dyDescent="0.5">
      <c r="D145" s="348"/>
      <c r="E145" s="50"/>
      <c r="F145" s="89"/>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87"/>
    </row>
    <row r="146" spans="1:39" x14ac:dyDescent="0.5">
      <c r="A146" s="23" t="s">
        <v>776</v>
      </c>
      <c r="C146" s="86" t="s">
        <v>777</v>
      </c>
      <c r="D146" s="348"/>
      <c r="E146" s="50"/>
      <c r="F146" s="91">
        <f>F96-F109+F118-F143+F120-F142-F144</f>
        <v>5197832023.3400002</v>
      </c>
      <c r="G146" s="91">
        <f>G96-G109+G118-G143+G120-G142</f>
        <v>0</v>
      </c>
      <c r="H146" s="91">
        <f t="shared" ref="H146:AJ146" si="110">H96-H109+H118-H143+H120-H142-H144</f>
        <v>2975438420.0715351</v>
      </c>
      <c r="I146" s="91">
        <f t="shared" si="110"/>
        <v>0</v>
      </c>
      <c r="J146" s="91">
        <f t="shared" si="110"/>
        <v>0</v>
      </c>
      <c r="K146" s="91">
        <f t="shared" si="110"/>
        <v>79624711.105574101</v>
      </c>
      <c r="L146" s="91">
        <f t="shared" si="110"/>
        <v>0</v>
      </c>
      <c r="M146" s="91">
        <f t="shared" si="110"/>
        <v>0</v>
      </c>
      <c r="N146" s="91">
        <f t="shared" si="110"/>
        <v>0</v>
      </c>
      <c r="O146" s="91">
        <f t="shared" si="110"/>
        <v>853028865.43738949</v>
      </c>
      <c r="P146" s="91">
        <f t="shared" si="110"/>
        <v>0</v>
      </c>
      <c r="Q146" s="91">
        <f t="shared" si="110"/>
        <v>0</v>
      </c>
      <c r="R146" s="91">
        <f t="shared" si="110"/>
        <v>0</v>
      </c>
      <c r="S146" s="91">
        <f t="shared" si="110"/>
        <v>0</v>
      </c>
      <c r="T146" s="91">
        <f t="shared" si="110"/>
        <v>200340313.18001348</v>
      </c>
      <c r="U146" s="91">
        <f t="shared" si="110"/>
        <v>0</v>
      </c>
      <c r="V146" s="91">
        <f t="shared" si="110"/>
        <v>159803701.92078391</v>
      </c>
      <c r="W146" s="91">
        <f t="shared" si="110"/>
        <v>310404047.83882767</v>
      </c>
      <c r="X146" s="91">
        <f t="shared" si="110"/>
        <v>71898861.194295272</v>
      </c>
      <c r="Y146" s="91">
        <f t="shared" si="110"/>
        <v>145014672.9463568</v>
      </c>
      <c r="Z146" s="91">
        <f t="shared" si="110"/>
        <v>104229017.66068386</v>
      </c>
      <c r="AA146" s="91">
        <f t="shared" si="110"/>
        <v>86596282.198325098</v>
      </c>
      <c r="AB146" s="91">
        <f t="shared" si="110"/>
        <v>73005397.52075699</v>
      </c>
      <c r="AC146" s="91">
        <f t="shared" si="110"/>
        <v>45031431.200968683</v>
      </c>
      <c r="AD146" s="91">
        <f t="shared" si="110"/>
        <v>83606234.160107493</v>
      </c>
      <c r="AE146" s="91">
        <f t="shared" si="110"/>
        <v>0</v>
      </c>
      <c r="AF146" s="91">
        <f t="shared" si="110"/>
        <v>8704113.9440225586</v>
      </c>
      <c r="AG146" s="91">
        <f t="shared" si="110"/>
        <v>0</v>
      </c>
      <c r="AH146" s="91">
        <f t="shared" si="110"/>
        <v>1105952.9603598018</v>
      </c>
      <c r="AI146" s="91">
        <f t="shared" si="110"/>
        <v>0</v>
      </c>
      <c r="AJ146" s="91">
        <f t="shared" si="110"/>
        <v>0</v>
      </c>
      <c r="AK146" s="90">
        <f>SUM(H146:AJ146)</f>
        <v>5197832023.3399992</v>
      </c>
      <c r="AL146" s="87" t="str">
        <f>IF(ABS(AK146-F146)&lt;1,"ok","err")</f>
        <v>ok</v>
      </c>
      <c r="AM146" s="98">
        <f>+AK146-F146</f>
        <v>0</v>
      </c>
    </row>
    <row r="147" spans="1:39" x14ac:dyDescent="0.5">
      <c r="D147" s="348"/>
      <c r="E147" s="50"/>
      <c r="F147" s="91"/>
      <c r="Y147" s="86"/>
      <c r="AL147" s="87"/>
    </row>
    <row r="148" spans="1:39" x14ac:dyDescent="0.5">
      <c r="D148" s="348"/>
      <c r="E148" s="50"/>
      <c r="F148" s="91"/>
      <c r="Y148" s="86"/>
      <c r="AL148" s="87"/>
    </row>
    <row r="149" spans="1:39" x14ac:dyDescent="0.5">
      <c r="A149" s="22" t="s">
        <v>768</v>
      </c>
      <c r="D149" s="348"/>
      <c r="E149" s="50"/>
      <c r="Y149" s="86"/>
      <c r="AL149" s="87"/>
    </row>
    <row r="150" spans="1:39" x14ac:dyDescent="0.5">
      <c r="A150" s="22"/>
      <c r="D150" s="348"/>
      <c r="E150" s="50"/>
      <c r="Y150" s="86"/>
      <c r="AL150" s="87"/>
    </row>
    <row r="151" spans="1:39" x14ac:dyDescent="0.5">
      <c r="A151" s="23" t="s">
        <v>1495</v>
      </c>
      <c r="D151" s="348"/>
      <c r="E151" s="50"/>
      <c r="Y151" s="86"/>
      <c r="AL151" s="87"/>
    </row>
    <row r="152" spans="1:39" x14ac:dyDescent="0.5">
      <c r="A152" s="86">
        <v>500</v>
      </c>
      <c r="B152" s="86" t="s">
        <v>1487</v>
      </c>
      <c r="C152" s="86" t="s">
        <v>1488</v>
      </c>
      <c r="D152" s="348" t="s">
        <v>707</v>
      </c>
      <c r="E152" s="50"/>
      <c r="F152" s="89">
        <f>'Jurisdictional Study'!F974</f>
        <v>5418923</v>
      </c>
      <c r="H152" s="90">
        <f>IF(VLOOKUP($D152,$C$5:$AJ$596,6,)=0,0,((VLOOKUP($D152,$C$5:$AJ$596,6,)/VLOOKUP($D152,$C$5:$AJ$596,4,))*$F152))</f>
        <v>4838523.3525308147</v>
      </c>
      <c r="I152" s="90">
        <f>IF(VLOOKUP($D152,$C$5:$AJ$596,7,)=0,0,((VLOOKUP($D152,$C$5:$AJ$596,7,)/VLOOKUP($D152,$C$5:$AJ$596,4,))*$F152))</f>
        <v>0</v>
      </c>
      <c r="J152" s="90">
        <f>IF(VLOOKUP($D152,$C$5:$AJ$596,8,)=0,0,((VLOOKUP($D152,$C$5:$AJ$596,8,)/VLOOKUP($D152,$C$5:$AJ$596,4,))*$F152))</f>
        <v>0</v>
      </c>
      <c r="K152" s="90">
        <f>IF(VLOOKUP($D152,$C$5:$AJ$596,9,)=0,0,((VLOOKUP($D152,$C$5:$AJ$596,9,)/VLOOKUP($D152,$C$5:$AJ$596,4,))*$F152))</f>
        <v>580399.64746918541</v>
      </c>
      <c r="L152" s="90">
        <f>IF(VLOOKUP($D152,$C$5:$AJ$596,10,)=0,0,((VLOOKUP($D152,$C$5:$AJ$596,10,)/VLOOKUP($D152,$C$5:$AJ$596,4,))*$F152))</f>
        <v>0</v>
      </c>
      <c r="M152" s="90">
        <f>IF(VLOOKUP($D152,$C$5:$AJ$596,11,)=0,0,((VLOOKUP($D152,$C$5:$AJ$596,11,)/VLOOKUP($D152,$C$5:$AJ$596,4,))*$F152))</f>
        <v>0</v>
      </c>
      <c r="N152" s="90"/>
      <c r="O152" s="90">
        <f>IF(VLOOKUP($D152,$C$5:$AJ$596,13,)=0,0,((VLOOKUP($D152,$C$5:$AJ$596,13,)/VLOOKUP($D152,$C$5:$AJ$596,4,))*$F152))</f>
        <v>0</v>
      </c>
      <c r="P152" s="90">
        <f>IF(VLOOKUP($D152,$C$5:$AJ$596,14,)=0,0,((VLOOKUP($D152,$C$5:$AJ$596,14,)/VLOOKUP($D152,$C$5:$AJ$596,4,))*$F152))</f>
        <v>0</v>
      </c>
      <c r="Q152" s="90">
        <f>IF(VLOOKUP($D152,$C$5:$AJ$596,15,)=0,0,((VLOOKUP($D152,$C$5:$AJ$596,15,)/VLOOKUP($D152,$C$5:$AJ$596,4,))*$F152))</f>
        <v>0</v>
      </c>
      <c r="R152" s="90"/>
      <c r="S152" s="90">
        <f>IF(VLOOKUP($D152,$C$5:$AJ$596,17,)=0,0,((VLOOKUP($D152,$C$5:$AJ$596,17,)/VLOOKUP($D152,$C$5:$AJ$596,4,))*$F152))</f>
        <v>0</v>
      </c>
      <c r="T152" s="90">
        <f>IF(VLOOKUP($D152,$C$5:$AJ$596,18,)=0,0,((VLOOKUP($D152,$C$5:$AJ$596,18,)/VLOOKUP($D152,$C$5:$AJ$596,4,))*$F152))</f>
        <v>0</v>
      </c>
      <c r="U152" s="90">
        <f>IF(VLOOKUP($D152,$C$5:$AJ$596,19,)=0,0,((VLOOKUP($D152,$C$5:$AJ$596,19,)/VLOOKUP($D152,$C$5:$AJ$596,4,))*$F152))</f>
        <v>0</v>
      </c>
      <c r="V152" s="90">
        <f>IF(VLOOKUP($D152,$C$5:$AJ$596,20,)=0,0,((VLOOKUP($D152,$C$5:$AJ$596,20,)/VLOOKUP($D152,$C$5:$AJ$596,4,))*$F152))</f>
        <v>0</v>
      </c>
      <c r="W152" s="90">
        <f>IF(VLOOKUP($D152,$C$5:$AJ$596,21,)=0,0,((VLOOKUP($D152,$C$5:$AJ$596,21,)/VLOOKUP($D152,$C$5:$AJ$596,4,))*$F152))</f>
        <v>0</v>
      </c>
      <c r="X152" s="90">
        <f>IF(VLOOKUP($D152,$C$5:$AJ$596,22,)=0,0,((VLOOKUP($D152,$C$5:$AJ$596,22,)/VLOOKUP($D152,$C$5:$AJ$596,4,))*$F152))</f>
        <v>0</v>
      </c>
      <c r="Y152" s="90">
        <f>IF(VLOOKUP($D152,$C$5:$AJ$596,23,)=0,0,((VLOOKUP($D152,$C$5:$AJ$596,23,)/VLOOKUP($D152,$C$5:$AJ$596,4,))*$F152))</f>
        <v>0</v>
      </c>
      <c r="Z152" s="90">
        <f>IF(VLOOKUP($D152,$C$5:$AJ$596,24,)=0,0,((VLOOKUP($D152,$C$5:$AJ$596,24,)/VLOOKUP($D152,$C$5:$AJ$596,4,))*$F152))</f>
        <v>0</v>
      </c>
      <c r="AA152" s="90">
        <f>IF(VLOOKUP($D152,$C$5:$AJ$596,25,)=0,0,((VLOOKUP($D152,$C$5:$AJ$596,25,)/VLOOKUP($D152,$C$5:$AJ$596,4,))*$F152))</f>
        <v>0</v>
      </c>
      <c r="AB152" s="90">
        <f>IF(VLOOKUP($D152,$C$5:$AJ$596,26,)=0,0,((VLOOKUP($D152,$C$5:$AJ$596,26,)/VLOOKUP($D152,$C$5:$AJ$596,4,))*$F152))</f>
        <v>0</v>
      </c>
      <c r="AC152" s="90">
        <f>IF(VLOOKUP($D152,$C$5:$AJ$596,27,)=0,0,((VLOOKUP($D152,$C$5:$AJ$596,27,)/VLOOKUP($D152,$C$5:$AJ$596,4,))*$F152))</f>
        <v>0</v>
      </c>
      <c r="AD152" s="90">
        <f>IF(VLOOKUP($D152,$C$5:$AJ$596,28,)=0,0,((VLOOKUP($D152,$C$5:$AJ$596,28,)/VLOOKUP($D152,$C$5:$AJ$596,4,))*$F152))</f>
        <v>0</v>
      </c>
      <c r="AE152" s="90"/>
      <c r="AF152" s="90">
        <f>IF(VLOOKUP($D152,$C$5:$AJ$596,30,)=0,0,((VLOOKUP($D152,$C$5:$AJ$596,30,)/VLOOKUP($D152,$C$5:$AJ$596,4,))*$F152))</f>
        <v>0</v>
      </c>
      <c r="AG152" s="90"/>
      <c r="AH152" s="90">
        <f>IF(VLOOKUP($D152,$C$5:$AJ$596,32,)=0,0,((VLOOKUP($D152,$C$5:$AJ$596,32,)/VLOOKUP($D152,$C$5:$AJ$596,4,))*$F152))</f>
        <v>0</v>
      </c>
      <c r="AI152" s="90"/>
      <c r="AJ152" s="90">
        <f>IF(VLOOKUP($D152,$C$5:$AJ$596,34,)=0,0,((VLOOKUP($D152,$C$5:$AJ$596,34,)/VLOOKUP($D152,$C$5:$AJ$596,4,))*$F152))</f>
        <v>0</v>
      </c>
      <c r="AK152" s="90">
        <f t="shared" ref="AK152:AK157" si="111">SUM(H152:AJ152)</f>
        <v>5418923</v>
      </c>
      <c r="AL152" s="87" t="str">
        <f t="shared" ref="AL152:AL157" si="112">IF(ABS(AK152-F152)&lt;1,"ok","err")</f>
        <v>ok</v>
      </c>
    </row>
    <row r="153" spans="1:39" x14ac:dyDescent="0.5">
      <c r="A153" s="100">
        <v>501</v>
      </c>
      <c r="B153" s="86" t="s">
        <v>1489</v>
      </c>
      <c r="C153" s="86" t="s">
        <v>1490</v>
      </c>
      <c r="D153" s="348" t="s">
        <v>104</v>
      </c>
      <c r="E153" s="50"/>
      <c r="F153" s="90">
        <f>'Jurisdictional Study'!F975+22071788</f>
        <v>296477275</v>
      </c>
      <c r="H153" s="90">
        <f>IF(VLOOKUP($D153,$C$5:$AJ$596,6,)=0,0,((VLOOKUP($D153,$C$5:$AJ$596,6,)/VLOOKUP($D153,$C$5:$AJ$596,4,))*$F153))</f>
        <v>0</v>
      </c>
      <c r="I153" s="90">
        <f>IF(VLOOKUP($D153,$C$5:$AJ$596,7,)=0,0,((VLOOKUP($D153,$C$5:$AJ$596,7,)/VLOOKUP($D153,$C$5:$AJ$596,4,))*$F153))</f>
        <v>0</v>
      </c>
      <c r="J153" s="90">
        <f>IF(VLOOKUP($D153,$C$5:$AJ$596,8,)=0,0,((VLOOKUP($D153,$C$5:$AJ$596,8,)/VLOOKUP($D153,$C$5:$AJ$596,4,))*$F153))</f>
        <v>0</v>
      </c>
      <c r="K153" s="90">
        <f>IF(VLOOKUP($D153,$C$5:$AJ$596,9,)=0,0,((VLOOKUP($D153,$C$5:$AJ$596,9,)/VLOOKUP($D153,$C$5:$AJ$596,4,))*$F153))</f>
        <v>296477275</v>
      </c>
      <c r="L153" s="90">
        <f>IF(VLOOKUP($D153,$C$5:$AJ$596,10,)=0,0,((VLOOKUP($D153,$C$5:$AJ$596,10,)/VLOOKUP($D153,$C$5:$AJ$596,4,))*$F153))</f>
        <v>0</v>
      </c>
      <c r="M153" s="90">
        <f>IF(VLOOKUP($D153,$C$5:$AJ$596,11,)=0,0,((VLOOKUP($D153,$C$5:$AJ$596,11,)/VLOOKUP($D153,$C$5:$AJ$596,4,))*$F153))</f>
        <v>0</v>
      </c>
      <c r="N153" s="90"/>
      <c r="O153" s="90">
        <f>IF(VLOOKUP($D153,$C$5:$AJ$596,13,)=0,0,((VLOOKUP($D153,$C$5:$AJ$596,13,)/VLOOKUP($D153,$C$5:$AJ$596,4,))*$F153))</f>
        <v>0</v>
      </c>
      <c r="P153" s="90">
        <f>IF(VLOOKUP($D153,$C$5:$AJ$596,14,)=0,0,((VLOOKUP($D153,$C$5:$AJ$596,14,)/VLOOKUP($D153,$C$5:$AJ$596,4,))*$F153))</f>
        <v>0</v>
      </c>
      <c r="Q153" s="90">
        <f>IF(VLOOKUP($D153,$C$5:$AJ$596,15,)=0,0,((VLOOKUP($D153,$C$5:$AJ$596,15,)/VLOOKUP($D153,$C$5:$AJ$596,4,))*$F153))</f>
        <v>0</v>
      </c>
      <c r="R153" s="90"/>
      <c r="S153" s="90">
        <f>IF(VLOOKUP($D153,$C$5:$AJ$596,17,)=0,0,((VLOOKUP($D153,$C$5:$AJ$596,17,)/VLOOKUP($D153,$C$5:$AJ$596,4,))*$F153))</f>
        <v>0</v>
      </c>
      <c r="T153" s="90">
        <f>IF(VLOOKUP($D153,$C$5:$AJ$596,18,)=0,0,((VLOOKUP($D153,$C$5:$AJ$596,18,)/VLOOKUP($D153,$C$5:$AJ$596,4,))*$F153))</f>
        <v>0</v>
      </c>
      <c r="U153" s="90">
        <f>IF(VLOOKUP($D153,$C$5:$AJ$596,19,)=0,0,((VLOOKUP($D153,$C$5:$AJ$596,19,)/VLOOKUP($D153,$C$5:$AJ$596,4,))*$F153))</f>
        <v>0</v>
      </c>
      <c r="V153" s="90">
        <f>IF(VLOOKUP($D153,$C$5:$AJ$596,20,)=0,0,((VLOOKUP($D153,$C$5:$AJ$596,20,)/VLOOKUP($D153,$C$5:$AJ$596,4,))*$F153))</f>
        <v>0</v>
      </c>
      <c r="W153" s="90">
        <f>IF(VLOOKUP($D153,$C$5:$AJ$596,21,)=0,0,((VLOOKUP($D153,$C$5:$AJ$596,21,)/VLOOKUP($D153,$C$5:$AJ$596,4,))*$F153))</f>
        <v>0</v>
      </c>
      <c r="X153" s="90">
        <f>IF(VLOOKUP($D153,$C$5:$AJ$596,22,)=0,0,((VLOOKUP($D153,$C$5:$AJ$596,22,)/VLOOKUP($D153,$C$5:$AJ$596,4,))*$F153))</f>
        <v>0</v>
      </c>
      <c r="Y153" s="90">
        <f>IF(VLOOKUP($D153,$C$5:$AJ$596,23,)=0,0,((VLOOKUP($D153,$C$5:$AJ$596,23,)/VLOOKUP($D153,$C$5:$AJ$596,4,))*$F153))</f>
        <v>0</v>
      </c>
      <c r="Z153" s="90">
        <f>IF(VLOOKUP($D153,$C$5:$AJ$596,24,)=0,0,((VLOOKUP($D153,$C$5:$AJ$596,24,)/VLOOKUP($D153,$C$5:$AJ$596,4,))*$F153))</f>
        <v>0</v>
      </c>
      <c r="AA153" s="90">
        <f>IF(VLOOKUP($D153,$C$5:$AJ$596,25,)=0,0,((VLOOKUP($D153,$C$5:$AJ$596,25,)/VLOOKUP($D153,$C$5:$AJ$596,4,))*$F153))</f>
        <v>0</v>
      </c>
      <c r="AB153" s="90">
        <f>IF(VLOOKUP($D153,$C$5:$AJ$596,26,)=0,0,((VLOOKUP($D153,$C$5:$AJ$596,26,)/VLOOKUP($D153,$C$5:$AJ$596,4,))*$F153))</f>
        <v>0</v>
      </c>
      <c r="AC153" s="90">
        <f>IF(VLOOKUP($D153,$C$5:$AJ$596,27,)=0,0,((VLOOKUP($D153,$C$5:$AJ$596,27,)/VLOOKUP($D153,$C$5:$AJ$596,4,))*$F153))</f>
        <v>0</v>
      </c>
      <c r="AD153" s="90">
        <f>IF(VLOOKUP($D153,$C$5:$AJ$596,28,)=0,0,((VLOOKUP($D153,$C$5:$AJ$596,28,)/VLOOKUP($D153,$C$5:$AJ$596,4,))*$F153))</f>
        <v>0</v>
      </c>
      <c r="AE153" s="90"/>
      <c r="AF153" s="90">
        <f>IF(VLOOKUP($D153,$C$5:$AJ$596,30,)=0,0,((VLOOKUP($D153,$C$5:$AJ$596,30,)/VLOOKUP($D153,$C$5:$AJ$596,4,))*$F153))</f>
        <v>0</v>
      </c>
      <c r="AG153" s="90"/>
      <c r="AH153" s="90">
        <f>IF(VLOOKUP($D153,$C$5:$AJ$596,32,)=0,0,((VLOOKUP($D153,$C$5:$AJ$596,32,)/VLOOKUP($D153,$C$5:$AJ$596,4,))*$F153))</f>
        <v>0</v>
      </c>
      <c r="AI153" s="90"/>
      <c r="AJ153" s="90">
        <f>IF(VLOOKUP($D153,$C$5:$AJ$596,34,)=0,0,((VLOOKUP($D153,$C$5:$AJ$596,34,)/VLOOKUP($D153,$C$5:$AJ$596,4,))*$F153))</f>
        <v>0</v>
      </c>
      <c r="AK153" s="90">
        <f t="shared" si="111"/>
        <v>296477275</v>
      </c>
      <c r="AL153" s="87" t="str">
        <f t="shared" si="112"/>
        <v>ok</v>
      </c>
    </row>
    <row r="154" spans="1:39" x14ac:dyDescent="0.5">
      <c r="A154" s="86">
        <v>502</v>
      </c>
      <c r="B154" s="86" t="s">
        <v>1491</v>
      </c>
      <c r="C154" s="86" t="s">
        <v>1492</v>
      </c>
      <c r="D154" s="348"/>
      <c r="E154" s="50"/>
      <c r="F154" s="90">
        <f>'Jurisdictional Study'!F976+1367144</f>
        <v>22989772</v>
      </c>
      <c r="H154" s="90">
        <f t="shared" ref="H154:J155" si="113">H342</f>
        <v>9649494</v>
      </c>
      <c r="I154" s="90">
        <f t="shared" si="113"/>
        <v>0</v>
      </c>
      <c r="J154" s="90">
        <f t="shared" si="113"/>
        <v>0</v>
      </c>
      <c r="K154" s="90">
        <f>F154-H154-I154-J154</f>
        <v>13340278</v>
      </c>
      <c r="L154" s="90">
        <v>0</v>
      </c>
      <c r="M154" s="90">
        <v>0</v>
      </c>
      <c r="N154" s="90"/>
      <c r="O154" s="90">
        <v>0</v>
      </c>
      <c r="P154" s="90">
        <v>0</v>
      </c>
      <c r="Q154" s="90">
        <v>0</v>
      </c>
      <c r="R154" s="90"/>
      <c r="S154" s="90">
        <v>0</v>
      </c>
      <c r="T154" s="90">
        <v>0</v>
      </c>
      <c r="U154" s="90">
        <v>0</v>
      </c>
      <c r="V154" s="90">
        <v>0</v>
      </c>
      <c r="W154" s="90">
        <v>0</v>
      </c>
      <c r="X154" s="90">
        <v>0</v>
      </c>
      <c r="Y154" s="90">
        <v>0</v>
      </c>
      <c r="Z154" s="90">
        <v>0</v>
      </c>
      <c r="AA154" s="90">
        <v>0</v>
      </c>
      <c r="AB154" s="90">
        <v>0</v>
      </c>
      <c r="AC154" s="90">
        <v>0</v>
      </c>
      <c r="AD154" s="90">
        <v>0</v>
      </c>
      <c r="AE154" s="90"/>
      <c r="AF154" s="90">
        <v>0</v>
      </c>
      <c r="AG154" s="90"/>
      <c r="AH154" s="90">
        <v>0</v>
      </c>
      <c r="AI154" s="90"/>
      <c r="AJ154" s="90">
        <v>0</v>
      </c>
      <c r="AK154" s="90">
        <f t="shared" si="111"/>
        <v>22989772</v>
      </c>
      <c r="AL154" s="87" t="str">
        <f t="shared" si="112"/>
        <v>ok</v>
      </c>
    </row>
    <row r="155" spans="1:39" x14ac:dyDescent="0.5">
      <c r="A155" s="86">
        <v>505</v>
      </c>
      <c r="B155" s="86" t="s">
        <v>1493</v>
      </c>
      <c r="C155" s="86" t="s">
        <v>1494</v>
      </c>
      <c r="D155" s="348"/>
      <c r="E155" s="50"/>
      <c r="F155" s="90">
        <f>'Jurisdictional Study'!F978</f>
        <v>8130854</v>
      </c>
      <c r="H155" s="90">
        <f t="shared" si="113"/>
        <v>6673009</v>
      </c>
      <c r="I155" s="90">
        <f t="shared" si="113"/>
        <v>0</v>
      </c>
      <c r="J155" s="90">
        <f t="shared" si="113"/>
        <v>0</v>
      </c>
      <c r="K155" s="90">
        <f>F155-H155-I155-J155</f>
        <v>1457845</v>
      </c>
      <c r="L155" s="90">
        <v>0</v>
      </c>
      <c r="M155" s="90">
        <v>0</v>
      </c>
      <c r="N155" s="90"/>
      <c r="O155" s="90">
        <v>0</v>
      </c>
      <c r="P155" s="90">
        <v>0</v>
      </c>
      <c r="Q155" s="90">
        <v>0</v>
      </c>
      <c r="R155" s="90"/>
      <c r="S155" s="90">
        <v>0</v>
      </c>
      <c r="T155" s="90">
        <v>0</v>
      </c>
      <c r="U155" s="90">
        <v>0</v>
      </c>
      <c r="V155" s="90">
        <v>0</v>
      </c>
      <c r="W155" s="90">
        <v>0</v>
      </c>
      <c r="X155" s="90">
        <v>0</v>
      </c>
      <c r="Y155" s="90">
        <v>0</v>
      </c>
      <c r="Z155" s="90">
        <v>0</v>
      </c>
      <c r="AA155" s="90">
        <v>0</v>
      </c>
      <c r="AB155" s="90">
        <v>0</v>
      </c>
      <c r="AC155" s="90">
        <v>0</v>
      </c>
      <c r="AD155" s="90">
        <v>0</v>
      </c>
      <c r="AE155" s="90"/>
      <c r="AF155" s="90">
        <v>0</v>
      </c>
      <c r="AG155" s="90"/>
      <c r="AH155" s="90">
        <v>0</v>
      </c>
      <c r="AI155" s="90"/>
      <c r="AJ155" s="90">
        <v>0</v>
      </c>
      <c r="AK155" s="90">
        <f t="shared" si="111"/>
        <v>8130854</v>
      </c>
      <c r="AL155" s="87" t="str">
        <f t="shared" si="112"/>
        <v>ok</v>
      </c>
    </row>
    <row r="156" spans="1:39" x14ac:dyDescent="0.5">
      <c r="A156" s="86">
        <v>506</v>
      </c>
      <c r="B156" s="86" t="s">
        <v>1496</v>
      </c>
      <c r="C156" s="86" t="s">
        <v>1497</v>
      </c>
      <c r="D156" s="348" t="s">
        <v>709</v>
      </c>
      <c r="E156" s="50"/>
      <c r="F156" s="90">
        <f>'Jurisdictional Study'!F979</f>
        <v>25402796</v>
      </c>
      <c r="H156" s="90">
        <f>IF(VLOOKUP($D156,$C$5:$AJ$596,6,)=0,0,((VLOOKUP($D156,$C$5:$AJ$596,6,)/VLOOKUP($D156,$C$5:$AJ$596,4,))*$F156))</f>
        <v>25402796</v>
      </c>
      <c r="I156" s="90">
        <f>IF(VLOOKUP($D156,$C$5:$AJ$596,7,)=0,0,((VLOOKUP($D156,$C$5:$AJ$596,7,)/VLOOKUP($D156,$C$5:$AJ$596,4,))*$F156))</f>
        <v>0</v>
      </c>
      <c r="J156" s="90">
        <f>IF(VLOOKUP($D156,$C$5:$AJ$596,8,)=0,0,((VLOOKUP($D156,$C$5:$AJ$596,8,)/VLOOKUP($D156,$C$5:$AJ$596,4,))*$F156))</f>
        <v>0</v>
      </c>
      <c r="K156" s="90">
        <f>IF(VLOOKUP($D156,$C$5:$AJ$596,9,)=0,0,((VLOOKUP($D156,$C$5:$AJ$596,9,)/VLOOKUP($D156,$C$5:$AJ$596,4,))*$F156))</f>
        <v>0</v>
      </c>
      <c r="L156" s="90">
        <f>IF(VLOOKUP($D156,$C$5:$AJ$596,10,)=0,0,((VLOOKUP($D156,$C$5:$AJ$596,10,)/VLOOKUP($D156,$C$5:$AJ$596,4,))*$F156))</f>
        <v>0</v>
      </c>
      <c r="M156" s="90">
        <f>IF(VLOOKUP($D156,$C$5:$AJ$596,11,)=0,0,((VLOOKUP($D156,$C$5:$AJ$596,11,)/VLOOKUP($D156,$C$5:$AJ$596,4,))*$F156))</f>
        <v>0</v>
      </c>
      <c r="N156" s="90"/>
      <c r="O156" s="90">
        <f>IF(VLOOKUP($D156,$C$5:$AJ$596,13,)=0,0,((VLOOKUP($D156,$C$5:$AJ$596,13,)/VLOOKUP($D156,$C$5:$AJ$596,4,))*$F156))</f>
        <v>0</v>
      </c>
      <c r="P156" s="90">
        <f>IF(VLOOKUP($D156,$C$5:$AJ$596,14,)=0,0,((VLOOKUP($D156,$C$5:$AJ$596,14,)/VLOOKUP($D156,$C$5:$AJ$596,4,))*$F156))</f>
        <v>0</v>
      </c>
      <c r="Q156" s="90">
        <f>IF(VLOOKUP($D156,$C$5:$AJ$596,15,)=0,0,((VLOOKUP($D156,$C$5:$AJ$596,15,)/VLOOKUP($D156,$C$5:$AJ$596,4,))*$F156))</f>
        <v>0</v>
      </c>
      <c r="R156" s="90"/>
      <c r="S156" s="90">
        <f>IF(VLOOKUP($D156,$C$5:$AJ$596,17,)=0,0,((VLOOKUP($D156,$C$5:$AJ$596,17,)/VLOOKUP($D156,$C$5:$AJ$596,4,))*$F156))</f>
        <v>0</v>
      </c>
      <c r="T156" s="90">
        <f>IF(VLOOKUP($D156,$C$5:$AJ$596,18,)=0,0,((VLOOKUP($D156,$C$5:$AJ$596,18,)/VLOOKUP($D156,$C$5:$AJ$596,4,))*$F156))</f>
        <v>0</v>
      </c>
      <c r="U156" s="90">
        <f>IF(VLOOKUP($D156,$C$5:$AJ$596,19,)=0,0,((VLOOKUP($D156,$C$5:$AJ$596,19,)/VLOOKUP($D156,$C$5:$AJ$596,4,))*$F156))</f>
        <v>0</v>
      </c>
      <c r="V156" s="90">
        <f>IF(VLOOKUP($D156,$C$5:$AJ$596,20,)=0,0,((VLOOKUP($D156,$C$5:$AJ$596,20,)/VLOOKUP($D156,$C$5:$AJ$596,4,))*$F156))</f>
        <v>0</v>
      </c>
      <c r="W156" s="90">
        <f>IF(VLOOKUP($D156,$C$5:$AJ$596,21,)=0,0,((VLOOKUP($D156,$C$5:$AJ$596,21,)/VLOOKUP($D156,$C$5:$AJ$596,4,))*$F156))</f>
        <v>0</v>
      </c>
      <c r="X156" s="90">
        <f>IF(VLOOKUP($D156,$C$5:$AJ$596,22,)=0,0,((VLOOKUP($D156,$C$5:$AJ$596,22,)/VLOOKUP($D156,$C$5:$AJ$596,4,))*$F156))</f>
        <v>0</v>
      </c>
      <c r="Y156" s="90">
        <f>IF(VLOOKUP($D156,$C$5:$AJ$596,23,)=0,0,((VLOOKUP($D156,$C$5:$AJ$596,23,)/VLOOKUP($D156,$C$5:$AJ$596,4,))*$F156))</f>
        <v>0</v>
      </c>
      <c r="Z156" s="90">
        <f>IF(VLOOKUP($D156,$C$5:$AJ$596,24,)=0,0,((VLOOKUP($D156,$C$5:$AJ$596,24,)/VLOOKUP($D156,$C$5:$AJ$596,4,))*$F156))</f>
        <v>0</v>
      </c>
      <c r="AA156" s="90">
        <f>IF(VLOOKUP($D156,$C$5:$AJ$596,25,)=0,0,((VLOOKUP($D156,$C$5:$AJ$596,25,)/VLOOKUP($D156,$C$5:$AJ$596,4,))*$F156))</f>
        <v>0</v>
      </c>
      <c r="AB156" s="90">
        <f>IF(VLOOKUP($D156,$C$5:$AJ$596,26,)=0,0,((VLOOKUP($D156,$C$5:$AJ$596,26,)/VLOOKUP($D156,$C$5:$AJ$596,4,))*$F156))</f>
        <v>0</v>
      </c>
      <c r="AC156" s="90">
        <f>IF(VLOOKUP($D156,$C$5:$AJ$596,27,)=0,0,((VLOOKUP($D156,$C$5:$AJ$596,27,)/VLOOKUP($D156,$C$5:$AJ$596,4,))*$F156))</f>
        <v>0</v>
      </c>
      <c r="AD156" s="90">
        <f>IF(VLOOKUP($D156,$C$5:$AJ$596,28,)=0,0,((VLOOKUP($D156,$C$5:$AJ$596,28,)/VLOOKUP($D156,$C$5:$AJ$596,4,))*$F156))</f>
        <v>0</v>
      </c>
      <c r="AE156" s="90"/>
      <c r="AF156" s="90">
        <f>IF(VLOOKUP($D156,$C$5:$AJ$596,30,)=0,0,((VLOOKUP($D156,$C$5:$AJ$596,30,)/VLOOKUP($D156,$C$5:$AJ$596,4,))*$F156))</f>
        <v>0</v>
      </c>
      <c r="AG156" s="90"/>
      <c r="AH156" s="90">
        <f>IF(VLOOKUP($D156,$C$5:$AJ$596,32,)=0,0,((VLOOKUP($D156,$C$5:$AJ$596,32,)/VLOOKUP($D156,$C$5:$AJ$596,4,))*$F156))</f>
        <v>0</v>
      </c>
      <c r="AI156" s="90"/>
      <c r="AJ156" s="90">
        <f>IF(VLOOKUP($D156,$C$5:$AJ$596,34,)=0,0,((VLOOKUP($D156,$C$5:$AJ$596,34,)/VLOOKUP($D156,$C$5:$AJ$596,4,))*$F156))</f>
        <v>0</v>
      </c>
      <c r="AK156" s="90">
        <f t="shared" si="111"/>
        <v>25402796</v>
      </c>
      <c r="AL156" s="87" t="str">
        <f t="shared" si="112"/>
        <v>ok</v>
      </c>
    </row>
    <row r="157" spans="1:39" x14ac:dyDescent="0.5">
      <c r="A157" s="86">
        <v>507</v>
      </c>
      <c r="B157" s="86" t="s">
        <v>353</v>
      </c>
      <c r="C157" s="86" t="s">
        <v>1622</v>
      </c>
      <c r="D157" s="348" t="s">
        <v>709</v>
      </c>
      <c r="E157" s="50"/>
      <c r="F157" s="90">
        <f>'Jurisdictional Study'!F981</f>
        <v>0</v>
      </c>
      <c r="H157" s="90">
        <f>IF(VLOOKUP($D157,$C$5:$AJ$596,6,)=0,0,((VLOOKUP($D157,$C$5:$AJ$596,6,)/VLOOKUP($D157,$C$5:$AJ$596,4,))*$F157))</f>
        <v>0</v>
      </c>
      <c r="I157" s="90">
        <f>IF(VLOOKUP($D157,$C$5:$AJ$596,7,)=0,0,((VLOOKUP($D157,$C$5:$AJ$596,7,)/VLOOKUP($D157,$C$5:$AJ$596,4,))*$F157))</f>
        <v>0</v>
      </c>
      <c r="J157" s="90">
        <f>IF(VLOOKUP($D157,$C$5:$AJ$596,8,)=0,0,((VLOOKUP($D157,$C$5:$AJ$596,8,)/VLOOKUP($D157,$C$5:$AJ$596,4,))*$F157))</f>
        <v>0</v>
      </c>
      <c r="K157" s="90">
        <f>IF(VLOOKUP($D157,$C$5:$AJ$596,9,)=0,0,((VLOOKUP($D157,$C$5:$AJ$596,9,)/VLOOKUP($D157,$C$5:$AJ$596,4,))*$F157))</f>
        <v>0</v>
      </c>
      <c r="L157" s="90">
        <f>IF(VLOOKUP($D157,$C$5:$AJ$596,10,)=0,0,((VLOOKUP($D157,$C$5:$AJ$596,10,)/VLOOKUP($D157,$C$5:$AJ$596,4,))*$F157))</f>
        <v>0</v>
      </c>
      <c r="M157" s="90">
        <f>IF(VLOOKUP($D157,$C$5:$AJ$596,11,)=0,0,((VLOOKUP($D157,$C$5:$AJ$596,11,)/VLOOKUP($D157,$C$5:$AJ$596,4,))*$F157))</f>
        <v>0</v>
      </c>
      <c r="N157" s="90"/>
      <c r="O157" s="90">
        <f>IF(VLOOKUP($D157,$C$5:$AJ$596,13,)=0,0,((VLOOKUP($D157,$C$5:$AJ$596,13,)/VLOOKUP($D157,$C$5:$AJ$596,4,))*$F157))</f>
        <v>0</v>
      </c>
      <c r="P157" s="90">
        <f>IF(VLOOKUP($D157,$C$5:$AJ$596,14,)=0,0,((VLOOKUP($D157,$C$5:$AJ$596,14,)/VLOOKUP($D157,$C$5:$AJ$596,4,))*$F157))</f>
        <v>0</v>
      </c>
      <c r="Q157" s="90">
        <f>IF(VLOOKUP($D157,$C$5:$AJ$596,15,)=0,0,((VLOOKUP($D157,$C$5:$AJ$596,15,)/VLOOKUP($D157,$C$5:$AJ$596,4,))*$F157))</f>
        <v>0</v>
      </c>
      <c r="R157" s="90"/>
      <c r="S157" s="90">
        <f>IF(VLOOKUP($D157,$C$5:$AJ$596,17,)=0,0,((VLOOKUP($D157,$C$5:$AJ$596,17,)/VLOOKUP($D157,$C$5:$AJ$596,4,))*$F157))</f>
        <v>0</v>
      </c>
      <c r="T157" s="90">
        <f>IF(VLOOKUP($D157,$C$5:$AJ$596,18,)=0,0,((VLOOKUP($D157,$C$5:$AJ$596,18,)/VLOOKUP($D157,$C$5:$AJ$596,4,))*$F157))</f>
        <v>0</v>
      </c>
      <c r="U157" s="90">
        <f>IF(VLOOKUP($D157,$C$5:$AJ$596,19,)=0,0,((VLOOKUP($D157,$C$5:$AJ$596,19,)/VLOOKUP($D157,$C$5:$AJ$596,4,))*$F157))</f>
        <v>0</v>
      </c>
      <c r="V157" s="90">
        <f>IF(VLOOKUP($D157,$C$5:$AJ$596,20,)=0,0,((VLOOKUP($D157,$C$5:$AJ$596,20,)/VLOOKUP($D157,$C$5:$AJ$596,4,))*$F157))</f>
        <v>0</v>
      </c>
      <c r="W157" s="90">
        <f>IF(VLOOKUP($D157,$C$5:$AJ$596,21,)=0,0,((VLOOKUP($D157,$C$5:$AJ$596,21,)/VLOOKUP($D157,$C$5:$AJ$596,4,))*$F157))</f>
        <v>0</v>
      </c>
      <c r="X157" s="90">
        <f>IF(VLOOKUP($D157,$C$5:$AJ$596,22,)=0,0,((VLOOKUP($D157,$C$5:$AJ$596,22,)/VLOOKUP($D157,$C$5:$AJ$596,4,))*$F157))</f>
        <v>0</v>
      </c>
      <c r="Y157" s="90">
        <f>IF(VLOOKUP($D157,$C$5:$AJ$596,23,)=0,0,((VLOOKUP($D157,$C$5:$AJ$596,23,)/VLOOKUP($D157,$C$5:$AJ$596,4,))*$F157))</f>
        <v>0</v>
      </c>
      <c r="Z157" s="90">
        <f>IF(VLOOKUP($D157,$C$5:$AJ$596,24,)=0,0,((VLOOKUP($D157,$C$5:$AJ$596,24,)/VLOOKUP($D157,$C$5:$AJ$596,4,))*$F157))</f>
        <v>0</v>
      </c>
      <c r="AA157" s="90">
        <f>IF(VLOOKUP($D157,$C$5:$AJ$596,25,)=0,0,((VLOOKUP($D157,$C$5:$AJ$596,25,)/VLOOKUP($D157,$C$5:$AJ$596,4,))*$F157))</f>
        <v>0</v>
      </c>
      <c r="AB157" s="90">
        <f>IF(VLOOKUP($D157,$C$5:$AJ$596,26,)=0,0,((VLOOKUP($D157,$C$5:$AJ$596,26,)/VLOOKUP($D157,$C$5:$AJ$596,4,))*$F157))</f>
        <v>0</v>
      </c>
      <c r="AC157" s="90">
        <f>IF(VLOOKUP($D157,$C$5:$AJ$596,27,)=0,0,((VLOOKUP($D157,$C$5:$AJ$596,27,)/VLOOKUP($D157,$C$5:$AJ$596,4,))*$F157))</f>
        <v>0</v>
      </c>
      <c r="AD157" s="90">
        <f>IF(VLOOKUP($D157,$C$5:$AJ$596,28,)=0,0,((VLOOKUP($D157,$C$5:$AJ$596,28,)/VLOOKUP($D157,$C$5:$AJ$596,4,))*$F157))</f>
        <v>0</v>
      </c>
      <c r="AE157" s="90"/>
      <c r="AF157" s="90">
        <f>IF(VLOOKUP($D157,$C$5:$AJ$596,30,)=0,0,((VLOOKUP($D157,$C$5:$AJ$596,30,)/VLOOKUP($D157,$C$5:$AJ$596,4,))*$F157))</f>
        <v>0</v>
      </c>
      <c r="AG157" s="90"/>
      <c r="AH157" s="90">
        <f>IF(VLOOKUP($D157,$C$5:$AJ$596,32,)=0,0,((VLOOKUP($D157,$C$5:$AJ$596,32,)/VLOOKUP($D157,$C$5:$AJ$596,4,))*$F157))</f>
        <v>0</v>
      </c>
      <c r="AI157" s="90"/>
      <c r="AJ157" s="90">
        <f>IF(VLOOKUP($D157,$C$5:$AJ$596,34,)=0,0,((VLOOKUP($D157,$C$5:$AJ$596,34,)/VLOOKUP($D157,$C$5:$AJ$596,4,))*$F157))</f>
        <v>0</v>
      </c>
      <c r="AK157" s="90">
        <f t="shared" si="111"/>
        <v>0</v>
      </c>
      <c r="AL157" s="87" t="str">
        <f t="shared" si="112"/>
        <v>ok</v>
      </c>
    </row>
    <row r="158" spans="1:39" x14ac:dyDescent="0.5">
      <c r="A158" s="86">
        <v>509</v>
      </c>
      <c r="B158" s="86" t="s">
        <v>2220</v>
      </c>
      <c r="C158" s="86" t="s">
        <v>2219</v>
      </c>
      <c r="D158" s="348" t="s">
        <v>709</v>
      </c>
      <c r="E158" s="50"/>
      <c r="F158" s="90">
        <v>0</v>
      </c>
      <c r="H158" s="90">
        <f>IF(VLOOKUP($D158,$C$5:$AJ$596,6,)=0,0,((VLOOKUP($D158,$C$5:$AJ$596,6,)/VLOOKUP($D158,$C$5:$AJ$596,4,))*$F158))</f>
        <v>0</v>
      </c>
      <c r="I158" s="90">
        <f>IF(VLOOKUP($D158,$C$5:$AJ$596,7,)=0,0,((VLOOKUP($D158,$C$5:$AJ$596,7,)/VLOOKUP($D158,$C$5:$AJ$596,4,))*$F158))</f>
        <v>0</v>
      </c>
      <c r="J158" s="90">
        <f>IF(VLOOKUP($D158,$C$5:$AJ$596,8,)=0,0,((VLOOKUP($D158,$C$5:$AJ$596,8,)/VLOOKUP($D158,$C$5:$AJ$596,4,))*$F158))</f>
        <v>0</v>
      </c>
      <c r="K158" s="90">
        <f>IF(VLOOKUP($D158,$C$5:$AJ$596,9,)=0,0,((VLOOKUP($D158,$C$5:$AJ$596,9,)/VLOOKUP($D158,$C$5:$AJ$596,4,))*$F158))</f>
        <v>0</v>
      </c>
      <c r="L158" s="90">
        <f>IF(VLOOKUP($D158,$C$5:$AJ$596,10,)=0,0,((VLOOKUP($D158,$C$5:$AJ$596,10,)/VLOOKUP($D158,$C$5:$AJ$596,4,))*$F158))</f>
        <v>0</v>
      </c>
      <c r="M158" s="90">
        <f>IF(VLOOKUP($D158,$C$5:$AJ$596,11,)=0,0,((VLOOKUP($D158,$C$5:$AJ$596,11,)/VLOOKUP($D158,$C$5:$AJ$596,4,))*$F158))</f>
        <v>0</v>
      </c>
      <c r="N158" s="90"/>
      <c r="O158" s="90">
        <f>IF(VLOOKUP($D158,$C$5:$AJ$596,13,)=0,0,((VLOOKUP($D158,$C$5:$AJ$596,13,)/VLOOKUP($D158,$C$5:$AJ$596,4,))*$F158))</f>
        <v>0</v>
      </c>
      <c r="P158" s="90">
        <f>IF(VLOOKUP($D158,$C$5:$AJ$596,14,)=0,0,((VLOOKUP($D158,$C$5:$AJ$596,14,)/VLOOKUP($D158,$C$5:$AJ$596,4,))*$F158))</f>
        <v>0</v>
      </c>
      <c r="Q158" s="90">
        <f>IF(VLOOKUP($D158,$C$5:$AJ$596,15,)=0,0,((VLOOKUP($D158,$C$5:$AJ$596,15,)/VLOOKUP($D158,$C$5:$AJ$596,4,))*$F158))</f>
        <v>0</v>
      </c>
      <c r="R158" s="90"/>
      <c r="S158" s="90">
        <f>IF(VLOOKUP($D158,$C$5:$AJ$596,17,)=0,0,((VLOOKUP($D158,$C$5:$AJ$596,17,)/VLOOKUP($D158,$C$5:$AJ$596,4,))*$F158))</f>
        <v>0</v>
      </c>
      <c r="T158" s="90">
        <f>IF(VLOOKUP($D158,$C$5:$AJ$596,18,)=0,0,((VLOOKUP($D158,$C$5:$AJ$596,18,)/VLOOKUP($D158,$C$5:$AJ$596,4,))*$F158))</f>
        <v>0</v>
      </c>
      <c r="U158" s="90">
        <f>IF(VLOOKUP($D158,$C$5:$AJ$596,19,)=0,0,((VLOOKUP($D158,$C$5:$AJ$596,19,)/VLOOKUP($D158,$C$5:$AJ$596,4,))*$F158))</f>
        <v>0</v>
      </c>
      <c r="V158" s="90">
        <f>IF(VLOOKUP($D158,$C$5:$AJ$596,20,)=0,0,((VLOOKUP($D158,$C$5:$AJ$596,20,)/VLOOKUP($D158,$C$5:$AJ$596,4,))*$F158))</f>
        <v>0</v>
      </c>
      <c r="W158" s="90">
        <f>IF(VLOOKUP($D158,$C$5:$AJ$596,21,)=0,0,((VLOOKUP($D158,$C$5:$AJ$596,21,)/VLOOKUP($D158,$C$5:$AJ$596,4,))*$F158))</f>
        <v>0</v>
      </c>
      <c r="X158" s="90">
        <f>IF(VLOOKUP($D158,$C$5:$AJ$596,22,)=0,0,((VLOOKUP($D158,$C$5:$AJ$596,22,)/VLOOKUP($D158,$C$5:$AJ$596,4,))*$F158))</f>
        <v>0</v>
      </c>
      <c r="Y158" s="90">
        <f>IF(VLOOKUP($D158,$C$5:$AJ$596,23,)=0,0,((VLOOKUP($D158,$C$5:$AJ$596,23,)/VLOOKUP($D158,$C$5:$AJ$596,4,))*$F158))</f>
        <v>0</v>
      </c>
      <c r="Z158" s="90">
        <f>IF(VLOOKUP($D158,$C$5:$AJ$596,24,)=0,0,((VLOOKUP($D158,$C$5:$AJ$596,24,)/VLOOKUP($D158,$C$5:$AJ$596,4,))*$F158))</f>
        <v>0</v>
      </c>
      <c r="AA158" s="90">
        <f>IF(VLOOKUP($D158,$C$5:$AJ$596,25,)=0,0,((VLOOKUP($D158,$C$5:$AJ$596,25,)/VLOOKUP($D158,$C$5:$AJ$596,4,))*$F158))</f>
        <v>0</v>
      </c>
      <c r="AB158" s="90">
        <f>IF(VLOOKUP($D158,$C$5:$AJ$596,26,)=0,0,((VLOOKUP($D158,$C$5:$AJ$596,26,)/VLOOKUP($D158,$C$5:$AJ$596,4,))*$F158))</f>
        <v>0</v>
      </c>
      <c r="AC158" s="90">
        <f>IF(VLOOKUP($D158,$C$5:$AJ$596,27,)=0,0,((VLOOKUP($D158,$C$5:$AJ$596,27,)/VLOOKUP($D158,$C$5:$AJ$596,4,))*$F158))</f>
        <v>0</v>
      </c>
      <c r="AD158" s="90">
        <f>IF(VLOOKUP($D158,$C$5:$AJ$596,28,)=0,0,((VLOOKUP($D158,$C$5:$AJ$596,28,)/VLOOKUP($D158,$C$5:$AJ$596,4,))*$F158))</f>
        <v>0</v>
      </c>
      <c r="AE158" s="90"/>
      <c r="AF158" s="90">
        <f>IF(VLOOKUP($D158,$C$5:$AJ$596,30,)=0,0,((VLOOKUP($D158,$C$5:$AJ$596,30,)/VLOOKUP($D158,$C$5:$AJ$596,4,))*$F158))</f>
        <v>0</v>
      </c>
      <c r="AG158" s="90"/>
      <c r="AH158" s="90">
        <f>IF(VLOOKUP($D158,$C$5:$AJ$596,32,)=0,0,((VLOOKUP($D158,$C$5:$AJ$596,32,)/VLOOKUP($D158,$C$5:$AJ$596,4,))*$F158))</f>
        <v>0</v>
      </c>
      <c r="AI158" s="90"/>
      <c r="AJ158" s="90">
        <f>IF(VLOOKUP($D158,$C$5:$AJ$596,34,)=0,0,((VLOOKUP($D158,$C$5:$AJ$596,34,)/VLOOKUP($D158,$C$5:$AJ$596,4,))*$F158))</f>
        <v>0</v>
      </c>
      <c r="AK158" s="90">
        <f>SUM(H158:AJ158)</f>
        <v>0</v>
      </c>
      <c r="AL158" s="87" t="str">
        <f>IF(ABS(AK158-F158)&lt;1,"ok","err")</f>
        <v>ok</v>
      </c>
    </row>
    <row r="159" spans="1:39" x14ac:dyDescent="0.5">
      <c r="D159" s="348"/>
      <c r="E159" s="50"/>
      <c r="F159" s="89"/>
      <c r="Y159" s="86"/>
      <c r="AL159" s="87"/>
    </row>
    <row r="160" spans="1:39" x14ac:dyDescent="0.5">
      <c r="B160" s="86" t="s">
        <v>1498</v>
      </c>
      <c r="D160" s="348"/>
      <c r="E160" s="50"/>
      <c r="F160" s="89">
        <f>SUM(F152:F159)</f>
        <v>358419620</v>
      </c>
      <c r="H160" s="89">
        <f>SUM(H152:H159)</f>
        <v>46563822.352530815</v>
      </c>
      <c r="I160" s="89">
        <f t="shared" ref="I160:AK160" si="114">SUM(I152:I159)</f>
        <v>0</v>
      </c>
      <c r="J160" s="89">
        <f t="shared" si="114"/>
        <v>0</v>
      </c>
      <c r="K160" s="89">
        <f t="shared" si="114"/>
        <v>311855797.64746916</v>
      </c>
      <c r="L160" s="89">
        <f t="shared" si="114"/>
        <v>0</v>
      </c>
      <c r="M160" s="89">
        <f t="shared" si="114"/>
        <v>0</v>
      </c>
      <c r="O160" s="89">
        <f t="shared" si="114"/>
        <v>0</v>
      </c>
      <c r="P160" s="89">
        <f>SUM(P152:P159)</f>
        <v>0</v>
      </c>
      <c r="Q160" s="89">
        <f>SUM(Q152:Q159)</f>
        <v>0</v>
      </c>
      <c r="S160" s="89">
        <f t="shared" si="114"/>
        <v>0</v>
      </c>
      <c r="T160" s="89">
        <f t="shared" si="114"/>
        <v>0</v>
      </c>
      <c r="U160" s="89">
        <f t="shared" si="114"/>
        <v>0</v>
      </c>
      <c r="V160" s="89">
        <f t="shared" si="114"/>
        <v>0</v>
      </c>
      <c r="W160" s="89">
        <f>SUM(W152:W159)</f>
        <v>0</v>
      </c>
      <c r="X160" s="89">
        <f>SUM(X152:X159)</f>
        <v>0</v>
      </c>
      <c r="Y160" s="89">
        <f>SUM(Y152:Y159)</f>
        <v>0</v>
      </c>
      <c r="Z160" s="89">
        <f t="shared" si="114"/>
        <v>0</v>
      </c>
      <c r="AA160" s="89">
        <f t="shared" si="114"/>
        <v>0</v>
      </c>
      <c r="AB160" s="89">
        <f>SUM(AB152:AB159)</f>
        <v>0</v>
      </c>
      <c r="AC160" s="89">
        <f>SUM(AC152:AC159)</f>
        <v>0</v>
      </c>
      <c r="AD160" s="89">
        <f t="shared" si="114"/>
        <v>0</v>
      </c>
      <c r="AF160" s="89">
        <f t="shared" si="114"/>
        <v>0</v>
      </c>
      <c r="AH160" s="89">
        <f t="shared" si="114"/>
        <v>0</v>
      </c>
      <c r="AJ160" s="89">
        <f t="shared" si="114"/>
        <v>0</v>
      </c>
      <c r="AK160" s="89">
        <f t="shared" si="114"/>
        <v>358419620</v>
      </c>
      <c r="AL160" s="87" t="str">
        <f>IF(ABS(AK160-F160)&lt;1,"ok","err")</f>
        <v>ok</v>
      </c>
    </row>
    <row r="161" spans="1:38" x14ac:dyDescent="0.5">
      <c r="D161" s="348"/>
      <c r="E161" s="50"/>
      <c r="F161" s="89"/>
      <c r="Y161" s="86"/>
      <c r="AL161" s="87"/>
    </row>
    <row r="162" spans="1:38" x14ac:dyDescent="0.5">
      <c r="A162" s="23" t="s">
        <v>1499</v>
      </c>
      <c r="D162" s="348"/>
      <c r="E162" s="50"/>
      <c r="F162" s="89"/>
      <c r="Y162" s="86"/>
      <c r="AL162" s="87"/>
    </row>
    <row r="163" spans="1:38" x14ac:dyDescent="0.5">
      <c r="A163" s="86">
        <v>510</v>
      </c>
      <c r="B163" s="86" t="s">
        <v>560</v>
      </c>
      <c r="C163" s="86" t="s">
        <v>1500</v>
      </c>
      <c r="D163" s="348" t="s">
        <v>1003</v>
      </c>
      <c r="E163" s="50"/>
      <c r="F163" s="89">
        <f>'Jurisdictional Study'!F983</f>
        <v>12501304</v>
      </c>
      <c r="H163" s="90">
        <f>IF(VLOOKUP($D163,$C$5:$AJ$596,6,)=0,0,((VLOOKUP($D163,$C$5:$AJ$596,6,)/VLOOKUP($D163,$C$5:$AJ$596,4,))*$F163))</f>
        <v>1358608.40166877</v>
      </c>
      <c r="I163" s="90">
        <f>IF(VLOOKUP($D163,$C$5:$AJ$596,7,)=0,0,((VLOOKUP($D163,$C$5:$AJ$596,7,)/VLOOKUP($D163,$C$5:$AJ$596,4,))*$F163))</f>
        <v>0</v>
      </c>
      <c r="J163" s="90">
        <f>IF(VLOOKUP($D163,$C$5:$AJ$596,8,)=0,0,((VLOOKUP($D163,$C$5:$AJ$596,8,)/VLOOKUP($D163,$C$5:$AJ$596,4,))*$F163))</f>
        <v>0</v>
      </c>
      <c r="K163" s="90">
        <f>IF(VLOOKUP($D163,$C$5:$AJ$596,9,)=0,0,((VLOOKUP($D163,$C$5:$AJ$596,9,)/VLOOKUP($D163,$C$5:$AJ$596,4,))*$F163))</f>
        <v>11142695.59833123</v>
      </c>
      <c r="L163" s="90">
        <f>IF(VLOOKUP($D163,$C$5:$AJ$596,10,)=0,0,((VLOOKUP($D163,$C$5:$AJ$596,10,)/VLOOKUP($D163,$C$5:$AJ$596,4,))*$F163))</f>
        <v>0</v>
      </c>
      <c r="M163" s="90">
        <f>IF(VLOOKUP($D163,$C$5:$AJ$596,11,)=0,0,((VLOOKUP($D163,$C$5:$AJ$596,11,)/VLOOKUP($D163,$C$5:$AJ$596,4,))*$F163))</f>
        <v>0</v>
      </c>
      <c r="N163" s="90"/>
      <c r="O163" s="90">
        <f>IF(VLOOKUP($D163,$C$5:$AJ$596,13,)=0,0,((VLOOKUP($D163,$C$5:$AJ$596,13,)/VLOOKUP($D163,$C$5:$AJ$596,4,))*$F163))</f>
        <v>0</v>
      </c>
      <c r="P163" s="90">
        <f>IF(VLOOKUP($D163,$C$5:$AJ$596,14,)=0,0,((VLOOKUP($D163,$C$5:$AJ$596,14,)/VLOOKUP($D163,$C$5:$AJ$596,4,))*$F163))</f>
        <v>0</v>
      </c>
      <c r="Q163" s="90">
        <f>IF(VLOOKUP($D163,$C$5:$AJ$596,15,)=0,0,((VLOOKUP($D163,$C$5:$AJ$596,15,)/VLOOKUP($D163,$C$5:$AJ$596,4,))*$F163))</f>
        <v>0</v>
      </c>
      <c r="R163" s="90"/>
      <c r="S163" s="90">
        <f>IF(VLOOKUP($D163,$C$5:$AJ$596,17,)=0,0,((VLOOKUP($D163,$C$5:$AJ$596,17,)/VLOOKUP($D163,$C$5:$AJ$596,4,))*$F163))</f>
        <v>0</v>
      </c>
      <c r="T163" s="90">
        <f>IF(VLOOKUP($D163,$C$5:$AJ$596,18,)=0,0,((VLOOKUP($D163,$C$5:$AJ$596,18,)/VLOOKUP($D163,$C$5:$AJ$596,4,))*$F163))</f>
        <v>0</v>
      </c>
      <c r="U163" s="90">
        <f>IF(VLOOKUP($D163,$C$5:$AJ$596,19,)=0,0,((VLOOKUP($D163,$C$5:$AJ$596,19,)/VLOOKUP($D163,$C$5:$AJ$596,4,))*$F163))</f>
        <v>0</v>
      </c>
      <c r="V163" s="90">
        <f>IF(VLOOKUP($D163,$C$5:$AJ$596,20,)=0,0,((VLOOKUP($D163,$C$5:$AJ$596,20,)/VLOOKUP($D163,$C$5:$AJ$596,4,))*$F163))</f>
        <v>0</v>
      </c>
      <c r="W163" s="90">
        <f>IF(VLOOKUP($D163,$C$5:$AJ$596,21,)=0,0,((VLOOKUP($D163,$C$5:$AJ$596,21,)/VLOOKUP($D163,$C$5:$AJ$596,4,))*$F163))</f>
        <v>0</v>
      </c>
      <c r="X163" s="90">
        <f>IF(VLOOKUP($D163,$C$5:$AJ$596,22,)=0,0,((VLOOKUP($D163,$C$5:$AJ$596,22,)/VLOOKUP($D163,$C$5:$AJ$596,4,))*$F163))</f>
        <v>0</v>
      </c>
      <c r="Y163" s="90">
        <f>IF(VLOOKUP($D163,$C$5:$AJ$596,23,)=0,0,((VLOOKUP($D163,$C$5:$AJ$596,23,)/VLOOKUP($D163,$C$5:$AJ$596,4,))*$F163))</f>
        <v>0</v>
      </c>
      <c r="Z163" s="90">
        <f>IF(VLOOKUP($D163,$C$5:$AJ$596,24,)=0,0,((VLOOKUP($D163,$C$5:$AJ$596,24,)/VLOOKUP($D163,$C$5:$AJ$596,4,))*$F163))</f>
        <v>0</v>
      </c>
      <c r="AA163" s="90">
        <f>IF(VLOOKUP($D163,$C$5:$AJ$596,25,)=0,0,((VLOOKUP($D163,$C$5:$AJ$596,25,)/VLOOKUP($D163,$C$5:$AJ$596,4,))*$F163))</f>
        <v>0</v>
      </c>
      <c r="AB163" s="90">
        <f>IF(VLOOKUP($D163,$C$5:$AJ$596,26,)=0,0,((VLOOKUP($D163,$C$5:$AJ$596,26,)/VLOOKUP($D163,$C$5:$AJ$596,4,))*$F163))</f>
        <v>0</v>
      </c>
      <c r="AC163" s="90">
        <f>IF(VLOOKUP($D163,$C$5:$AJ$596,27,)=0,0,((VLOOKUP($D163,$C$5:$AJ$596,27,)/VLOOKUP($D163,$C$5:$AJ$596,4,))*$F163))</f>
        <v>0</v>
      </c>
      <c r="AD163" s="90">
        <f>IF(VLOOKUP($D163,$C$5:$AJ$596,28,)=0,0,((VLOOKUP($D163,$C$5:$AJ$596,28,)/VLOOKUP($D163,$C$5:$AJ$596,4,))*$F163))</f>
        <v>0</v>
      </c>
      <c r="AE163" s="90"/>
      <c r="AF163" s="90">
        <f>IF(VLOOKUP($D163,$C$5:$AJ$596,30,)=0,0,((VLOOKUP($D163,$C$5:$AJ$596,30,)/VLOOKUP($D163,$C$5:$AJ$596,4,))*$F163))</f>
        <v>0</v>
      </c>
      <c r="AG163" s="90"/>
      <c r="AH163" s="90">
        <f>IF(VLOOKUP($D163,$C$5:$AJ$596,32,)=0,0,((VLOOKUP($D163,$C$5:$AJ$596,32,)/VLOOKUP($D163,$C$5:$AJ$596,4,))*$F163))</f>
        <v>0</v>
      </c>
      <c r="AI163" s="90"/>
      <c r="AJ163" s="90">
        <f>IF(VLOOKUP($D163,$C$5:$AJ$596,34,)=0,0,((VLOOKUP($D163,$C$5:$AJ$596,34,)/VLOOKUP($D163,$C$5:$AJ$596,4,))*$F163))</f>
        <v>0</v>
      </c>
      <c r="AK163" s="90">
        <f>SUM(H163:AJ163)</f>
        <v>12501304</v>
      </c>
      <c r="AL163" s="87" t="str">
        <f>IF(ABS(AK163-F163)&lt;1,"ok","err")</f>
        <v>ok</v>
      </c>
    </row>
    <row r="164" spans="1:38" x14ac:dyDescent="0.5">
      <c r="A164" s="86">
        <v>511</v>
      </c>
      <c r="B164" s="86" t="s">
        <v>559</v>
      </c>
      <c r="C164" s="86" t="s">
        <v>1501</v>
      </c>
      <c r="D164" s="348" t="s">
        <v>709</v>
      </c>
      <c r="E164" s="50"/>
      <c r="F164" s="90">
        <f>'Jurisdictional Study'!F984</f>
        <v>10051562</v>
      </c>
      <c r="H164" s="90">
        <f>IF(VLOOKUP($D164,$C$5:$AJ$596,6,)=0,0,((VLOOKUP($D164,$C$5:$AJ$596,6,)/VLOOKUP($D164,$C$5:$AJ$596,4,))*$F164))</f>
        <v>10051562</v>
      </c>
      <c r="I164" s="90">
        <f>IF(VLOOKUP($D164,$C$5:$AJ$596,7,)=0,0,((VLOOKUP($D164,$C$5:$AJ$596,7,)/VLOOKUP($D164,$C$5:$AJ$596,4,))*$F164))</f>
        <v>0</v>
      </c>
      <c r="J164" s="90">
        <f>IF(VLOOKUP($D164,$C$5:$AJ$596,8,)=0,0,((VLOOKUP($D164,$C$5:$AJ$596,8,)/VLOOKUP($D164,$C$5:$AJ$596,4,))*$F164))</f>
        <v>0</v>
      </c>
      <c r="K164" s="90">
        <f>IF(VLOOKUP($D164,$C$5:$AJ$596,9,)=0,0,((VLOOKUP($D164,$C$5:$AJ$596,9,)/VLOOKUP($D164,$C$5:$AJ$596,4,))*$F164))</f>
        <v>0</v>
      </c>
      <c r="L164" s="90">
        <f>IF(VLOOKUP($D164,$C$5:$AJ$596,10,)=0,0,((VLOOKUP($D164,$C$5:$AJ$596,10,)/VLOOKUP($D164,$C$5:$AJ$596,4,))*$F164))</f>
        <v>0</v>
      </c>
      <c r="M164" s="90">
        <f>IF(VLOOKUP($D164,$C$5:$AJ$596,11,)=0,0,((VLOOKUP($D164,$C$5:$AJ$596,11,)/VLOOKUP($D164,$C$5:$AJ$596,4,))*$F164))</f>
        <v>0</v>
      </c>
      <c r="N164" s="90"/>
      <c r="O164" s="90">
        <f>IF(VLOOKUP($D164,$C$5:$AJ$596,13,)=0,0,((VLOOKUP($D164,$C$5:$AJ$596,13,)/VLOOKUP($D164,$C$5:$AJ$596,4,))*$F164))</f>
        <v>0</v>
      </c>
      <c r="P164" s="90">
        <f>IF(VLOOKUP($D164,$C$5:$AJ$596,14,)=0,0,((VLOOKUP($D164,$C$5:$AJ$596,14,)/VLOOKUP($D164,$C$5:$AJ$596,4,))*$F164))</f>
        <v>0</v>
      </c>
      <c r="Q164" s="90">
        <f>IF(VLOOKUP($D164,$C$5:$AJ$596,15,)=0,0,((VLOOKUP($D164,$C$5:$AJ$596,15,)/VLOOKUP($D164,$C$5:$AJ$596,4,))*$F164))</f>
        <v>0</v>
      </c>
      <c r="R164" s="90"/>
      <c r="S164" s="90">
        <f>IF(VLOOKUP($D164,$C$5:$AJ$596,17,)=0,0,((VLOOKUP($D164,$C$5:$AJ$596,17,)/VLOOKUP($D164,$C$5:$AJ$596,4,))*$F164))</f>
        <v>0</v>
      </c>
      <c r="T164" s="90">
        <f>IF(VLOOKUP($D164,$C$5:$AJ$596,18,)=0,0,((VLOOKUP($D164,$C$5:$AJ$596,18,)/VLOOKUP($D164,$C$5:$AJ$596,4,))*$F164))</f>
        <v>0</v>
      </c>
      <c r="U164" s="90">
        <f>IF(VLOOKUP($D164,$C$5:$AJ$596,19,)=0,0,((VLOOKUP($D164,$C$5:$AJ$596,19,)/VLOOKUP($D164,$C$5:$AJ$596,4,))*$F164))</f>
        <v>0</v>
      </c>
      <c r="V164" s="90">
        <f>IF(VLOOKUP($D164,$C$5:$AJ$596,20,)=0,0,((VLOOKUP($D164,$C$5:$AJ$596,20,)/VLOOKUP($D164,$C$5:$AJ$596,4,))*$F164))</f>
        <v>0</v>
      </c>
      <c r="W164" s="90">
        <f>IF(VLOOKUP($D164,$C$5:$AJ$596,21,)=0,0,((VLOOKUP($D164,$C$5:$AJ$596,21,)/VLOOKUP($D164,$C$5:$AJ$596,4,))*$F164))</f>
        <v>0</v>
      </c>
      <c r="X164" s="90">
        <f>IF(VLOOKUP($D164,$C$5:$AJ$596,22,)=0,0,((VLOOKUP($D164,$C$5:$AJ$596,22,)/VLOOKUP($D164,$C$5:$AJ$596,4,))*$F164))</f>
        <v>0</v>
      </c>
      <c r="Y164" s="90">
        <f>IF(VLOOKUP($D164,$C$5:$AJ$596,23,)=0,0,((VLOOKUP($D164,$C$5:$AJ$596,23,)/VLOOKUP($D164,$C$5:$AJ$596,4,))*$F164))</f>
        <v>0</v>
      </c>
      <c r="Z164" s="90">
        <f>IF(VLOOKUP($D164,$C$5:$AJ$596,24,)=0,0,((VLOOKUP($D164,$C$5:$AJ$596,24,)/VLOOKUP($D164,$C$5:$AJ$596,4,))*$F164))</f>
        <v>0</v>
      </c>
      <c r="AA164" s="90">
        <f>IF(VLOOKUP($D164,$C$5:$AJ$596,25,)=0,0,((VLOOKUP($D164,$C$5:$AJ$596,25,)/VLOOKUP($D164,$C$5:$AJ$596,4,))*$F164))</f>
        <v>0</v>
      </c>
      <c r="AB164" s="90">
        <f>IF(VLOOKUP($D164,$C$5:$AJ$596,26,)=0,0,((VLOOKUP($D164,$C$5:$AJ$596,26,)/VLOOKUP($D164,$C$5:$AJ$596,4,))*$F164))</f>
        <v>0</v>
      </c>
      <c r="AC164" s="90">
        <f>IF(VLOOKUP($D164,$C$5:$AJ$596,27,)=0,0,((VLOOKUP($D164,$C$5:$AJ$596,27,)/VLOOKUP($D164,$C$5:$AJ$596,4,))*$F164))</f>
        <v>0</v>
      </c>
      <c r="AD164" s="90">
        <f>IF(VLOOKUP($D164,$C$5:$AJ$596,28,)=0,0,((VLOOKUP($D164,$C$5:$AJ$596,28,)/VLOOKUP($D164,$C$5:$AJ$596,4,))*$F164))</f>
        <v>0</v>
      </c>
      <c r="AE164" s="90"/>
      <c r="AF164" s="90">
        <f>IF(VLOOKUP($D164,$C$5:$AJ$596,30,)=0,0,((VLOOKUP($D164,$C$5:$AJ$596,30,)/VLOOKUP($D164,$C$5:$AJ$596,4,))*$F164))</f>
        <v>0</v>
      </c>
      <c r="AG164" s="90"/>
      <c r="AH164" s="90">
        <f>IF(VLOOKUP($D164,$C$5:$AJ$596,32,)=0,0,((VLOOKUP($D164,$C$5:$AJ$596,32,)/VLOOKUP($D164,$C$5:$AJ$596,4,))*$F164))</f>
        <v>0</v>
      </c>
      <c r="AI164" s="90"/>
      <c r="AJ164" s="90">
        <f>IF(VLOOKUP($D164,$C$5:$AJ$596,34,)=0,0,((VLOOKUP($D164,$C$5:$AJ$596,34,)/VLOOKUP($D164,$C$5:$AJ$596,4,))*$F164))</f>
        <v>0</v>
      </c>
      <c r="AK164" s="90">
        <f>SUM(H164:AJ164)</f>
        <v>10051562</v>
      </c>
      <c r="AL164" s="87" t="str">
        <f>IF(ABS(AK164-F164)&lt;1,"ok","err")</f>
        <v>ok</v>
      </c>
    </row>
    <row r="165" spans="1:38" x14ac:dyDescent="0.5">
      <c r="A165" s="86">
        <v>512</v>
      </c>
      <c r="B165" s="86" t="s">
        <v>1502</v>
      </c>
      <c r="C165" s="86" t="s">
        <v>1504</v>
      </c>
      <c r="D165" s="348" t="s">
        <v>104</v>
      </c>
      <c r="E165" s="50"/>
      <c r="F165" s="90">
        <f>'Jurisdictional Study'!F985-877673</f>
        <v>48391532</v>
      </c>
      <c r="H165" s="90">
        <f>IF(VLOOKUP($D165,$C$5:$AJ$596,6,)=0,0,((VLOOKUP($D165,$C$5:$AJ$596,6,)/VLOOKUP($D165,$C$5:$AJ$596,4,))*$F165))</f>
        <v>0</v>
      </c>
      <c r="I165" s="90">
        <f>IF(VLOOKUP($D165,$C$5:$AJ$596,7,)=0,0,((VLOOKUP($D165,$C$5:$AJ$596,7,)/VLOOKUP($D165,$C$5:$AJ$596,4,))*$F165))</f>
        <v>0</v>
      </c>
      <c r="J165" s="90">
        <f>IF(VLOOKUP($D165,$C$5:$AJ$596,8,)=0,0,((VLOOKUP($D165,$C$5:$AJ$596,8,)/VLOOKUP($D165,$C$5:$AJ$596,4,))*$F165))</f>
        <v>0</v>
      </c>
      <c r="K165" s="90">
        <f>IF(VLOOKUP($D165,$C$5:$AJ$596,9,)=0,0,((VLOOKUP($D165,$C$5:$AJ$596,9,)/VLOOKUP($D165,$C$5:$AJ$596,4,))*$F165))</f>
        <v>48391532</v>
      </c>
      <c r="L165" s="90">
        <f>IF(VLOOKUP($D165,$C$5:$AJ$596,10,)=0,0,((VLOOKUP($D165,$C$5:$AJ$596,10,)/VLOOKUP($D165,$C$5:$AJ$596,4,))*$F165))</f>
        <v>0</v>
      </c>
      <c r="M165" s="90">
        <f>IF(VLOOKUP($D165,$C$5:$AJ$596,11,)=0,0,((VLOOKUP($D165,$C$5:$AJ$596,11,)/VLOOKUP($D165,$C$5:$AJ$596,4,))*$F165))</f>
        <v>0</v>
      </c>
      <c r="N165" s="90"/>
      <c r="O165" s="90">
        <f>IF(VLOOKUP($D165,$C$5:$AJ$596,13,)=0,0,((VLOOKUP($D165,$C$5:$AJ$596,13,)/VLOOKUP($D165,$C$5:$AJ$596,4,))*$F165))</f>
        <v>0</v>
      </c>
      <c r="P165" s="90">
        <f>IF(VLOOKUP($D165,$C$5:$AJ$596,14,)=0,0,((VLOOKUP($D165,$C$5:$AJ$596,14,)/VLOOKUP($D165,$C$5:$AJ$596,4,))*$F165))</f>
        <v>0</v>
      </c>
      <c r="Q165" s="90">
        <f>IF(VLOOKUP($D165,$C$5:$AJ$596,15,)=0,0,((VLOOKUP($D165,$C$5:$AJ$596,15,)/VLOOKUP($D165,$C$5:$AJ$596,4,))*$F165))</f>
        <v>0</v>
      </c>
      <c r="R165" s="90"/>
      <c r="S165" s="90">
        <f>IF(VLOOKUP($D165,$C$5:$AJ$596,17,)=0,0,((VLOOKUP($D165,$C$5:$AJ$596,17,)/VLOOKUP($D165,$C$5:$AJ$596,4,))*$F165))</f>
        <v>0</v>
      </c>
      <c r="T165" s="90">
        <f>IF(VLOOKUP($D165,$C$5:$AJ$596,18,)=0,0,((VLOOKUP($D165,$C$5:$AJ$596,18,)/VLOOKUP($D165,$C$5:$AJ$596,4,))*$F165))</f>
        <v>0</v>
      </c>
      <c r="U165" s="90">
        <f>IF(VLOOKUP($D165,$C$5:$AJ$596,19,)=0,0,((VLOOKUP($D165,$C$5:$AJ$596,19,)/VLOOKUP($D165,$C$5:$AJ$596,4,))*$F165))</f>
        <v>0</v>
      </c>
      <c r="V165" s="90">
        <f>IF(VLOOKUP($D165,$C$5:$AJ$596,20,)=0,0,((VLOOKUP($D165,$C$5:$AJ$596,20,)/VLOOKUP($D165,$C$5:$AJ$596,4,))*$F165))</f>
        <v>0</v>
      </c>
      <c r="W165" s="90">
        <f>IF(VLOOKUP($D165,$C$5:$AJ$596,21,)=0,0,((VLOOKUP($D165,$C$5:$AJ$596,21,)/VLOOKUP($D165,$C$5:$AJ$596,4,))*$F165))</f>
        <v>0</v>
      </c>
      <c r="X165" s="90">
        <f>IF(VLOOKUP($D165,$C$5:$AJ$596,22,)=0,0,((VLOOKUP($D165,$C$5:$AJ$596,22,)/VLOOKUP($D165,$C$5:$AJ$596,4,))*$F165))</f>
        <v>0</v>
      </c>
      <c r="Y165" s="90">
        <f>IF(VLOOKUP($D165,$C$5:$AJ$596,23,)=0,0,((VLOOKUP($D165,$C$5:$AJ$596,23,)/VLOOKUP($D165,$C$5:$AJ$596,4,))*$F165))</f>
        <v>0</v>
      </c>
      <c r="Z165" s="90">
        <f>IF(VLOOKUP($D165,$C$5:$AJ$596,24,)=0,0,((VLOOKUP($D165,$C$5:$AJ$596,24,)/VLOOKUP($D165,$C$5:$AJ$596,4,))*$F165))</f>
        <v>0</v>
      </c>
      <c r="AA165" s="90">
        <f>IF(VLOOKUP($D165,$C$5:$AJ$596,25,)=0,0,((VLOOKUP($D165,$C$5:$AJ$596,25,)/VLOOKUP($D165,$C$5:$AJ$596,4,))*$F165))</f>
        <v>0</v>
      </c>
      <c r="AB165" s="90">
        <f>IF(VLOOKUP($D165,$C$5:$AJ$596,26,)=0,0,((VLOOKUP($D165,$C$5:$AJ$596,26,)/VLOOKUP($D165,$C$5:$AJ$596,4,))*$F165))</f>
        <v>0</v>
      </c>
      <c r="AC165" s="90">
        <f>IF(VLOOKUP($D165,$C$5:$AJ$596,27,)=0,0,((VLOOKUP($D165,$C$5:$AJ$596,27,)/VLOOKUP($D165,$C$5:$AJ$596,4,))*$F165))</f>
        <v>0</v>
      </c>
      <c r="AD165" s="90">
        <f>IF(VLOOKUP($D165,$C$5:$AJ$596,28,)=0,0,((VLOOKUP($D165,$C$5:$AJ$596,28,)/VLOOKUP($D165,$C$5:$AJ$596,4,))*$F165))</f>
        <v>0</v>
      </c>
      <c r="AE165" s="90"/>
      <c r="AF165" s="90">
        <f>IF(VLOOKUP($D165,$C$5:$AJ$596,30,)=0,0,((VLOOKUP($D165,$C$5:$AJ$596,30,)/VLOOKUP($D165,$C$5:$AJ$596,4,))*$F165))</f>
        <v>0</v>
      </c>
      <c r="AG165" s="90"/>
      <c r="AH165" s="90">
        <f>IF(VLOOKUP($D165,$C$5:$AJ$596,32,)=0,0,((VLOOKUP($D165,$C$5:$AJ$596,32,)/VLOOKUP($D165,$C$5:$AJ$596,4,))*$F165))</f>
        <v>0</v>
      </c>
      <c r="AI165" s="90"/>
      <c r="AJ165" s="90">
        <f>IF(VLOOKUP($D165,$C$5:$AJ$596,34,)=0,0,((VLOOKUP($D165,$C$5:$AJ$596,34,)/VLOOKUP($D165,$C$5:$AJ$596,4,))*$F165))</f>
        <v>0</v>
      </c>
      <c r="AK165" s="90">
        <f>SUM(H165:AJ165)</f>
        <v>48391532</v>
      </c>
      <c r="AL165" s="87" t="str">
        <f>IF(ABS(AK165-F165)&lt;1,"ok","err")</f>
        <v>ok</v>
      </c>
    </row>
    <row r="166" spans="1:38" x14ac:dyDescent="0.5">
      <c r="A166" s="86">
        <v>513</v>
      </c>
      <c r="B166" s="86" t="s">
        <v>1503</v>
      </c>
      <c r="C166" s="86" t="s">
        <v>1505</v>
      </c>
      <c r="D166" s="45" t="s">
        <v>104</v>
      </c>
      <c r="E166" s="45"/>
      <c r="F166" s="90">
        <f>'Jurisdictional Study'!F986</f>
        <v>12209687</v>
      </c>
      <c r="H166" s="90">
        <f>IF(VLOOKUP($D166,$C$5:$AJ$596,6,)=0,0,((VLOOKUP($D166,$C$5:$AJ$596,6,)/VLOOKUP($D166,$C$5:$AJ$596,4,))*$F166))</f>
        <v>0</v>
      </c>
      <c r="I166" s="90">
        <f>IF(VLOOKUP($D166,$C$5:$AJ$596,7,)=0,0,((VLOOKUP($D166,$C$5:$AJ$596,7,)/VLOOKUP($D166,$C$5:$AJ$596,4,))*$F166))</f>
        <v>0</v>
      </c>
      <c r="J166" s="90">
        <f>IF(VLOOKUP($D166,$C$5:$AJ$596,8,)=0,0,((VLOOKUP($D166,$C$5:$AJ$596,8,)/VLOOKUP($D166,$C$5:$AJ$596,4,))*$F166))</f>
        <v>0</v>
      </c>
      <c r="K166" s="90">
        <f>IF(VLOOKUP($D166,$C$5:$AJ$596,9,)=0,0,((VLOOKUP($D166,$C$5:$AJ$596,9,)/VLOOKUP($D166,$C$5:$AJ$596,4,))*$F166))</f>
        <v>12209687</v>
      </c>
      <c r="L166" s="90">
        <f>IF(VLOOKUP($D166,$C$5:$AJ$596,10,)=0,0,((VLOOKUP($D166,$C$5:$AJ$596,10,)/VLOOKUP($D166,$C$5:$AJ$596,4,))*$F166))</f>
        <v>0</v>
      </c>
      <c r="M166" s="90">
        <f>IF(VLOOKUP($D166,$C$5:$AJ$596,11,)=0,0,((VLOOKUP($D166,$C$5:$AJ$596,11,)/VLOOKUP($D166,$C$5:$AJ$596,4,))*$F166))</f>
        <v>0</v>
      </c>
      <c r="N166" s="90"/>
      <c r="O166" s="90">
        <f>IF(VLOOKUP($D166,$C$5:$AJ$596,13,)=0,0,((VLOOKUP($D166,$C$5:$AJ$596,13,)/VLOOKUP($D166,$C$5:$AJ$596,4,))*$F166))</f>
        <v>0</v>
      </c>
      <c r="P166" s="90">
        <f>IF(VLOOKUP($D166,$C$5:$AJ$596,14,)=0,0,((VLOOKUP($D166,$C$5:$AJ$596,14,)/VLOOKUP($D166,$C$5:$AJ$596,4,))*$F166))</f>
        <v>0</v>
      </c>
      <c r="Q166" s="90">
        <f>IF(VLOOKUP($D166,$C$5:$AJ$596,15,)=0,0,((VLOOKUP($D166,$C$5:$AJ$596,15,)/VLOOKUP($D166,$C$5:$AJ$596,4,))*$F166))</f>
        <v>0</v>
      </c>
      <c r="R166" s="90"/>
      <c r="S166" s="90">
        <f>IF(VLOOKUP($D166,$C$5:$AJ$596,17,)=0,0,((VLOOKUP($D166,$C$5:$AJ$596,17,)/VLOOKUP($D166,$C$5:$AJ$596,4,))*$F166))</f>
        <v>0</v>
      </c>
      <c r="T166" s="90">
        <f>IF(VLOOKUP($D166,$C$5:$AJ$596,18,)=0,0,((VLOOKUP($D166,$C$5:$AJ$596,18,)/VLOOKUP($D166,$C$5:$AJ$596,4,))*$F166))</f>
        <v>0</v>
      </c>
      <c r="U166" s="90">
        <f>IF(VLOOKUP($D166,$C$5:$AJ$596,19,)=0,0,((VLOOKUP($D166,$C$5:$AJ$596,19,)/VLOOKUP($D166,$C$5:$AJ$596,4,))*$F166))</f>
        <v>0</v>
      </c>
      <c r="V166" s="90">
        <f>IF(VLOOKUP($D166,$C$5:$AJ$596,20,)=0,0,((VLOOKUP($D166,$C$5:$AJ$596,20,)/VLOOKUP($D166,$C$5:$AJ$596,4,))*$F166))</f>
        <v>0</v>
      </c>
      <c r="W166" s="90">
        <f>IF(VLOOKUP($D166,$C$5:$AJ$596,21,)=0,0,((VLOOKUP($D166,$C$5:$AJ$596,21,)/VLOOKUP($D166,$C$5:$AJ$596,4,))*$F166))</f>
        <v>0</v>
      </c>
      <c r="X166" s="90">
        <f>IF(VLOOKUP($D166,$C$5:$AJ$596,22,)=0,0,((VLOOKUP($D166,$C$5:$AJ$596,22,)/VLOOKUP($D166,$C$5:$AJ$596,4,))*$F166))</f>
        <v>0</v>
      </c>
      <c r="Y166" s="90">
        <f>IF(VLOOKUP($D166,$C$5:$AJ$596,23,)=0,0,((VLOOKUP($D166,$C$5:$AJ$596,23,)/VLOOKUP($D166,$C$5:$AJ$596,4,))*$F166))</f>
        <v>0</v>
      </c>
      <c r="Z166" s="90">
        <f>IF(VLOOKUP($D166,$C$5:$AJ$596,24,)=0,0,((VLOOKUP($D166,$C$5:$AJ$596,24,)/VLOOKUP($D166,$C$5:$AJ$596,4,))*$F166))</f>
        <v>0</v>
      </c>
      <c r="AA166" s="90">
        <f>IF(VLOOKUP($D166,$C$5:$AJ$596,25,)=0,0,((VLOOKUP($D166,$C$5:$AJ$596,25,)/VLOOKUP($D166,$C$5:$AJ$596,4,))*$F166))</f>
        <v>0</v>
      </c>
      <c r="AB166" s="90">
        <f>IF(VLOOKUP($D166,$C$5:$AJ$596,26,)=0,0,((VLOOKUP($D166,$C$5:$AJ$596,26,)/VLOOKUP($D166,$C$5:$AJ$596,4,))*$F166))</f>
        <v>0</v>
      </c>
      <c r="AC166" s="90">
        <f>IF(VLOOKUP($D166,$C$5:$AJ$596,27,)=0,0,((VLOOKUP($D166,$C$5:$AJ$596,27,)/VLOOKUP($D166,$C$5:$AJ$596,4,))*$F166))</f>
        <v>0</v>
      </c>
      <c r="AD166" s="90">
        <f>IF(VLOOKUP($D166,$C$5:$AJ$596,28,)=0,0,((VLOOKUP($D166,$C$5:$AJ$596,28,)/VLOOKUP($D166,$C$5:$AJ$596,4,))*$F166))</f>
        <v>0</v>
      </c>
      <c r="AE166" s="90"/>
      <c r="AF166" s="90">
        <f>IF(VLOOKUP($D166,$C$5:$AJ$596,30,)=0,0,((VLOOKUP($D166,$C$5:$AJ$596,30,)/VLOOKUP($D166,$C$5:$AJ$596,4,))*$F166))</f>
        <v>0</v>
      </c>
      <c r="AG166" s="90"/>
      <c r="AH166" s="90">
        <f>IF(VLOOKUP($D166,$C$5:$AJ$596,32,)=0,0,((VLOOKUP($D166,$C$5:$AJ$596,32,)/VLOOKUP($D166,$C$5:$AJ$596,4,))*$F166))</f>
        <v>0</v>
      </c>
      <c r="AI166" s="90"/>
      <c r="AJ166" s="90">
        <f>IF(VLOOKUP($D166,$C$5:$AJ$596,34,)=0,0,((VLOOKUP($D166,$C$5:$AJ$596,34,)/VLOOKUP($D166,$C$5:$AJ$596,4,))*$F166))</f>
        <v>0</v>
      </c>
      <c r="AK166" s="90">
        <f>SUM(H166:AJ166)</f>
        <v>12209687</v>
      </c>
      <c r="AL166" s="87" t="str">
        <f>IF(ABS(AK166-F166)&lt;1,"ok","err")</f>
        <v>ok</v>
      </c>
    </row>
    <row r="167" spans="1:38" x14ac:dyDescent="0.5">
      <c r="A167" s="86">
        <v>514</v>
      </c>
      <c r="B167" s="86" t="s">
        <v>1506</v>
      </c>
      <c r="C167" s="86" t="s">
        <v>1507</v>
      </c>
      <c r="D167" s="45" t="s">
        <v>104</v>
      </c>
      <c r="E167" s="45"/>
      <c r="F167" s="90">
        <f>'Jurisdictional Study'!F987</f>
        <v>3446376</v>
      </c>
      <c r="H167" s="90">
        <f>IF(VLOOKUP($D167,$C$5:$AJ$596,6,)=0,0,((VLOOKUP($D167,$C$5:$AJ$596,6,)/VLOOKUP($D167,$C$5:$AJ$596,4,))*$F167))</f>
        <v>0</v>
      </c>
      <c r="I167" s="90">
        <f>IF(VLOOKUP($D167,$C$5:$AJ$596,7,)=0,0,((VLOOKUP($D167,$C$5:$AJ$596,7,)/VLOOKUP($D167,$C$5:$AJ$596,4,))*$F167))</f>
        <v>0</v>
      </c>
      <c r="J167" s="90">
        <f>IF(VLOOKUP($D167,$C$5:$AJ$596,8,)=0,0,((VLOOKUP($D167,$C$5:$AJ$596,8,)/VLOOKUP($D167,$C$5:$AJ$596,4,))*$F167))</f>
        <v>0</v>
      </c>
      <c r="K167" s="90">
        <f>IF(VLOOKUP($D167,$C$5:$AJ$596,9,)=0,0,((VLOOKUP($D167,$C$5:$AJ$596,9,)/VLOOKUP($D167,$C$5:$AJ$596,4,))*$F167))</f>
        <v>3446376</v>
      </c>
      <c r="L167" s="90">
        <f>IF(VLOOKUP($D167,$C$5:$AJ$596,10,)=0,0,((VLOOKUP($D167,$C$5:$AJ$596,10,)/VLOOKUP($D167,$C$5:$AJ$596,4,))*$F167))</f>
        <v>0</v>
      </c>
      <c r="M167" s="90">
        <f>IF(VLOOKUP($D167,$C$5:$AJ$596,11,)=0,0,((VLOOKUP($D167,$C$5:$AJ$596,11,)/VLOOKUP($D167,$C$5:$AJ$596,4,))*$F167))</f>
        <v>0</v>
      </c>
      <c r="N167" s="90"/>
      <c r="O167" s="90">
        <f>IF(VLOOKUP($D167,$C$5:$AJ$596,13,)=0,0,((VLOOKUP($D167,$C$5:$AJ$596,13,)/VLOOKUP($D167,$C$5:$AJ$596,4,))*$F167))</f>
        <v>0</v>
      </c>
      <c r="P167" s="90">
        <f>IF(VLOOKUP($D167,$C$5:$AJ$596,14,)=0,0,((VLOOKUP($D167,$C$5:$AJ$596,14,)/VLOOKUP($D167,$C$5:$AJ$596,4,))*$F167))</f>
        <v>0</v>
      </c>
      <c r="Q167" s="90">
        <f>IF(VLOOKUP($D167,$C$5:$AJ$596,15,)=0,0,((VLOOKUP($D167,$C$5:$AJ$596,15,)/VLOOKUP($D167,$C$5:$AJ$596,4,))*$F167))</f>
        <v>0</v>
      </c>
      <c r="R167" s="90"/>
      <c r="S167" s="90">
        <f>IF(VLOOKUP($D167,$C$5:$AJ$596,17,)=0,0,((VLOOKUP($D167,$C$5:$AJ$596,17,)/VLOOKUP($D167,$C$5:$AJ$596,4,))*$F167))</f>
        <v>0</v>
      </c>
      <c r="T167" s="90">
        <f>IF(VLOOKUP($D167,$C$5:$AJ$596,18,)=0,0,((VLOOKUP($D167,$C$5:$AJ$596,18,)/VLOOKUP($D167,$C$5:$AJ$596,4,))*$F167))</f>
        <v>0</v>
      </c>
      <c r="U167" s="90">
        <f>IF(VLOOKUP($D167,$C$5:$AJ$596,19,)=0,0,((VLOOKUP($D167,$C$5:$AJ$596,19,)/VLOOKUP($D167,$C$5:$AJ$596,4,))*$F167))</f>
        <v>0</v>
      </c>
      <c r="V167" s="90">
        <f>IF(VLOOKUP($D167,$C$5:$AJ$596,20,)=0,0,((VLOOKUP($D167,$C$5:$AJ$596,20,)/VLOOKUP($D167,$C$5:$AJ$596,4,))*$F167))</f>
        <v>0</v>
      </c>
      <c r="W167" s="90">
        <f>IF(VLOOKUP($D167,$C$5:$AJ$596,21,)=0,0,((VLOOKUP($D167,$C$5:$AJ$596,21,)/VLOOKUP($D167,$C$5:$AJ$596,4,))*$F167))</f>
        <v>0</v>
      </c>
      <c r="X167" s="90">
        <f>IF(VLOOKUP($D167,$C$5:$AJ$596,22,)=0,0,((VLOOKUP($D167,$C$5:$AJ$596,22,)/VLOOKUP($D167,$C$5:$AJ$596,4,))*$F167))</f>
        <v>0</v>
      </c>
      <c r="Y167" s="90">
        <f>IF(VLOOKUP($D167,$C$5:$AJ$596,23,)=0,0,((VLOOKUP($D167,$C$5:$AJ$596,23,)/VLOOKUP($D167,$C$5:$AJ$596,4,))*$F167))</f>
        <v>0</v>
      </c>
      <c r="Z167" s="90">
        <f>IF(VLOOKUP($D167,$C$5:$AJ$596,24,)=0,0,((VLOOKUP($D167,$C$5:$AJ$596,24,)/VLOOKUP($D167,$C$5:$AJ$596,4,))*$F167))</f>
        <v>0</v>
      </c>
      <c r="AA167" s="90">
        <f>IF(VLOOKUP($D167,$C$5:$AJ$596,25,)=0,0,((VLOOKUP($D167,$C$5:$AJ$596,25,)/VLOOKUP($D167,$C$5:$AJ$596,4,))*$F167))</f>
        <v>0</v>
      </c>
      <c r="AB167" s="90">
        <f>IF(VLOOKUP($D167,$C$5:$AJ$596,26,)=0,0,((VLOOKUP($D167,$C$5:$AJ$596,26,)/VLOOKUP($D167,$C$5:$AJ$596,4,))*$F167))</f>
        <v>0</v>
      </c>
      <c r="AC167" s="90">
        <f>IF(VLOOKUP($D167,$C$5:$AJ$596,27,)=0,0,((VLOOKUP($D167,$C$5:$AJ$596,27,)/VLOOKUP($D167,$C$5:$AJ$596,4,))*$F167))</f>
        <v>0</v>
      </c>
      <c r="AD167" s="90">
        <f>IF(VLOOKUP($D167,$C$5:$AJ$596,28,)=0,0,((VLOOKUP($D167,$C$5:$AJ$596,28,)/VLOOKUP($D167,$C$5:$AJ$596,4,))*$F167))</f>
        <v>0</v>
      </c>
      <c r="AE167" s="90"/>
      <c r="AF167" s="90">
        <f>IF(VLOOKUP($D167,$C$5:$AJ$596,30,)=0,0,((VLOOKUP($D167,$C$5:$AJ$596,30,)/VLOOKUP($D167,$C$5:$AJ$596,4,))*$F167))</f>
        <v>0</v>
      </c>
      <c r="AG167" s="90"/>
      <c r="AH167" s="90">
        <f>IF(VLOOKUP($D167,$C$5:$AJ$596,32,)=0,0,((VLOOKUP($D167,$C$5:$AJ$596,32,)/VLOOKUP($D167,$C$5:$AJ$596,4,))*$F167))</f>
        <v>0</v>
      </c>
      <c r="AI167" s="90"/>
      <c r="AJ167" s="90">
        <f>IF(VLOOKUP($D167,$C$5:$AJ$596,34,)=0,0,((VLOOKUP($D167,$C$5:$AJ$596,34,)/VLOOKUP($D167,$C$5:$AJ$596,4,))*$F167))</f>
        <v>0</v>
      </c>
      <c r="AK167" s="90">
        <f>SUM(H167:AJ167)</f>
        <v>3446376</v>
      </c>
      <c r="AL167" s="87" t="str">
        <f>IF(ABS(AK167-F167)&lt;1,"ok","err")</f>
        <v>ok</v>
      </c>
    </row>
    <row r="168" spans="1:38" x14ac:dyDescent="0.5">
      <c r="D168" s="45"/>
      <c r="E168" s="45"/>
      <c r="F168" s="89"/>
      <c r="Y168" s="86"/>
      <c r="AK168" s="90"/>
      <c r="AL168" s="87"/>
    </row>
    <row r="169" spans="1:38" x14ac:dyDescent="0.5">
      <c r="B169" s="86" t="s">
        <v>1508</v>
      </c>
      <c r="D169" s="348"/>
      <c r="E169" s="50"/>
      <c r="F169" s="89">
        <f>SUM(F163:F168)</f>
        <v>86600461</v>
      </c>
      <c r="H169" s="89">
        <f t="shared" ref="H169:M169" si="115">SUM(H163:H168)</f>
        <v>11410170.40166877</v>
      </c>
      <c r="I169" s="89">
        <f t="shared" si="115"/>
        <v>0</v>
      </c>
      <c r="J169" s="89">
        <f t="shared" si="115"/>
        <v>0</v>
      </c>
      <c r="K169" s="89">
        <f t="shared" si="115"/>
        <v>75190290.598331228</v>
      </c>
      <c r="L169" s="89">
        <f t="shared" si="115"/>
        <v>0</v>
      </c>
      <c r="M169" s="89">
        <f t="shared" si="115"/>
        <v>0</v>
      </c>
      <c r="O169" s="89">
        <f>SUM(O163:O168)</f>
        <v>0</v>
      </c>
      <c r="P169" s="89">
        <f>SUM(P163:P168)</f>
        <v>0</v>
      </c>
      <c r="Q169" s="89">
        <f>SUM(Q163:Q168)</f>
        <v>0</v>
      </c>
      <c r="S169" s="89">
        <f t="shared" ref="S169:AD169" si="116">SUM(S163:S168)</f>
        <v>0</v>
      </c>
      <c r="T169" s="89">
        <f t="shared" si="116"/>
        <v>0</v>
      </c>
      <c r="U169" s="89">
        <f t="shared" si="116"/>
        <v>0</v>
      </c>
      <c r="V169" s="89">
        <f t="shared" si="116"/>
        <v>0</v>
      </c>
      <c r="W169" s="89">
        <f t="shared" si="116"/>
        <v>0</v>
      </c>
      <c r="X169" s="89">
        <f t="shared" si="116"/>
        <v>0</v>
      </c>
      <c r="Y169" s="89">
        <f t="shared" si="116"/>
        <v>0</v>
      </c>
      <c r="Z169" s="89">
        <f t="shared" si="116"/>
        <v>0</v>
      </c>
      <c r="AA169" s="89">
        <f t="shared" si="116"/>
        <v>0</v>
      </c>
      <c r="AB169" s="89">
        <f t="shared" si="116"/>
        <v>0</v>
      </c>
      <c r="AC169" s="89">
        <f t="shared" si="116"/>
        <v>0</v>
      </c>
      <c r="AD169" s="89">
        <f t="shared" si="116"/>
        <v>0</v>
      </c>
      <c r="AF169" s="89">
        <f>SUM(AF163:AF168)</f>
        <v>0</v>
      </c>
      <c r="AH169" s="89">
        <f>SUM(AH163:AH168)</f>
        <v>0</v>
      </c>
      <c r="AJ169" s="89">
        <f>SUM(AJ163:AJ168)</f>
        <v>0</v>
      </c>
      <c r="AK169" s="90">
        <f>SUM(H169:AJ169)</f>
        <v>86600461</v>
      </c>
      <c r="AL169" s="87" t="str">
        <f>IF(ABS(AK169-F169)&lt;1,"ok","err")</f>
        <v>ok</v>
      </c>
    </row>
    <row r="170" spans="1:38" x14ac:dyDescent="0.5">
      <c r="D170" s="348"/>
      <c r="E170" s="50"/>
      <c r="F170" s="89"/>
      <c r="H170" s="89"/>
      <c r="I170" s="89"/>
      <c r="J170" s="89"/>
      <c r="K170" s="89"/>
      <c r="L170" s="89"/>
      <c r="M170" s="89"/>
      <c r="O170" s="89"/>
      <c r="P170" s="89"/>
      <c r="Q170" s="89"/>
      <c r="S170" s="89"/>
      <c r="T170" s="89"/>
      <c r="U170" s="89"/>
      <c r="V170" s="89"/>
      <c r="W170" s="89"/>
      <c r="X170" s="89"/>
      <c r="Y170" s="89"/>
      <c r="Z170" s="89"/>
      <c r="AA170" s="89"/>
      <c r="AB170" s="89"/>
      <c r="AC170" s="89"/>
      <c r="AD170" s="89"/>
      <c r="AF170" s="89"/>
      <c r="AH170" s="89"/>
      <c r="AJ170" s="89"/>
      <c r="AK170" s="90"/>
      <c r="AL170" s="87"/>
    </row>
    <row r="171" spans="1:38" x14ac:dyDescent="0.5">
      <c r="B171" s="86" t="s">
        <v>1509</v>
      </c>
      <c r="D171" s="371"/>
      <c r="E171" s="71"/>
      <c r="F171" s="89">
        <f>F160+F169</f>
        <v>445020081</v>
      </c>
      <c r="H171" s="89">
        <f t="shared" ref="H171:M171" si="117">H160+H169</f>
        <v>57973992.754199587</v>
      </c>
      <c r="I171" s="89">
        <f t="shared" si="117"/>
        <v>0</v>
      </c>
      <c r="J171" s="89">
        <f t="shared" si="117"/>
        <v>0</v>
      </c>
      <c r="K171" s="89">
        <f t="shared" si="117"/>
        <v>387046088.24580038</v>
      </c>
      <c r="L171" s="89">
        <f t="shared" si="117"/>
        <v>0</v>
      </c>
      <c r="M171" s="89">
        <f t="shared" si="117"/>
        <v>0</v>
      </c>
      <c r="O171" s="89">
        <f>O160+O169</f>
        <v>0</v>
      </c>
      <c r="P171" s="89">
        <f>P160+P169</f>
        <v>0</v>
      </c>
      <c r="Q171" s="89">
        <f>Q160+Q169</f>
        <v>0</v>
      </c>
      <c r="S171" s="89">
        <f t="shared" ref="S171:AD171" si="118">S160+S169</f>
        <v>0</v>
      </c>
      <c r="T171" s="89">
        <f t="shared" si="118"/>
        <v>0</v>
      </c>
      <c r="U171" s="89">
        <f t="shared" si="118"/>
        <v>0</v>
      </c>
      <c r="V171" s="89">
        <f t="shared" si="118"/>
        <v>0</v>
      </c>
      <c r="W171" s="89">
        <f t="shared" si="118"/>
        <v>0</v>
      </c>
      <c r="X171" s="89">
        <f t="shared" si="118"/>
        <v>0</v>
      </c>
      <c r="Y171" s="89">
        <f t="shared" si="118"/>
        <v>0</v>
      </c>
      <c r="Z171" s="89">
        <f t="shared" si="118"/>
        <v>0</v>
      </c>
      <c r="AA171" s="89">
        <f t="shared" si="118"/>
        <v>0</v>
      </c>
      <c r="AB171" s="89">
        <f t="shared" si="118"/>
        <v>0</v>
      </c>
      <c r="AC171" s="89">
        <f t="shared" si="118"/>
        <v>0</v>
      </c>
      <c r="AD171" s="89">
        <f t="shared" si="118"/>
        <v>0</v>
      </c>
      <c r="AF171" s="89">
        <f>AF160+AF169</f>
        <v>0</v>
      </c>
      <c r="AH171" s="89">
        <f>AH160+AH169</f>
        <v>0</v>
      </c>
      <c r="AJ171" s="89">
        <f>AJ160+AJ169</f>
        <v>0</v>
      </c>
      <c r="AK171" s="90">
        <f>SUM(H171:AJ171)</f>
        <v>445020080.99999994</v>
      </c>
      <c r="AL171" s="87" t="str">
        <f>IF(ABS(AK171-F171)&lt;1,"ok","err")</f>
        <v>ok</v>
      </c>
    </row>
    <row r="172" spans="1:38" x14ac:dyDescent="0.5">
      <c r="D172" s="371"/>
      <c r="E172" s="71"/>
      <c r="F172" s="89"/>
      <c r="Y172" s="86"/>
      <c r="AL172" s="87"/>
    </row>
    <row r="173" spans="1:38" x14ac:dyDescent="0.5">
      <c r="A173" s="23" t="s">
        <v>1599</v>
      </c>
      <c r="D173" s="371"/>
      <c r="E173" s="71"/>
      <c r="Y173" s="86"/>
      <c r="AL173" s="87"/>
    </row>
    <row r="174" spans="1:38" x14ac:dyDescent="0.5">
      <c r="A174" s="101">
        <v>535</v>
      </c>
      <c r="B174" s="86" t="s">
        <v>1487</v>
      </c>
      <c r="C174" s="86" t="s">
        <v>1608</v>
      </c>
      <c r="D174" s="371" t="s">
        <v>710</v>
      </c>
      <c r="E174" s="71"/>
      <c r="F174" s="89">
        <f>'Jurisdictional Study'!F993</f>
        <v>0</v>
      </c>
      <c r="H174" s="90">
        <f t="shared" ref="H174:H179" si="119">IF(VLOOKUP($D174,$C$5:$AJ$596,6,)=0,0,((VLOOKUP($D174,$C$5:$AJ$596,6,)/VLOOKUP($D174,$C$5:$AJ$596,4,))*$F174))</f>
        <v>0</v>
      </c>
      <c r="I174" s="90">
        <f t="shared" ref="I174:I179" si="120">IF(VLOOKUP($D174,$C$5:$AJ$596,7,)=0,0,((VLOOKUP($D174,$C$5:$AJ$596,7,)/VLOOKUP($D174,$C$5:$AJ$596,4,))*$F174))</f>
        <v>0</v>
      </c>
      <c r="J174" s="90">
        <f t="shared" ref="J174:J179" si="121">IF(VLOOKUP($D174,$C$5:$AJ$596,8,)=0,0,((VLOOKUP($D174,$C$5:$AJ$596,8,)/VLOOKUP($D174,$C$5:$AJ$596,4,))*$F174))</f>
        <v>0</v>
      </c>
      <c r="K174" s="90">
        <f t="shared" ref="K174:K179" si="122">IF(VLOOKUP($D174,$C$5:$AJ$596,9,)=0,0,((VLOOKUP($D174,$C$5:$AJ$596,9,)/VLOOKUP($D174,$C$5:$AJ$596,4,))*$F174))</f>
        <v>0</v>
      </c>
      <c r="L174" s="90">
        <f t="shared" ref="L174:L179" si="123">IF(VLOOKUP($D174,$C$5:$AJ$596,10,)=0,0,((VLOOKUP($D174,$C$5:$AJ$596,10,)/VLOOKUP($D174,$C$5:$AJ$596,4,))*$F174))</f>
        <v>0</v>
      </c>
      <c r="M174" s="90">
        <f t="shared" ref="M174:M179" si="124">IF(VLOOKUP($D174,$C$5:$AJ$596,11,)=0,0,((VLOOKUP($D174,$C$5:$AJ$596,11,)/VLOOKUP($D174,$C$5:$AJ$596,4,))*$F174))</f>
        <v>0</v>
      </c>
      <c r="N174" s="90"/>
      <c r="O174" s="90">
        <f t="shared" ref="O174:O179" si="125">IF(VLOOKUP($D174,$C$5:$AJ$596,13,)=0,0,((VLOOKUP($D174,$C$5:$AJ$596,13,)/VLOOKUP($D174,$C$5:$AJ$596,4,))*$F174))</f>
        <v>0</v>
      </c>
      <c r="P174" s="90">
        <f t="shared" ref="P174:P179" si="126">IF(VLOOKUP($D174,$C$5:$AJ$596,14,)=0,0,((VLOOKUP($D174,$C$5:$AJ$596,14,)/VLOOKUP($D174,$C$5:$AJ$596,4,))*$F174))</f>
        <v>0</v>
      </c>
      <c r="Q174" s="90">
        <f t="shared" ref="Q174:Q179" si="127">IF(VLOOKUP($D174,$C$5:$AJ$596,15,)=0,0,((VLOOKUP($D174,$C$5:$AJ$596,15,)/VLOOKUP($D174,$C$5:$AJ$596,4,))*$F174))</f>
        <v>0</v>
      </c>
      <c r="R174" s="90"/>
      <c r="S174" s="90">
        <f t="shared" ref="S174:S179" si="128">IF(VLOOKUP($D174,$C$5:$AJ$596,17,)=0,0,((VLOOKUP($D174,$C$5:$AJ$596,17,)/VLOOKUP($D174,$C$5:$AJ$596,4,))*$F174))</f>
        <v>0</v>
      </c>
      <c r="T174" s="90">
        <f t="shared" ref="T174:T179" si="129">IF(VLOOKUP($D174,$C$5:$AJ$596,18,)=0,0,((VLOOKUP($D174,$C$5:$AJ$596,18,)/VLOOKUP($D174,$C$5:$AJ$596,4,))*$F174))</f>
        <v>0</v>
      </c>
      <c r="U174" s="90">
        <f t="shared" ref="U174:U179" si="130">IF(VLOOKUP($D174,$C$5:$AJ$596,19,)=0,0,((VLOOKUP($D174,$C$5:$AJ$596,19,)/VLOOKUP($D174,$C$5:$AJ$596,4,))*$F174))</f>
        <v>0</v>
      </c>
      <c r="V174" s="90">
        <f t="shared" ref="V174:V179" si="131">IF(VLOOKUP($D174,$C$5:$AJ$596,20,)=0,0,((VLOOKUP($D174,$C$5:$AJ$596,20,)/VLOOKUP($D174,$C$5:$AJ$596,4,))*$F174))</f>
        <v>0</v>
      </c>
      <c r="W174" s="90">
        <f t="shared" ref="W174:W179" si="132">IF(VLOOKUP($D174,$C$5:$AJ$596,21,)=0,0,((VLOOKUP($D174,$C$5:$AJ$596,21,)/VLOOKUP($D174,$C$5:$AJ$596,4,))*$F174))</f>
        <v>0</v>
      </c>
      <c r="X174" s="90">
        <f t="shared" ref="X174:X179" si="133">IF(VLOOKUP($D174,$C$5:$AJ$596,22,)=0,0,((VLOOKUP($D174,$C$5:$AJ$596,22,)/VLOOKUP($D174,$C$5:$AJ$596,4,))*$F174))</f>
        <v>0</v>
      </c>
      <c r="Y174" s="90">
        <f t="shared" ref="Y174:Y179" si="134">IF(VLOOKUP($D174,$C$5:$AJ$596,23,)=0,0,((VLOOKUP($D174,$C$5:$AJ$596,23,)/VLOOKUP($D174,$C$5:$AJ$596,4,))*$F174))</f>
        <v>0</v>
      </c>
      <c r="Z174" s="90">
        <f t="shared" ref="Z174:Z179" si="135">IF(VLOOKUP($D174,$C$5:$AJ$596,24,)=0,0,((VLOOKUP($D174,$C$5:$AJ$596,24,)/VLOOKUP($D174,$C$5:$AJ$596,4,))*$F174))</f>
        <v>0</v>
      </c>
      <c r="AA174" s="90">
        <f t="shared" ref="AA174:AA179" si="136">IF(VLOOKUP($D174,$C$5:$AJ$596,25,)=0,0,((VLOOKUP($D174,$C$5:$AJ$596,25,)/VLOOKUP($D174,$C$5:$AJ$596,4,))*$F174))</f>
        <v>0</v>
      </c>
      <c r="AB174" s="90">
        <f t="shared" ref="AB174:AB179" si="137">IF(VLOOKUP($D174,$C$5:$AJ$596,26,)=0,0,((VLOOKUP($D174,$C$5:$AJ$596,26,)/VLOOKUP($D174,$C$5:$AJ$596,4,))*$F174))</f>
        <v>0</v>
      </c>
      <c r="AC174" s="90">
        <f t="shared" ref="AC174:AC179" si="138">IF(VLOOKUP($D174,$C$5:$AJ$596,27,)=0,0,((VLOOKUP($D174,$C$5:$AJ$596,27,)/VLOOKUP($D174,$C$5:$AJ$596,4,))*$F174))</f>
        <v>0</v>
      </c>
      <c r="AD174" s="90">
        <f t="shared" ref="AD174:AD179" si="139">IF(VLOOKUP($D174,$C$5:$AJ$596,28,)=0,0,((VLOOKUP($D174,$C$5:$AJ$596,28,)/VLOOKUP($D174,$C$5:$AJ$596,4,))*$F174))</f>
        <v>0</v>
      </c>
      <c r="AE174" s="90"/>
      <c r="AF174" s="90">
        <f t="shared" ref="AF174:AF179" si="140">IF(VLOOKUP($D174,$C$5:$AJ$596,30,)=0,0,((VLOOKUP($D174,$C$5:$AJ$596,30,)/VLOOKUP($D174,$C$5:$AJ$596,4,))*$F174))</f>
        <v>0</v>
      </c>
      <c r="AG174" s="90"/>
      <c r="AH174" s="90">
        <f t="shared" ref="AH174:AH179" si="141">IF(VLOOKUP($D174,$C$5:$AJ$596,32,)=0,0,((VLOOKUP($D174,$C$5:$AJ$596,32,)/VLOOKUP($D174,$C$5:$AJ$596,4,))*$F174))</f>
        <v>0</v>
      </c>
      <c r="AI174" s="90"/>
      <c r="AJ174" s="90">
        <f t="shared" ref="AJ174:AJ179" si="142">IF(VLOOKUP($D174,$C$5:$AJ$596,34,)=0,0,((VLOOKUP($D174,$C$5:$AJ$596,34,)/VLOOKUP($D174,$C$5:$AJ$596,4,))*$F174))</f>
        <v>0</v>
      </c>
      <c r="AK174" s="90">
        <f t="shared" ref="AK174:AK179" si="143">SUM(H174:AJ174)</f>
        <v>0</v>
      </c>
      <c r="AL174" s="87" t="str">
        <f t="shared" ref="AL174:AL179" si="144">IF(ABS(AK174-F174)&lt;1,"ok","err")</f>
        <v>ok</v>
      </c>
    </row>
    <row r="175" spans="1:38" x14ac:dyDescent="0.5">
      <c r="A175" s="102">
        <v>536</v>
      </c>
      <c r="B175" s="86" t="s">
        <v>1606</v>
      </c>
      <c r="C175" s="86" t="s">
        <v>1609</v>
      </c>
      <c r="D175" s="348" t="s">
        <v>709</v>
      </c>
      <c r="E175" s="50"/>
      <c r="F175" s="90">
        <f>'Jurisdictional Study'!F994</f>
        <v>0</v>
      </c>
      <c r="H175" s="90">
        <f t="shared" si="119"/>
        <v>0</v>
      </c>
      <c r="I175" s="90">
        <f t="shared" si="120"/>
        <v>0</v>
      </c>
      <c r="J175" s="90">
        <f t="shared" si="121"/>
        <v>0</v>
      </c>
      <c r="K175" s="90">
        <f t="shared" si="122"/>
        <v>0</v>
      </c>
      <c r="L175" s="90">
        <f t="shared" si="123"/>
        <v>0</v>
      </c>
      <c r="M175" s="90">
        <f t="shared" si="124"/>
        <v>0</v>
      </c>
      <c r="N175" s="90"/>
      <c r="O175" s="90">
        <f t="shared" si="125"/>
        <v>0</v>
      </c>
      <c r="P175" s="90">
        <f t="shared" si="126"/>
        <v>0</v>
      </c>
      <c r="Q175" s="90">
        <f t="shared" si="127"/>
        <v>0</v>
      </c>
      <c r="R175" s="90"/>
      <c r="S175" s="90">
        <f t="shared" si="128"/>
        <v>0</v>
      </c>
      <c r="T175" s="90">
        <f t="shared" si="129"/>
        <v>0</v>
      </c>
      <c r="U175" s="90">
        <f t="shared" si="130"/>
        <v>0</v>
      </c>
      <c r="V175" s="90">
        <f t="shared" si="131"/>
        <v>0</v>
      </c>
      <c r="W175" s="90">
        <f t="shared" si="132"/>
        <v>0</v>
      </c>
      <c r="X175" s="90">
        <f t="shared" si="133"/>
        <v>0</v>
      </c>
      <c r="Y175" s="90">
        <f t="shared" si="134"/>
        <v>0</v>
      </c>
      <c r="Z175" s="90">
        <f t="shared" si="135"/>
        <v>0</v>
      </c>
      <c r="AA175" s="90">
        <f t="shared" si="136"/>
        <v>0</v>
      </c>
      <c r="AB175" s="90">
        <f t="shared" si="137"/>
        <v>0</v>
      </c>
      <c r="AC175" s="90">
        <f t="shared" si="138"/>
        <v>0</v>
      </c>
      <c r="AD175" s="90">
        <f t="shared" si="139"/>
        <v>0</v>
      </c>
      <c r="AE175" s="90"/>
      <c r="AF175" s="90">
        <f t="shared" si="140"/>
        <v>0</v>
      </c>
      <c r="AG175" s="90"/>
      <c r="AH175" s="90">
        <f t="shared" si="141"/>
        <v>0</v>
      </c>
      <c r="AI175" s="90"/>
      <c r="AJ175" s="90">
        <f t="shared" si="142"/>
        <v>0</v>
      </c>
      <c r="AK175" s="90">
        <f t="shared" si="143"/>
        <v>0</v>
      </c>
      <c r="AL175" s="87" t="str">
        <f t="shared" si="144"/>
        <v>ok</v>
      </c>
    </row>
    <row r="176" spans="1:38" x14ac:dyDescent="0.5">
      <c r="A176" s="86">
        <v>537</v>
      </c>
      <c r="B176" s="86" t="s">
        <v>1605</v>
      </c>
      <c r="C176" s="86" t="s">
        <v>1610</v>
      </c>
      <c r="D176" s="348" t="s">
        <v>709</v>
      </c>
      <c r="E176" s="50"/>
      <c r="F176" s="90">
        <f>'Jurisdictional Study'!F995</f>
        <v>0</v>
      </c>
      <c r="H176" s="90">
        <f t="shared" si="119"/>
        <v>0</v>
      </c>
      <c r="I176" s="90">
        <f t="shared" si="120"/>
        <v>0</v>
      </c>
      <c r="J176" s="90">
        <f t="shared" si="121"/>
        <v>0</v>
      </c>
      <c r="K176" s="90">
        <f t="shared" si="122"/>
        <v>0</v>
      </c>
      <c r="L176" s="90">
        <f t="shared" si="123"/>
        <v>0</v>
      </c>
      <c r="M176" s="90">
        <f t="shared" si="124"/>
        <v>0</v>
      </c>
      <c r="N176" s="90"/>
      <c r="O176" s="90">
        <f t="shared" si="125"/>
        <v>0</v>
      </c>
      <c r="P176" s="90">
        <f t="shared" si="126"/>
        <v>0</v>
      </c>
      <c r="Q176" s="90">
        <f t="shared" si="127"/>
        <v>0</v>
      </c>
      <c r="R176" s="90"/>
      <c r="S176" s="90">
        <f t="shared" si="128"/>
        <v>0</v>
      </c>
      <c r="T176" s="90">
        <f t="shared" si="129"/>
        <v>0</v>
      </c>
      <c r="U176" s="90">
        <f t="shared" si="130"/>
        <v>0</v>
      </c>
      <c r="V176" s="90">
        <f t="shared" si="131"/>
        <v>0</v>
      </c>
      <c r="W176" s="90">
        <f t="shared" si="132"/>
        <v>0</v>
      </c>
      <c r="X176" s="90">
        <f t="shared" si="133"/>
        <v>0</v>
      </c>
      <c r="Y176" s="90">
        <f t="shared" si="134"/>
        <v>0</v>
      </c>
      <c r="Z176" s="90">
        <f t="shared" si="135"/>
        <v>0</v>
      </c>
      <c r="AA176" s="90">
        <f t="shared" si="136"/>
        <v>0</v>
      </c>
      <c r="AB176" s="90">
        <f t="shared" si="137"/>
        <v>0</v>
      </c>
      <c r="AC176" s="90">
        <f t="shared" si="138"/>
        <v>0</v>
      </c>
      <c r="AD176" s="90">
        <f t="shared" si="139"/>
        <v>0</v>
      </c>
      <c r="AE176" s="90"/>
      <c r="AF176" s="90">
        <f t="shared" si="140"/>
        <v>0</v>
      </c>
      <c r="AG176" s="90"/>
      <c r="AH176" s="90">
        <f t="shared" si="141"/>
        <v>0</v>
      </c>
      <c r="AI176" s="90"/>
      <c r="AJ176" s="90">
        <f t="shared" si="142"/>
        <v>0</v>
      </c>
      <c r="AK176" s="90">
        <f t="shared" si="143"/>
        <v>0</v>
      </c>
      <c r="AL176" s="87" t="str">
        <f t="shared" si="144"/>
        <v>ok</v>
      </c>
    </row>
    <row r="177" spans="1:38" x14ac:dyDescent="0.5">
      <c r="A177" s="100">
        <v>538</v>
      </c>
      <c r="B177" s="86" t="s">
        <v>1493</v>
      </c>
      <c r="C177" s="86" t="s">
        <v>1611</v>
      </c>
      <c r="D177" s="348" t="s">
        <v>709</v>
      </c>
      <c r="E177" s="50"/>
      <c r="F177" s="90">
        <f>'Jurisdictional Study'!F996</f>
        <v>0</v>
      </c>
      <c r="H177" s="90">
        <f t="shared" si="119"/>
        <v>0</v>
      </c>
      <c r="I177" s="90">
        <f t="shared" si="120"/>
        <v>0</v>
      </c>
      <c r="J177" s="90">
        <f t="shared" si="121"/>
        <v>0</v>
      </c>
      <c r="K177" s="90">
        <f t="shared" si="122"/>
        <v>0</v>
      </c>
      <c r="L177" s="90">
        <f t="shared" si="123"/>
        <v>0</v>
      </c>
      <c r="M177" s="90">
        <f t="shared" si="124"/>
        <v>0</v>
      </c>
      <c r="N177" s="90"/>
      <c r="O177" s="90">
        <f t="shared" si="125"/>
        <v>0</v>
      </c>
      <c r="P177" s="90">
        <f t="shared" si="126"/>
        <v>0</v>
      </c>
      <c r="Q177" s="90">
        <f t="shared" si="127"/>
        <v>0</v>
      </c>
      <c r="R177" s="90"/>
      <c r="S177" s="90">
        <f t="shared" si="128"/>
        <v>0</v>
      </c>
      <c r="T177" s="90">
        <f t="shared" si="129"/>
        <v>0</v>
      </c>
      <c r="U177" s="90">
        <f t="shared" si="130"/>
        <v>0</v>
      </c>
      <c r="V177" s="90">
        <f t="shared" si="131"/>
        <v>0</v>
      </c>
      <c r="W177" s="90">
        <f t="shared" si="132"/>
        <v>0</v>
      </c>
      <c r="X177" s="90">
        <f t="shared" si="133"/>
        <v>0</v>
      </c>
      <c r="Y177" s="90">
        <f t="shared" si="134"/>
        <v>0</v>
      </c>
      <c r="Z177" s="90">
        <f t="shared" si="135"/>
        <v>0</v>
      </c>
      <c r="AA177" s="90">
        <f t="shared" si="136"/>
        <v>0</v>
      </c>
      <c r="AB177" s="90">
        <f t="shared" si="137"/>
        <v>0</v>
      </c>
      <c r="AC177" s="90">
        <f t="shared" si="138"/>
        <v>0</v>
      </c>
      <c r="AD177" s="90">
        <f t="shared" si="139"/>
        <v>0</v>
      </c>
      <c r="AE177" s="90"/>
      <c r="AF177" s="90">
        <f t="shared" si="140"/>
        <v>0</v>
      </c>
      <c r="AG177" s="90"/>
      <c r="AH177" s="90">
        <f t="shared" si="141"/>
        <v>0</v>
      </c>
      <c r="AI177" s="90"/>
      <c r="AJ177" s="90">
        <f t="shared" si="142"/>
        <v>0</v>
      </c>
      <c r="AK177" s="90">
        <f>SUM(H177:AJ177)</f>
        <v>0</v>
      </c>
      <c r="AL177" s="87" t="str">
        <f>IF(ABS(AK177-F177)&lt;1,"ok","err")</f>
        <v>ok</v>
      </c>
    </row>
    <row r="178" spans="1:38" x14ac:dyDescent="0.5">
      <c r="A178" s="86">
        <v>539</v>
      </c>
      <c r="B178" s="86" t="s">
        <v>649</v>
      </c>
      <c r="C178" s="86" t="s">
        <v>1612</v>
      </c>
      <c r="D178" s="348" t="s">
        <v>709</v>
      </c>
      <c r="E178" s="50"/>
      <c r="F178" s="90">
        <f>'Jurisdictional Study'!F997</f>
        <v>10609</v>
      </c>
      <c r="H178" s="90">
        <f t="shared" si="119"/>
        <v>10609</v>
      </c>
      <c r="I178" s="90">
        <f t="shared" si="120"/>
        <v>0</v>
      </c>
      <c r="J178" s="90">
        <f t="shared" si="121"/>
        <v>0</v>
      </c>
      <c r="K178" s="90">
        <f t="shared" si="122"/>
        <v>0</v>
      </c>
      <c r="L178" s="90">
        <f t="shared" si="123"/>
        <v>0</v>
      </c>
      <c r="M178" s="90">
        <f t="shared" si="124"/>
        <v>0</v>
      </c>
      <c r="N178" s="90"/>
      <c r="O178" s="90">
        <f t="shared" si="125"/>
        <v>0</v>
      </c>
      <c r="P178" s="90">
        <f t="shared" si="126"/>
        <v>0</v>
      </c>
      <c r="Q178" s="90">
        <f t="shared" si="127"/>
        <v>0</v>
      </c>
      <c r="R178" s="90"/>
      <c r="S178" s="90">
        <f t="shared" si="128"/>
        <v>0</v>
      </c>
      <c r="T178" s="90">
        <f t="shared" si="129"/>
        <v>0</v>
      </c>
      <c r="U178" s="90">
        <f t="shared" si="130"/>
        <v>0</v>
      </c>
      <c r="V178" s="90">
        <f t="shared" si="131"/>
        <v>0</v>
      </c>
      <c r="W178" s="90">
        <f t="shared" si="132"/>
        <v>0</v>
      </c>
      <c r="X178" s="90">
        <f t="shared" si="133"/>
        <v>0</v>
      </c>
      <c r="Y178" s="90">
        <f t="shared" si="134"/>
        <v>0</v>
      </c>
      <c r="Z178" s="90">
        <f t="shared" si="135"/>
        <v>0</v>
      </c>
      <c r="AA178" s="90">
        <f t="shared" si="136"/>
        <v>0</v>
      </c>
      <c r="AB178" s="90">
        <f t="shared" si="137"/>
        <v>0</v>
      </c>
      <c r="AC178" s="90">
        <f t="shared" si="138"/>
        <v>0</v>
      </c>
      <c r="AD178" s="90">
        <f t="shared" si="139"/>
        <v>0</v>
      </c>
      <c r="AE178" s="90"/>
      <c r="AF178" s="90">
        <f t="shared" si="140"/>
        <v>0</v>
      </c>
      <c r="AG178" s="90"/>
      <c r="AH178" s="90">
        <f t="shared" si="141"/>
        <v>0</v>
      </c>
      <c r="AI178" s="90"/>
      <c r="AJ178" s="90">
        <f t="shared" si="142"/>
        <v>0</v>
      </c>
      <c r="AK178" s="90">
        <f t="shared" si="143"/>
        <v>10609</v>
      </c>
      <c r="AL178" s="87" t="str">
        <f t="shared" si="144"/>
        <v>ok</v>
      </c>
    </row>
    <row r="179" spans="1:38" x14ac:dyDescent="0.5">
      <c r="A179" s="100">
        <v>540</v>
      </c>
      <c r="B179" s="86" t="s">
        <v>353</v>
      </c>
      <c r="D179" s="348" t="s">
        <v>709</v>
      </c>
      <c r="E179" s="50"/>
      <c r="F179" s="90">
        <f>'Jurisdictional Study'!F998</f>
        <v>0</v>
      </c>
      <c r="H179" s="90">
        <f t="shared" si="119"/>
        <v>0</v>
      </c>
      <c r="I179" s="90">
        <f t="shared" si="120"/>
        <v>0</v>
      </c>
      <c r="J179" s="90">
        <f t="shared" si="121"/>
        <v>0</v>
      </c>
      <c r="K179" s="90">
        <f t="shared" si="122"/>
        <v>0</v>
      </c>
      <c r="L179" s="90">
        <f t="shared" si="123"/>
        <v>0</v>
      </c>
      <c r="M179" s="90">
        <f t="shared" si="124"/>
        <v>0</v>
      </c>
      <c r="N179" s="90"/>
      <c r="O179" s="90">
        <f t="shared" si="125"/>
        <v>0</v>
      </c>
      <c r="P179" s="90">
        <f t="shared" si="126"/>
        <v>0</v>
      </c>
      <c r="Q179" s="90">
        <f t="shared" si="127"/>
        <v>0</v>
      </c>
      <c r="R179" s="90"/>
      <c r="S179" s="90">
        <f t="shared" si="128"/>
        <v>0</v>
      </c>
      <c r="T179" s="90">
        <f t="shared" si="129"/>
        <v>0</v>
      </c>
      <c r="U179" s="90">
        <f t="shared" si="130"/>
        <v>0</v>
      </c>
      <c r="V179" s="90">
        <f t="shared" si="131"/>
        <v>0</v>
      </c>
      <c r="W179" s="90">
        <f t="shared" si="132"/>
        <v>0</v>
      </c>
      <c r="X179" s="90">
        <f t="shared" si="133"/>
        <v>0</v>
      </c>
      <c r="Y179" s="90">
        <f t="shared" si="134"/>
        <v>0</v>
      </c>
      <c r="Z179" s="90">
        <f t="shared" si="135"/>
        <v>0</v>
      </c>
      <c r="AA179" s="90">
        <f t="shared" si="136"/>
        <v>0</v>
      </c>
      <c r="AB179" s="90">
        <f t="shared" si="137"/>
        <v>0</v>
      </c>
      <c r="AC179" s="90">
        <f t="shared" si="138"/>
        <v>0</v>
      </c>
      <c r="AD179" s="90">
        <f t="shared" si="139"/>
        <v>0</v>
      </c>
      <c r="AE179" s="90"/>
      <c r="AF179" s="90">
        <f t="shared" si="140"/>
        <v>0</v>
      </c>
      <c r="AG179" s="90"/>
      <c r="AH179" s="90">
        <f t="shared" si="141"/>
        <v>0</v>
      </c>
      <c r="AI179" s="90"/>
      <c r="AJ179" s="90">
        <f t="shared" si="142"/>
        <v>0</v>
      </c>
      <c r="AK179" s="90">
        <f t="shared" si="143"/>
        <v>0</v>
      </c>
      <c r="AL179" s="87" t="str">
        <f t="shared" si="144"/>
        <v>ok</v>
      </c>
    </row>
    <row r="180" spans="1:38" x14ac:dyDescent="0.5">
      <c r="D180" s="348"/>
      <c r="E180" s="50"/>
      <c r="F180" s="89"/>
      <c r="Y180" s="86"/>
      <c r="AK180" s="90"/>
      <c r="AL180" s="87"/>
    </row>
    <row r="181" spans="1:38" x14ac:dyDescent="0.5">
      <c r="B181" s="86" t="s">
        <v>1602</v>
      </c>
      <c r="D181" s="348"/>
      <c r="E181" s="50"/>
      <c r="F181" s="89">
        <f>SUM(F174:F180)</f>
        <v>10609</v>
      </c>
      <c r="H181" s="89">
        <f t="shared" ref="H181:M181" si="145">SUM(H174:H180)</f>
        <v>10609</v>
      </c>
      <c r="I181" s="89">
        <f t="shared" si="145"/>
        <v>0</v>
      </c>
      <c r="J181" s="89">
        <f t="shared" si="145"/>
        <v>0</v>
      </c>
      <c r="K181" s="89">
        <f t="shared" si="145"/>
        <v>0</v>
      </c>
      <c r="L181" s="89">
        <f t="shared" si="145"/>
        <v>0</v>
      </c>
      <c r="M181" s="89">
        <f t="shared" si="145"/>
        <v>0</v>
      </c>
      <c r="O181" s="89">
        <f>SUM(O174:O180)</f>
        <v>0</v>
      </c>
      <c r="P181" s="89">
        <f>SUM(P174:P180)</f>
        <v>0</v>
      </c>
      <c r="Q181" s="89">
        <f>SUM(Q174:Q180)</f>
        <v>0</v>
      </c>
      <c r="S181" s="89">
        <f t="shared" ref="S181:AD181" si="146">SUM(S174:S180)</f>
        <v>0</v>
      </c>
      <c r="T181" s="89">
        <f t="shared" si="146"/>
        <v>0</v>
      </c>
      <c r="U181" s="89">
        <f t="shared" si="146"/>
        <v>0</v>
      </c>
      <c r="V181" s="89">
        <f t="shared" si="146"/>
        <v>0</v>
      </c>
      <c r="W181" s="89">
        <f t="shared" si="146"/>
        <v>0</v>
      </c>
      <c r="X181" s="89">
        <f t="shared" si="146"/>
        <v>0</v>
      </c>
      <c r="Y181" s="89">
        <f t="shared" si="146"/>
        <v>0</v>
      </c>
      <c r="Z181" s="89">
        <f t="shared" si="146"/>
        <v>0</v>
      </c>
      <c r="AA181" s="89">
        <f t="shared" si="146"/>
        <v>0</v>
      </c>
      <c r="AB181" s="89">
        <f t="shared" si="146"/>
        <v>0</v>
      </c>
      <c r="AC181" s="89">
        <f t="shared" si="146"/>
        <v>0</v>
      </c>
      <c r="AD181" s="89">
        <f t="shared" si="146"/>
        <v>0</v>
      </c>
      <c r="AF181" s="89">
        <f>SUM(AF174:AF180)</f>
        <v>0</v>
      </c>
      <c r="AH181" s="89">
        <f>SUM(AH174:AH180)</f>
        <v>0</v>
      </c>
      <c r="AJ181" s="89">
        <f>SUM(AJ174:AJ180)</f>
        <v>0</v>
      </c>
      <c r="AK181" s="90">
        <f>SUM(H181:AJ181)</f>
        <v>10609</v>
      </c>
      <c r="AL181" s="87" t="str">
        <f>IF(ABS(AK181-F181)&lt;1,"ok","err")</f>
        <v>ok</v>
      </c>
    </row>
    <row r="182" spans="1:38" x14ac:dyDescent="0.5">
      <c r="D182" s="348"/>
      <c r="E182" s="50"/>
      <c r="F182" s="89"/>
      <c r="Y182" s="86"/>
      <c r="AL182" s="87"/>
    </row>
    <row r="183" spans="1:38" x14ac:dyDescent="0.5">
      <c r="A183" s="23" t="s">
        <v>1600</v>
      </c>
      <c r="D183" s="348"/>
      <c r="E183" s="50"/>
      <c r="F183" s="89"/>
      <c r="Y183" s="86"/>
      <c r="AL183" s="87"/>
    </row>
    <row r="184" spans="1:38" x14ac:dyDescent="0.5">
      <c r="A184" s="101">
        <v>541</v>
      </c>
      <c r="B184" s="86" t="s">
        <v>560</v>
      </c>
      <c r="C184" s="86" t="s">
        <v>1613</v>
      </c>
      <c r="D184" s="348" t="s">
        <v>711</v>
      </c>
      <c r="E184" s="50"/>
      <c r="F184" s="89">
        <f>'Jurisdictional Study'!F1000</f>
        <v>182692</v>
      </c>
      <c r="H184" s="90">
        <f>IF(VLOOKUP($D184,$C$5:$AJ$596,6,)=0,0,((VLOOKUP($D184,$C$5:$AJ$596,6,)/VLOOKUP($D184,$C$5:$AJ$596,4,))*$F184))</f>
        <v>119576.63530246165</v>
      </c>
      <c r="I184" s="90">
        <f>IF(VLOOKUP($D184,$C$5:$AJ$596,7,)=0,0,((VLOOKUP($D184,$C$5:$AJ$596,7,)/VLOOKUP($D184,$C$5:$AJ$596,4,))*$F184))</f>
        <v>0</v>
      </c>
      <c r="J184" s="90">
        <f>IF(VLOOKUP($D184,$C$5:$AJ$596,8,)=0,0,((VLOOKUP($D184,$C$5:$AJ$596,8,)/VLOOKUP($D184,$C$5:$AJ$596,4,))*$F184))</f>
        <v>0</v>
      </c>
      <c r="K184" s="90">
        <f>IF(VLOOKUP($D184,$C$5:$AJ$596,9,)=0,0,((VLOOKUP($D184,$C$5:$AJ$596,9,)/VLOOKUP($D184,$C$5:$AJ$596,4,))*$F184))</f>
        <v>63115.364697538345</v>
      </c>
      <c r="L184" s="90">
        <f>IF(VLOOKUP($D184,$C$5:$AJ$596,10,)=0,0,((VLOOKUP($D184,$C$5:$AJ$596,10,)/VLOOKUP($D184,$C$5:$AJ$596,4,))*$F184))</f>
        <v>0</v>
      </c>
      <c r="M184" s="90">
        <f>IF(VLOOKUP($D184,$C$5:$AJ$596,11,)=0,0,((VLOOKUP($D184,$C$5:$AJ$596,11,)/VLOOKUP($D184,$C$5:$AJ$596,4,))*$F184))</f>
        <v>0</v>
      </c>
      <c r="N184" s="90"/>
      <c r="O184" s="90">
        <f>IF(VLOOKUP($D184,$C$5:$AJ$596,13,)=0,0,((VLOOKUP($D184,$C$5:$AJ$596,13,)/VLOOKUP($D184,$C$5:$AJ$596,4,))*$F184))</f>
        <v>0</v>
      </c>
      <c r="P184" s="90">
        <f>IF(VLOOKUP($D184,$C$5:$AJ$596,14,)=0,0,((VLOOKUP($D184,$C$5:$AJ$596,14,)/VLOOKUP($D184,$C$5:$AJ$596,4,))*$F184))</f>
        <v>0</v>
      </c>
      <c r="Q184" s="90">
        <f>IF(VLOOKUP($D184,$C$5:$AJ$596,15,)=0,0,((VLOOKUP($D184,$C$5:$AJ$596,15,)/VLOOKUP($D184,$C$5:$AJ$596,4,))*$F184))</f>
        <v>0</v>
      </c>
      <c r="R184" s="90"/>
      <c r="S184" s="90">
        <f>IF(VLOOKUP($D184,$C$5:$AJ$596,17,)=0,0,((VLOOKUP($D184,$C$5:$AJ$596,17,)/VLOOKUP($D184,$C$5:$AJ$596,4,))*$F184))</f>
        <v>0</v>
      </c>
      <c r="T184" s="90">
        <f>IF(VLOOKUP($D184,$C$5:$AJ$596,18,)=0,0,((VLOOKUP($D184,$C$5:$AJ$596,18,)/VLOOKUP($D184,$C$5:$AJ$596,4,))*$F184))</f>
        <v>0</v>
      </c>
      <c r="U184" s="90">
        <f>IF(VLOOKUP($D184,$C$5:$AJ$596,19,)=0,0,((VLOOKUP($D184,$C$5:$AJ$596,19,)/VLOOKUP($D184,$C$5:$AJ$596,4,))*$F184))</f>
        <v>0</v>
      </c>
      <c r="V184" s="90">
        <f>IF(VLOOKUP($D184,$C$5:$AJ$596,20,)=0,0,((VLOOKUP($D184,$C$5:$AJ$596,20,)/VLOOKUP($D184,$C$5:$AJ$596,4,))*$F184))</f>
        <v>0</v>
      </c>
      <c r="W184" s="90">
        <f>IF(VLOOKUP($D184,$C$5:$AJ$596,21,)=0,0,((VLOOKUP($D184,$C$5:$AJ$596,21,)/VLOOKUP($D184,$C$5:$AJ$596,4,))*$F184))</f>
        <v>0</v>
      </c>
      <c r="X184" s="90">
        <f>IF(VLOOKUP($D184,$C$5:$AJ$596,22,)=0,0,((VLOOKUP($D184,$C$5:$AJ$596,22,)/VLOOKUP($D184,$C$5:$AJ$596,4,))*$F184))</f>
        <v>0</v>
      </c>
      <c r="Y184" s="90">
        <f>IF(VLOOKUP($D184,$C$5:$AJ$596,23,)=0,0,((VLOOKUP($D184,$C$5:$AJ$596,23,)/VLOOKUP($D184,$C$5:$AJ$596,4,))*$F184))</f>
        <v>0</v>
      </c>
      <c r="Z184" s="90">
        <f>IF(VLOOKUP($D184,$C$5:$AJ$596,24,)=0,0,((VLOOKUP($D184,$C$5:$AJ$596,24,)/VLOOKUP($D184,$C$5:$AJ$596,4,))*$F184))</f>
        <v>0</v>
      </c>
      <c r="AA184" s="90">
        <f>IF(VLOOKUP($D184,$C$5:$AJ$596,25,)=0,0,((VLOOKUP($D184,$C$5:$AJ$596,25,)/VLOOKUP($D184,$C$5:$AJ$596,4,))*$F184))</f>
        <v>0</v>
      </c>
      <c r="AB184" s="90">
        <f>IF(VLOOKUP($D184,$C$5:$AJ$596,26,)=0,0,((VLOOKUP($D184,$C$5:$AJ$596,26,)/VLOOKUP($D184,$C$5:$AJ$596,4,))*$F184))</f>
        <v>0</v>
      </c>
      <c r="AC184" s="90">
        <f>IF(VLOOKUP($D184,$C$5:$AJ$596,27,)=0,0,((VLOOKUP($D184,$C$5:$AJ$596,27,)/VLOOKUP($D184,$C$5:$AJ$596,4,))*$F184))</f>
        <v>0</v>
      </c>
      <c r="AD184" s="90">
        <f>IF(VLOOKUP($D184,$C$5:$AJ$596,28,)=0,0,((VLOOKUP($D184,$C$5:$AJ$596,28,)/VLOOKUP($D184,$C$5:$AJ$596,4,))*$F184))</f>
        <v>0</v>
      </c>
      <c r="AE184" s="90"/>
      <c r="AF184" s="90">
        <f>IF(VLOOKUP($D184,$C$5:$AJ$596,30,)=0,0,((VLOOKUP($D184,$C$5:$AJ$596,30,)/VLOOKUP($D184,$C$5:$AJ$596,4,))*$F184))</f>
        <v>0</v>
      </c>
      <c r="AG184" s="90"/>
      <c r="AH184" s="90">
        <f>IF(VLOOKUP($D184,$C$5:$AJ$596,32,)=0,0,((VLOOKUP($D184,$C$5:$AJ$596,32,)/VLOOKUP($D184,$C$5:$AJ$596,4,))*$F184))</f>
        <v>0</v>
      </c>
      <c r="AI184" s="90"/>
      <c r="AJ184" s="90">
        <f>IF(VLOOKUP($D184,$C$5:$AJ$596,34,)=0,0,((VLOOKUP($D184,$C$5:$AJ$596,34,)/VLOOKUP($D184,$C$5:$AJ$596,4,))*$F184))</f>
        <v>0</v>
      </c>
      <c r="AK184" s="90">
        <f>SUM(H184:AJ184)</f>
        <v>182692</v>
      </c>
      <c r="AL184" s="87" t="str">
        <f>IF(ABS(AK184-F184)&lt;1,"ok","err")</f>
        <v>ok</v>
      </c>
    </row>
    <row r="185" spans="1:38" x14ac:dyDescent="0.5">
      <c r="A185" s="101">
        <v>542</v>
      </c>
      <c r="B185" s="86" t="s">
        <v>559</v>
      </c>
      <c r="C185" s="86" t="s">
        <v>1614</v>
      </c>
      <c r="D185" s="348" t="s">
        <v>709</v>
      </c>
      <c r="E185" s="50"/>
      <c r="F185" s="90">
        <f>'Jurisdictional Study'!F1001</f>
        <v>163428</v>
      </c>
      <c r="H185" s="90">
        <f>IF(VLOOKUP($D185,$C$5:$AJ$596,6,)=0,0,((VLOOKUP($D185,$C$5:$AJ$596,6,)/VLOOKUP($D185,$C$5:$AJ$596,4,))*$F185))</f>
        <v>163428</v>
      </c>
      <c r="I185" s="90">
        <f>IF(VLOOKUP($D185,$C$5:$AJ$596,7,)=0,0,((VLOOKUP($D185,$C$5:$AJ$596,7,)/VLOOKUP($D185,$C$5:$AJ$596,4,))*$F185))</f>
        <v>0</v>
      </c>
      <c r="J185" s="90">
        <f>IF(VLOOKUP($D185,$C$5:$AJ$596,8,)=0,0,((VLOOKUP($D185,$C$5:$AJ$596,8,)/VLOOKUP($D185,$C$5:$AJ$596,4,))*$F185))</f>
        <v>0</v>
      </c>
      <c r="K185" s="90">
        <f>IF(VLOOKUP($D185,$C$5:$AJ$596,9,)=0,0,((VLOOKUP($D185,$C$5:$AJ$596,9,)/VLOOKUP($D185,$C$5:$AJ$596,4,))*$F185))</f>
        <v>0</v>
      </c>
      <c r="L185" s="90">
        <f>IF(VLOOKUP($D185,$C$5:$AJ$596,10,)=0,0,((VLOOKUP($D185,$C$5:$AJ$596,10,)/VLOOKUP($D185,$C$5:$AJ$596,4,))*$F185))</f>
        <v>0</v>
      </c>
      <c r="M185" s="90">
        <f>IF(VLOOKUP($D185,$C$5:$AJ$596,11,)=0,0,((VLOOKUP($D185,$C$5:$AJ$596,11,)/VLOOKUP($D185,$C$5:$AJ$596,4,))*$F185))</f>
        <v>0</v>
      </c>
      <c r="N185" s="90"/>
      <c r="O185" s="90">
        <f>IF(VLOOKUP($D185,$C$5:$AJ$596,13,)=0,0,((VLOOKUP($D185,$C$5:$AJ$596,13,)/VLOOKUP($D185,$C$5:$AJ$596,4,))*$F185))</f>
        <v>0</v>
      </c>
      <c r="P185" s="90">
        <f>IF(VLOOKUP($D185,$C$5:$AJ$596,14,)=0,0,((VLOOKUP($D185,$C$5:$AJ$596,14,)/VLOOKUP($D185,$C$5:$AJ$596,4,))*$F185))</f>
        <v>0</v>
      </c>
      <c r="Q185" s="90">
        <f>IF(VLOOKUP($D185,$C$5:$AJ$596,15,)=0,0,((VLOOKUP($D185,$C$5:$AJ$596,15,)/VLOOKUP($D185,$C$5:$AJ$596,4,))*$F185))</f>
        <v>0</v>
      </c>
      <c r="R185" s="90"/>
      <c r="S185" s="90">
        <f>IF(VLOOKUP($D185,$C$5:$AJ$596,17,)=0,0,((VLOOKUP($D185,$C$5:$AJ$596,17,)/VLOOKUP($D185,$C$5:$AJ$596,4,))*$F185))</f>
        <v>0</v>
      </c>
      <c r="T185" s="90">
        <f>IF(VLOOKUP($D185,$C$5:$AJ$596,18,)=0,0,((VLOOKUP($D185,$C$5:$AJ$596,18,)/VLOOKUP($D185,$C$5:$AJ$596,4,))*$F185))</f>
        <v>0</v>
      </c>
      <c r="U185" s="90">
        <f>IF(VLOOKUP($D185,$C$5:$AJ$596,19,)=0,0,((VLOOKUP($D185,$C$5:$AJ$596,19,)/VLOOKUP($D185,$C$5:$AJ$596,4,))*$F185))</f>
        <v>0</v>
      </c>
      <c r="V185" s="90">
        <f>IF(VLOOKUP($D185,$C$5:$AJ$596,20,)=0,0,((VLOOKUP($D185,$C$5:$AJ$596,20,)/VLOOKUP($D185,$C$5:$AJ$596,4,))*$F185))</f>
        <v>0</v>
      </c>
      <c r="W185" s="90">
        <f>IF(VLOOKUP($D185,$C$5:$AJ$596,21,)=0,0,((VLOOKUP($D185,$C$5:$AJ$596,21,)/VLOOKUP($D185,$C$5:$AJ$596,4,))*$F185))</f>
        <v>0</v>
      </c>
      <c r="X185" s="90">
        <f>IF(VLOOKUP($D185,$C$5:$AJ$596,22,)=0,0,((VLOOKUP($D185,$C$5:$AJ$596,22,)/VLOOKUP($D185,$C$5:$AJ$596,4,))*$F185))</f>
        <v>0</v>
      </c>
      <c r="Y185" s="90">
        <f>IF(VLOOKUP($D185,$C$5:$AJ$596,23,)=0,0,((VLOOKUP($D185,$C$5:$AJ$596,23,)/VLOOKUP($D185,$C$5:$AJ$596,4,))*$F185))</f>
        <v>0</v>
      </c>
      <c r="Z185" s="90">
        <f>IF(VLOOKUP($D185,$C$5:$AJ$596,24,)=0,0,((VLOOKUP($D185,$C$5:$AJ$596,24,)/VLOOKUP($D185,$C$5:$AJ$596,4,))*$F185))</f>
        <v>0</v>
      </c>
      <c r="AA185" s="90">
        <f>IF(VLOOKUP($D185,$C$5:$AJ$596,25,)=0,0,((VLOOKUP($D185,$C$5:$AJ$596,25,)/VLOOKUP($D185,$C$5:$AJ$596,4,))*$F185))</f>
        <v>0</v>
      </c>
      <c r="AB185" s="90">
        <f>IF(VLOOKUP($D185,$C$5:$AJ$596,26,)=0,0,((VLOOKUP($D185,$C$5:$AJ$596,26,)/VLOOKUP($D185,$C$5:$AJ$596,4,))*$F185))</f>
        <v>0</v>
      </c>
      <c r="AC185" s="90">
        <f>IF(VLOOKUP($D185,$C$5:$AJ$596,27,)=0,0,((VLOOKUP($D185,$C$5:$AJ$596,27,)/VLOOKUP($D185,$C$5:$AJ$596,4,))*$F185))</f>
        <v>0</v>
      </c>
      <c r="AD185" s="90">
        <f>IF(VLOOKUP($D185,$C$5:$AJ$596,28,)=0,0,((VLOOKUP($D185,$C$5:$AJ$596,28,)/VLOOKUP($D185,$C$5:$AJ$596,4,))*$F185))</f>
        <v>0</v>
      </c>
      <c r="AE185" s="90"/>
      <c r="AF185" s="90">
        <f>IF(VLOOKUP($D185,$C$5:$AJ$596,30,)=0,0,((VLOOKUP($D185,$C$5:$AJ$596,30,)/VLOOKUP($D185,$C$5:$AJ$596,4,))*$F185))</f>
        <v>0</v>
      </c>
      <c r="AG185" s="90"/>
      <c r="AH185" s="90">
        <f>IF(VLOOKUP($D185,$C$5:$AJ$596,32,)=0,0,((VLOOKUP($D185,$C$5:$AJ$596,32,)/VLOOKUP($D185,$C$5:$AJ$596,4,))*$F185))</f>
        <v>0</v>
      </c>
      <c r="AI185" s="90"/>
      <c r="AJ185" s="90">
        <f>IF(VLOOKUP($D185,$C$5:$AJ$596,34,)=0,0,((VLOOKUP($D185,$C$5:$AJ$596,34,)/VLOOKUP($D185,$C$5:$AJ$596,4,))*$F185))</f>
        <v>0</v>
      </c>
      <c r="AK185" s="90">
        <f>SUM(H185:AJ185)</f>
        <v>163428</v>
      </c>
      <c r="AL185" s="87" t="str">
        <f>IF(ABS(AK185-F185)&lt;1,"ok","err")</f>
        <v>ok</v>
      </c>
    </row>
    <row r="186" spans="1:38" x14ac:dyDescent="0.5">
      <c r="A186" s="101">
        <v>543</v>
      </c>
      <c r="B186" s="86" t="s">
        <v>1601</v>
      </c>
      <c r="C186" s="86" t="s">
        <v>1615</v>
      </c>
      <c r="D186" s="348" t="s">
        <v>709</v>
      </c>
      <c r="E186" s="50"/>
      <c r="F186" s="90">
        <f>'Jurisdictional Study'!F1002</f>
        <v>25704</v>
      </c>
      <c r="H186" s="90">
        <f>IF(VLOOKUP($D186,$C$5:$AJ$596,6,)=0,0,((VLOOKUP($D186,$C$5:$AJ$596,6,)/VLOOKUP($D186,$C$5:$AJ$596,4,))*$F186))</f>
        <v>25704</v>
      </c>
      <c r="I186" s="90">
        <f>IF(VLOOKUP($D186,$C$5:$AJ$596,7,)=0,0,((VLOOKUP($D186,$C$5:$AJ$596,7,)/VLOOKUP($D186,$C$5:$AJ$596,4,))*$F186))</f>
        <v>0</v>
      </c>
      <c r="J186" s="90">
        <f>IF(VLOOKUP($D186,$C$5:$AJ$596,8,)=0,0,((VLOOKUP($D186,$C$5:$AJ$596,8,)/VLOOKUP($D186,$C$5:$AJ$596,4,))*$F186))</f>
        <v>0</v>
      </c>
      <c r="K186" s="90">
        <f>IF(VLOOKUP($D186,$C$5:$AJ$596,9,)=0,0,((VLOOKUP($D186,$C$5:$AJ$596,9,)/VLOOKUP($D186,$C$5:$AJ$596,4,))*$F186))</f>
        <v>0</v>
      </c>
      <c r="L186" s="90">
        <f>IF(VLOOKUP($D186,$C$5:$AJ$596,10,)=0,0,((VLOOKUP($D186,$C$5:$AJ$596,10,)/VLOOKUP($D186,$C$5:$AJ$596,4,))*$F186))</f>
        <v>0</v>
      </c>
      <c r="M186" s="90">
        <f>IF(VLOOKUP($D186,$C$5:$AJ$596,11,)=0,0,((VLOOKUP($D186,$C$5:$AJ$596,11,)/VLOOKUP($D186,$C$5:$AJ$596,4,))*$F186))</f>
        <v>0</v>
      </c>
      <c r="N186" s="90"/>
      <c r="O186" s="90">
        <f>IF(VLOOKUP($D186,$C$5:$AJ$596,13,)=0,0,((VLOOKUP($D186,$C$5:$AJ$596,13,)/VLOOKUP($D186,$C$5:$AJ$596,4,))*$F186))</f>
        <v>0</v>
      </c>
      <c r="P186" s="90">
        <f>IF(VLOOKUP($D186,$C$5:$AJ$596,14,)=0,0,((VLOOKUP($D186,$C$5:$AJ$596,14,)/VLOOKUP($D186,$C$5:$AJ$596,4,))*$F186))</f>
        <v>0</v>
      </c>
      <c r="Q186" s="90">
        <f>IF(VLOOKUP($D186,$C$5:$AJ$596,15,)=0,0,((VLOOKUP($D186,$C$5:$AJ$596,15,)/VLOOKUP($D186,$C$5:$AJ$596,4,))*$F186))</f>
        <v>0</v>
      </c>
      <c r="R186" s="90"/>
      <c r="S186" s="90">
        <f>IF(VLOOKUP($D186,$C$5:$AJ$596,17,)=0,0,((VLOOKUP($D186,$C$5:$AJ$596,17,)/VLOOKUP($D186,$C$5:$AJ$596,4,))*$F186))</f>
        <v>0</v>
      </c>
      <c r="T186" s="90">
        <f>IF(VLOOKUP($D186,$C$5:$AJ$596,18,)=0,0,((VLOOKUP($D186,$C$5:$AJ$596,18,)/VLOOKUP($D186,$C$5:$AJ$596,4,))*$F186))</f>
        <v>0</v>
      </c>
      <c r="U186" s="90">
        <f>IF(VLOOKUP($D186,$C$5:$AJ$596,19,)=0,0,((VLOOKUP($D186,$C$5:$AJ$596,19,)/VLOOKUP($D186,$C$5:$AJ$596,4,))*$F186))</f>
        <v>0</v>
      </c>
      <c r="V186" s="90">
        <f>IF(VLOOKUP($D186,$C$5:$AJ$596,20,)=0,0,((VLOOKUP($D186,$C$5:$AJ$596,20,)/VLOOKUP($D186,$C$5:$AJ$596,4,))*$F186))</f>
        <v>0</v>
      </c>
      <c r="W186" s="90">
        <f>IF(VLOOKUP($D186,$C$5:$AJ$596,21,)=0,0,((VLOOKUP($D186,$C$5:$AJ$596,21,)/VLOOKUP($D186,$C$5:$AJ$596,4,))*$F186))</f>
        <v>0</v>
      </c>
      <c r="X186" s="90">
        <f>IF(VLOOKUP($D186,$C$5:$AJ$596,22,)=0,0,((VLOOKUP($D186,$C$5:$AJ$596,22,)/VLOOKUP($D186,$C$5:$AJ$596,4,))*$F186))</f>
        <v>0</v>
      </c>
      <c r="Y186" s="90">
        <f>IF(VLOOKUP($D186,$C$5:$AJ$596,23,)=0,0,((VLOOKUP($D186,$C$5:$AJ$596,23,)/VLOOKUP($D186,$C$5:$AJ$596,4,))*$F186))</f>
        <v>0</v>
      </c>
      <c r="Z186" s="90">
        <f>IF(VLOOKUP($D186,$C$5:$AJ$596,24,)=0,0,((VLOOKUP($D186,$C$5:$AJ$596,24,)/VLOOKUP($D186,$C$5:$AJ$596,4,))*$F186))</f>
        <v>0</v>
      </c>
      <c r="AA186" s="90">
        <f>IF(VLOOKUP($D186,$C$5:$AJ$596,25,)=0,0,((VLOOKUP($D186,$C$5:$AJ$596,25,)/VLOOKUP($D186,$C$5:$AJ$596,4,))*$F186))</f>
        <v>0</v>
      </c>
      <c r="AB186" s="90">
        <f>IF(VLOOKUP($D186,$C$5:$AJ$596,26,)=0,0,((VLOOKUP($D186,$C$5:$AJ$596,26,)/VLOOKUP($D186,$C$5:$AJ$596,4,))*$F186))</f>
        <v>0</v>
      </c>
      <c r="AC186" s="90">
        <f>IF(VLOOKUP($D186,$C$5:$AJ$596,27,)=0,0,((VLOOKUP($D186,$C$5:$AJ$596,27,)/VLOOKUP($D186,$C$5:$AJ$596,4,))*$F186))</f>
        <v>0</v>
      </c>
      <c r="AD186" s="90">
        <f>IF(VLOOKUP($D186,$C$5:$AJ$596,28,)=0,0,((VLOOKUP($D186,$C$5:$AJ$596,28,)/VLOOKUP($D186,$C$5:$AJ$596,4,))*$F186))</f>
        <v>0</v>
      </c>
      <c r="AE186" s="90"/>
      <c r="AF186" s="90">
        <f>IF(VLOOKUP($D186,$C$5:$AJ$596,30,)=0,0,((VLOOKUP($D186,$C$5:$AJ$596,30,)/VLOOKUP($D186,$C$5:$AJ$596,4,))*$F186))</f>
        <v>0</v>
      </c>
      <c r="AG186" s="90"/>
      <c r="AH186" s="90">
        <f>IF(VLOOKUP($D186,$C$5:$AJ$596,32,)=0,0,((VLOOKUP($D186,$C$5:$AJ$596,32,)/VLOOKUP($D186,$C$5:$AJ$596,4,))*$F186))</f>
        <v>0</v>
      </c>
      <c r="AI186" s="90"/>
      <c r="AJ186" s="90">
        <f>IF(VLOOKUP($D186,$C$5:$AJ$596,34,)=0,0,((VLOOKUP($D186,$C$5:$AJ$596,34,)/VLOOKUP($D186,$C$5:$AJ$596,4,))*$F186))</f>
        <v>0</v>
      </c>
      <c r="AK186" s="90">
        <f>SUM(H186:AJ186)</f>
        <v>25704</v>
      </c>
      <c r="AL186" s="87" t="str">
        <f>IF(ABS(AK186-F186)&lt;1,"ok","err")</f>
        <v>ok</v>
      </c>
    </row>
    <row r="187" spans="1:38" x14ac:dyDescent="0.5">
      <c r="A187" s="86">
        <v>544</v>
      </c>
      <c r="B187" s="86" t="s">
        <v>1503</v>
      </c>
      <c r="C187" s="86" t="s">
        <v>1616</v>
      </c>
      <c r="D187" s="348" t="s">
        <v>104</v>
      </c>
      <c r="E187" s="50"/>
      <c r="F187" s="90">
        <f>'Jurisdictional Study'!F1003</f>
        <v>75495</v>
      </c>
      <c r="H187" s="90">
        <f>IF(VLOOKUP($D187,$C$5:$AJ$596,6,)=0,0,((VLOOKUP($D187,$C$5:$AJ$596,6,)/VLOOKUP($D187,$C$5:$AJ$596,4,))*$F187))</f>
        <v>0</v>
      </c>
      <c r="I187" s="90">
        <f>IF(VLOOKUP($D187,$C$5:$AJ$596,7,)=0,0,((VLOOKUP($D187,$C$5:$AJ$596,7,)/VLOOKUP($D187,$C$5:$AJ$596,4,))*$F187))</f>
        <v>0</v>
      </c>
      <c r="J187" s="90">
        <f>IF(VLOOKUP($D187,$C$5:$AJ$596,8,)=0,0,((VLOOKUP($D187,$C$5:$AJ$596,8,)/VLOOKUP($D187,$C$5:$AJ$596,4,))*$F187))</f>
        <v>0</v>
      </c>
      <c r="K187" s="90">
        <f>IF(VLOOKUP($D187,$C$5:$AJ$596,9,)=0,0,((VLOOKUP($D187,$C$5:$AJ$596,9,)/VLOOKUP($D187,$C$5:$AJ$596,4,))*$F187))</f>
        <v>75495</v>
      </c>
      <c r="L187" s="90">
        <f>IF(VLOOKUP($D187,$C$5:$AJ$596,10,)=0,0,((VLOOKUP($D187,$C$5:$AJ$596,10,)/VLOOKUP($D187,$C$5:$AJ$596,4,))*$F187))</f>
        <v>0</v>
      </c>
      <c r="M187" s="90">
        <f>IF(VLOOKUP($D187,$C$5:$AJ$596,11,)=0,0,((VLOOKUP($D187,$C$5:$AJ$596,11,)/VLOOKUP($D187,$C$5:$AJ$596,4,))*$F187))</f>
        <v>0</v>
      </c>
      <c r="N187" s="90"/>
      <c r="O187" s="90">
        <f>IF(VLOOKUP($D187,$C$5:$AJ$596,13,)=0,0,((VLOOKUP($D187,$C$5:$AJ$596,13,)/VLOOKUP($D187,$C$5:$AJ$596,4,))*$F187))</f>
        <v>0</v>
      </c>
      <c r="P187" s="90">
        <f>IF(VLOOKUP($D187,$C$5:$AJ$596,14,)=0,0,((VLOOKUP($D187,$C$5:$AJ$596,14,)/VLOOKUP($D187,$C$5:$AJ$596,4,))*$F187))</f>
        <v>0</v>
      </c>
      <c r="Q187" s="90">
        <f>IF(VLOOKUP($D187,$C$5:$AJ$596,15,)=0,0,((VLOOKUP($D187,$C$5:$AJ$596,15,)/VLOOKUP($D187,$C$5:$AJ$596,4,))*$F187))</f>
        <v>0</v>
      </c>
      <c r="R187" s="90"/>
      <c r="S187" s="90">
        <f>IF(VLOOKUP($D187,$C$5:$AJ$596,17,)=0,0,((VLOOKUP($D187,$C$5:$AJ$596,17,)/VLOOKUP($D187,$C$5:$AJ$596,4,))*$F187))</f>
        <v>0</v>
      </c>
      <c r="T187" s="90">
        <f>IF(VLOOKUP($D187,$C$5:$AJ$596,18,)=0,0,((VLOOKUP($D187,$C$5:$AJ$596,18,)/VLOOKUP($D187,$C$5:$AJ$596,4,))*$F187))</f>
        <v>0</v>
      </c>
      <c r="U187" s="90">
        <f>IF(VLOOKUP($D187,$C$5:$AJ$596,19,)=0,0,((VLOOKUP($D187,$C$5:$AJ$596,19,)/VLOOKUP($D187,$C$5:$AJ$596,4,))*$F187))</f>
        <v>0</v>
      </c>
      <c r="V187" s="90">
        <f>IF(VLOOKUP($D187,$C$5:$AJ$596,20,)=0,0,((VLOOKUP($D187,$C$5:$AJ$596,20,)/VLOOKUP($D187,$C$5:$AJ$596,4,))*$F187))</f>
        <v>0</v>
      </c>
      <c r="W187" s="90">
        <f>IF(VLOOKUP($D187,$C$5:$AJ$596,21,)=0,0,((VLOOKUP($D187,$C$5:$AJ$596,21,)/VLOOKUP($D187,$C$5:$AJ$596,4,))*$F187))</f>
        <v>0</v>
      </c>
      <c r="X187" s="90">
        <f>IF(VLOOKUP($D187,$C$5:$AJ$596,22,)=0,0,((VLOOKUP($D187,$C$5:$AJ$596,22,)/VLOOKUP($D187,$C$5:$AJ$596,4,))*$F187))</f>
        <v>0</v>
      </c>
      <c r="Y187" s="90">
        <f>IF(VLOOKUP($D187,$C$5:$AJ$596,23,)=0,0,((VLOOKUP($D187,$C$5:$AJ$596,23,)/VLOOKUP($D187,$C$5:$AJ$596,4,))*$F187))</f>
        <v>0</v>
      </c>
      <c r="Z187" s="90">
        <f>IF(VLOOKUP($D187,$C$5:$AJ$596,24,)=0,0,((VLOOKUP($D187,$C$5:$AJ$596,24,)/VLOOKUP($D187,$C$5:$AJ$596,4,))*$F187))</f>
        <v>0</v>
      </c>
      <c r="AA187" s="90">
        <f>IF(VLOOKUP($D187,$C$5:$AJ$596,25,)=0,0,((VLOOKUP($D187,$C$5:$AJ$596,25,)/VLOOKUP($D187,$C$5:$AJ$596,4,))*$F187))</f>
        <v>0</v>
      </c>
      <c r="AB187" s="90">
        <f>IF(VLOOKUP($D187,$C$5:$AJ$596,26,)=0,0,((VLOOKUP($D187,$C$5:$AJ$596,26,)/VLOOKUP($D187,$C$5:$AJ$596,4,))*$F187))</f>
        <v>0</v>
      </c>
      <c r="AC187" s="90">
        <f>IF(VLOOKUP($D187,$C$5:$AJ$596,27,)=0,0,((VLOOKUP($D187,$C$5:$AJ$596,27,)/VLOOKUP($D187,$C$5:$AJ$596,4,))*$F187))</f>
        <v>0</v>
      </c>
      <c r="AD187" s="90">
        <f>IF(VLOOKUP($D187,$C$5:$AJ$596,28,)=0,0,((VLOOKUP($D187,$C$5:$AJ$596,28,)/VLOOKUP($D187,$C$5:$AJ$596,4,))*$F187))</f>
        <v>0</v>
      </c>
      <c r="AE187" s="90"/>
      <c r="AF187" s="90">
        <f>IF(VLOOKUP($D187,$C$5:$AJ$596,30,)=0,0,((VLOOKUP($D187,$C$5:$AJ$596,30,)/VLOOKUP($D187,$C$5:$AJ$596,4,))*$F187))</f>
        <v>0</v>
      </c>
      <c r="AG187" s="90"/>
      <c r="AH187" s="90">
        <f>IF(VLOOKUP($D187,$C$5:$AJ$596,32,)=0,0,((VLOOKUP($D187,$C$5:$AJ$596,32,)/VLOOKUP($D187,$C$5:$AJ$596,4,))*$F187))</f>
        <v>0</v>
      </c>
      <c r="AI187" s="90"/>
      <c r="AJ187" s="90">
        <f>IF(VLOOKUP($D187,$C$5:$AJ$596,34,)=0,0,((VLOOKUP($D187,$C$5:$AJ$596,34,)/VLOOKUP($D187,$C$5:$AJ$596,4,))*$F187))</f>
        <v>0</v>
      </c>
      <c r="AK187" s="90">
        <f>SUM(H187:AJ187)</f>
        <v>75495</v>
      </c>
      <c r="AL187" s="87" t="str">
        <f>IF(ABS(AK187-F187)&lt;1,"ok","err")</f>
        <v>ok</v>
      </c>
    </row>
    <row r="188" spans="1:38" x14ac:dyDescent="0.5">
      <c r="A188" s="86">
        <v>545</v>
      </c>
      <c r="B188" s="86" t="s">
        <v>1607</v>
      </c>
      <c r="C188" s="86" t="s">
        <v>1617</v>
      </c>
      <c r="D188" s="348" t="s">
        <v>104</v>
      </c>
      <c r="E188" s="50"/>
      <c r="F188" s="90">
        <f>'Jurisdictional Study'!F1004</f>
        <v>131530</v>
      </c>
      <c r="H188" s="90">
        <f>IF(VLOOKUP($D188,$C$5:$AJ$596,6,)=0,0,((VLOOKUP($D188,$C$5:$AJ$596,6,)/VLOOKUP($D188,$C$5:$AJ$596,4,))*$F188))</f>
        <v>0</v>
      </c>
      <c r="I188" s="90">
        <f>IF(VLOOKUP($D188,$C$5:$AJ$596,7,)=0,0,((VLOOKUP($D188,$C$5:$AJ$596,7,)/VLOOKUP($D188,$C$5:$AJ$596,4,))*$F188))</f>
        <v>0</v>
      </c>
      <c r="J188" s="90">
        <f>IF(VLOOKUP($D188,$C$5:$AJ$596,8,)=0,0,((VLOOKUP($D188,$C$5:$AJ$596,8,)/VLOOKUP($D188,$C$5:$AJ$596,4,))*$F188))</f>
        <v>0</v>
      </c>
      <c r="K188" s="90">
        <f>IF(VLOOKUP($D188,$C$5:$AJ$596,9,)=0,0,((VLOOKUP($D188,$C$5:$AJ$596,9,)/VLOOKUP($D188,$C$5:$AJ$596,4,))*$F188))</f>
        <v>131530</v>
      </c>
      <c r="L188" s="90">
        <f>IF(VLOOKUP($D188,$C$5:$AJ$596,10,)=0,0,((VLOOKUP($D188,$C$5:$AJ$596,10,)/VLOOKUP($D188,$C$5:$AJ$596,4,))*$F188))</f>
        <v>0</v>
      </c>
      <c r="M188" s="90">
        <f>IF(VLOOKUP($D188,$C$5:$AJ$596,11,)=0,0,((VLOOKUP($D188,$C$5:$AJ$596,11,)/VLOOKUP($D188,$C$5:$AJ$596,4,))*$F188))</f>
        <v>0</v>
      </c>
      <c r="N188" s="90"/>
      <c r="O188" s="90">
        <f>IF(VLOOKUP($D188,$C$5:$AJ$596,13,)=0,0,((VLOOKUP($D188,$C$5:$AJ$596,13,)/VLOOKUP($D188,$C$5:$AJ$596,4,))*$F188))</f>
        <v>0</v>
      </c>
      <c r="P188" s="90">
        <f>IF(VLOOKUP($D188,$C$5:$AJ$596,14,)=0,0,((VLOOKUP($D188,$C$5:$AJ$596,14,)/VLOOKUP($D188,$C$5:$AJ$596,4,))*$F188))</f>
        <v>0</v>
      </c>
      <c r="Q188" s="90">
        <f>IF(VLOOKUP($D188,$C$5:$AJ$596,15,)=0,0,((VLOOKUP($D188,$C$5:$AJ$596,15,)/VLOOKUP($D188,$C$5:$AJ$596,4,))*$F188))</f>
        <v>0</v>
      </c>
      <c r="R188" s="90"/>
      <c r="S188" s="90">
        <f>IF(VLOOKUP($D188,$C$5:$AJ$596,17,)=0,0,((VLOOKUP($D188,$C$5:$AJ$596,17,)/VLOOKUP($D188,$C$5:$AJ$596,4,))*$F188))</f>
        <v>0</v>
      </c>
      <c r="T188" s="90">
        <f>IF(VLOOKUP($D188,$C$5:$AJ$596,18,)=0,0,((VLOOKUP($D188,$C$5:$AJ$596,18,)/VLOOKUP($D188,$C$5:$AJ$596,4,))*$F188))</f>
        <v>0</v>
      </c>
      <c r="U188" s="90">
        <f>IF(VLOOKUP($D188,$C$5:$AJ$596,19,)=0,0,((VLOOKUP($D188,$C$5:$AJ$596,19,)/VLOOKUP($D188,$C$5:$AJ$596,4,))*$F188))</f>
        <v>0</v>
      </c>
      <c r="V188" s="90">
        <f>IF(VLOOKUP($D188,$C$5:$AJ$596,20,)=0,0,((VLOOKUP($D188,$C$5:$AJ$596,20,)/VLOOKUP($D188,$C$5:$AJ$596,4,))*$F188))</f>
        <v>0</v>
      </c>
      <c r="W188" s="90">
        <f>IF(VLOOKUP($D188,$C$5:$AJ$596,21,)=0,0,((VLOOKUP($D188,$C$5:$AJ$596,21,)/VLOOKUP($D188,$C$5:$AJ$596,4,))*$F188))</f>
        <v>0</v>
      </c>
      <c r="X188" s="90">
        <f>IF(VLOOKUP($D188,$C$5:$AJ$596,22,)=0,0,((VLOOKUP($D188,$C$5:$AJ$596,22,)/VLOOKUP($D188,$C$5:$AJ$596,4,))*$F188))</f>
        <v>0</v>
      </c>
      <c r="Y188" s="90">
        <f>IF(VLOOKUP($D188,$C$5:$AJ$596,23,)=0,0,((VLOOKUP($D188,$C$5:$AJ$596,23,)/VLOOKUP($D188,$C$5:$AJ$596,4,))*$F188))</f>
        <v>0</v>
      </c>
      <c r="Z188" s="90">
        <f>IF(VLOOKUP($D188,$C$5:$AJ$596,24,)=0,0,((VLOOKUP($D188,$C$5:$AJ$596,24,)/VLOOKUP($D188,$C$5:$AJ$596,4,))*$F188))</f>
        <v>0</v>
      </c>
      <c r="AA188" s="90">
        <f>IF(VLOOKUP($D188,$C$5:$AJ$596,25,)=0,0,((VLOOKUP($D188,$C$5:$AJ$596,25,)/VLOOKUP($D188,$C$5:$AJ$596,4,))*$F188))</f>
        <v>0</v>
      </c>
      <c r="AB188" s="90">
        <f>IF(VLOOKUP($D188,$C$5:$AJ$596,26,)=0,0,((VLOOKUP($D188,$C$5:$AJ$596,26,)/VLOOKUP($D188,$C$5:$AJ$596,4,))*$F188))</f>
        <v>0</v>
      </c>
      <c r="AC188" s="90">
        <f>IF(VLOOKUP($D188,$C$5:$AJ$596,27,)=0,0,((VLOOKUP($D188,$C$5:$AJ$596,27,)/VLOOKUP($D188,$C$5:$AJ$596,4,))*$F188))</f>
        <v>0</v>
      </c>
      <c r="AD188" s="90">
        <f>IF(VLOOKUP($D188,$C$5:$AJ$596,28,)=0,0,((VLOOKUP($D188,$C$5:$AJ$596,28,)/VLOOKUP($D188,$C$5:$AJ$596,4,))*$F188))</f>
        <v>0</v>
      </c>
      <c r="AE188" s="90"/>
      <c r="AF188" s="90">
        <f>IF(VLOOKUP($D188,$C$5:$AJ$596,30,)=0,0,((VLOOKUP($D188,$C$5:$AJ$596,30,)/VLOOKUP($D188,$C$5:$AJ$596,4,))*$F188))</f>
        <v>0</v>
      </c>
      <c r="AG188" s="90"/>
      <c r="AH188" s="90">
        <f>IF(VLOOKUP($D188,$C$5:$AJ$596,32,)=0,0,((VLOOKUP($D188,$C$5:$AJ$596,32,)/VLOOKUP($D188,$C$5:$AJ$596,4,))*$F188))</f>
        <v>0</v>
      </c>
      <c r="AI188" s="90"/>
      <c r="AJ188" s="90">
        <f>IF(VLOOKUP($D188,$C$5:$AJ$596,34,)=0,0,((VLOOKUP($D188,$C$5:$AJ$596,34,)/VLOOKUP($D188,$C$5:$AJ$596,4,))*$F188))</f>
        <v>0</v>
      </c>
      <c r="AK188" s="90">
        <f>SUM(H188:AJ188)</f>
        <v>131530</v>
      </c>
      <c r="AL188" s="87" t="str">
        <f>IF(ABS(AK188-F188)&lt;1,"ok","err")</f>
        <v>ok</v>
      </c>
    </row>
    <row r="189" spans="1:38" x14ac:dyDescent="0.5">
      <c r="D189" s="348"/>
      <c r="E189" s="50"/>
      <c r="F189" s="89"/>
      <c r="Y189" s="86"/>
      <c r="AL189" s="87"/>
    </row>
    <row r="190" spans="1:38" x14ac:dyDescent="0.5">
      <c r="B190" s="86" t="s">
        <v>1604</v>
      </c>
      <c r="D190" s="348"/>
      <c r="E190" s="50"/>
      <c r="F190" s="89">
        <f>SUM(F184:F189)</f>
        <v>578849</v>
      </c>
      <c r="H190" s="89">
        <f t="shared" ref="H190:M190" si="147">SUM(H184:H189)</f>
        <v>308708.63530246168</v>
      </c>
      <c r="I190" s="89">
        <f t="shared" si="147"/>
        <v>0</v>
      </c>
      <c r="J190" s="89">
        <f t="shared" si="147"/>
        <v>0</v>
      </c>
      <c r="K190" s="89">
        <f t="shared" si="147"/>
        <v>270140.36469753832</v>
      </c>
      <c r="L190" s="89">
        <f t="shared" si="147"/>
        <v>0</v>
      </c>
      <c r="M190" s="89">
        <f t="shared" si="147"/>
        <v>0</v>
      </c>
      <c r="O190" s="89">
        <f>SUM(O184:O189)</f>
        <v>0</v>
      </c>
      <c r="P190" s="89">
        <f>SUM(P184:P189)</f>
        <v>0</v>
      </c>
      <c r="Q190" s="89">
        <f>SUM(Q184:Q189)</f>
        <v>0</v>
      </c>
      <c r="S190" s="89">
        <f t="shared" ref="S190:AD190" si="148">SUM(S184:S189)</f>
        <v>0</v>
      </c>
      <c r="T190" s="89">
        <f t="shared" si="148"/>
        <v>0</v>
      </c>
      <c r="U190" s="89">
        <f t="shared" si="148"/>
        <v>0</v>
      </c>
      <c r="V190" s="89">
        <f t="shared" si="148"/>
        <v>0</v>
      </c>
      <c r="W190" s="89">
        <f t="shared" si="148"/>
        <v>0</v>
      </c>
      <c r="X190" s="89">
        <f t="shared" si="148"/>
        <v>0</v>
      </c>
      <c r="Y190" s="89">
        <f t="shared" si="148"/>
        <v>0</v>
      </c>
      <c r="Z190" s="89">
        <f t="shared" si="148"/>
        <v>0</v>
      </c>
      <c r="AA190" s="89">
        <f t="shared" si="148"/>
        <v>0</v>
      </c>
      <c r="AB190" s="89">
        <f t="shared" si="148"/>
        <v>0</v>
      </c>
      <c r="AC190" s="89">
        <f t="shared" si="148"/>
        <v>0</v>
      </c>
      <c r="AD190" s="89">
        <f t="shared" si="148"/>
        <v>0</v>
      </c>
      <c r="AF190" s="89">
        <f>SUM(AF184:AF189)</f>
        <v>0</v>
      </c>
      <c r="AH190" s="89">
        <f>SUM(AH184:AH189)</f>
        <v>0</v>
      </c>
      <c r="AJ190" s="89">
        <f>SUM(AJ184:AJ189)</f>
        <v>0</v>
      </c>
      <c r="AK190" s="90">
        <f>SUM(H190:AJ190)</f>
        <v>578849</v>
      </c>
      <c r="AL190" s="87" t="str">
        <f>IF(ABS(AK190-F190)&lt;1,"ok","err")</f>
        <v>ok</v>
      </c>
    </row>
    <row r="191" spans="1:38" x14ac:dyDescent="0.5">
      <c r="D191" s="348"/>
      <c r="E191" s="50"/>
      <c r="F191" s="89"/>
      <c r="H191" s="89"/>
      <c r="I191" s="89"/>
      <c r="J191" s="89"/>
      <c r="K191" s="89"/>
      <c r="L191" s="89"/>
      <c r="M191" s="89"/>
      <c r="O191" s="89"/>
      <c r="P191" s="89"/>
      <c r="Q191" s="89"/>
      <c r="S191" s="89"/>
      <c r="T191" s="89"/>
      <c r="U191" s="89"/>
      <c r="V191" s="89"/>
      <c r="W191" s="89"/>
      <c r="X191" s="89"/>
      <c r="Y191" s="89"/>
      <c r="Z191" s="89"/>
      <c r="AA191" s="89"/>
      <c r="AB191" s="89"/>
      <c r="AC191" s="89"/>
      <c r="AD191" s="89"/>
      <c r="AF191" s="89"/>
      <c r="AH191" s="89"/>
      <c r="AJ191" s="89"/>
      <c r="AK191" s="90"/>
      <c r="AL191" s="87"/>
    </row>
    <row r="192" spans="1:38" x14ac:dyDescent="0.5">
      <c r="B192" s="86" t="s">
        <v>1603</v>
      </c>
      <c r="D192" s="348"/>
      <c r="E192" s="50"/>
      <c r="F192" s="89">
        <f>F181+F190</f>
        <v>589458</v>
      </c>
      <c r="H192" s="89">
        <f t="shared" ref="H192:M192" si="149">H181+H190</f>
        <v>319317.63530246168</v>
      </c>
      <c r="I192" s="89">
        <f t="shared" si="149"/>
        <v>0</v>
      </c>
      <c r="J192" s="89">
        <f t="shared" si="149"/>
        <v>0</v>
      </c>
      <c r="K192" s="89">
        <f t="shared" si="149"/>
        <v>270140.36469753832</v>
      </c>
      <c r="L192" s="89">
        <f t="shared" si="149"/>
        <v>0</v>
      </c>
      <c r="M192" s="89">
        <f t="shared" si="149"/>
        <v>0</v>
      </c>
      <c r="O192" s="89">
        <f>O181+O190</f>
        <v>0</v>
      </c>
      <c r="P192" s="89">
        <f>P181+P190</f>
        <v>0</v>
      </c>
      <c r="Q192" s="89">
        <f>Q181+Q190</f>
        <v>0</v>
      </c>
      <c r="S192" s="89">
        <f t="shared" ref="S192:AD192" si="150">S181+S190</f>
        <v>0</v>
      </c>
      <c r="T192" s="89">
        <f t="shared" si="150"/>
        <v>0</v>
      </c>
      <c r="U192" s="89">
        <f t="shared" si="150"/>
        <v>0</v>
      </c>
      <c r="V192" s="89">
        <f t="shared" si="150"/>
        <v>0</v>
      </c>
      <c r="W192" s="89">
        <f t="shared" si="150"/>
        <v>0</v>
      </c>
      <c r="X192" s="89">
        <f t="shared" si="150"/>
        <v>0</v>
      </c>
      <c r="Y192" s="89">
        <f t="shared" si="150"/>
        <v>0</v>
      </c>
      <c r="Z192" s="89">
        <f t="shared" si="150"/>
        <v>0</v>
      </c>
      <c r="AA192" s="89">
        <f t="shared" si="150"/>
        <v>0</v>
      </c>
      <c r="AB192" s="89">
        <f t="shared" si="150"/>
        <v>0</v>
      </c>
      <c r="AC192" s="89">
        <f t="shared" si="150"/>
        <v>0</v>
      </c>
      <c r="AD192" s="89">
        <f t="shared" si="150"/>
        <v>0</v>
      </c>
      <c r="AF192" s="89">
        <f>AF181+AF190</f>
        <v>0</v>
      </c>
      <c r="AH192" s="89">
        <f>AH181+AH190</f>
        <v>0</v>
      </c>
      <c r="AJ192" s="89">
        <f>AJ181+AJ190</f>
        <v>0</v>
      </c>
      <c r="AK192" s="90">
        <f>SUM(H192:AJ192)</f>
        <v>589458</v>
      </c>
      <c r="AL192" s="87" t="str">
        <f>IF(ABS(AK192-F192)&lt;1,"ok","err")</f>
        <v>ok</v>
      </c>
    </row>
    <row r="193" spans="1:38" x14ac:dyDescent="0.5">
      <c r="D193" s="348"/>
      <c r="E193" s="50"/>
      <c r="F193" s="89"/>
      <c r="Y193" s="86"/>
      <c r="AL193" s="87"/>
    </row>
    <row r="194" spans="1:38" x14ac:dyDescent="0.5">
      <c r="A194" s="22" t="s">
        <v>290</v>
      </c>
      <c r="D194" s="348"/>
      <c r="E194" s="50"/>
      <c r="F194" s="89"/>
      <c r="Y194" s="86"/>
      <c r="AL194" s="87"/>
    </row>
    <row r="195" spans="1:38" x14ac:dyDescent="0.5">
      <c r="D195" s="348"/>
      <c r="E195" s="50"/>
      <c r="F195" s="89"/>
      <c r="Y195" s="86"/>
      <c r="AL195" s="87"/>
    </row>
    <row r="196" spans="1:38" x14ac:dyDescent="0.5">
      <c r="A196" s="23" t="s">
        <v>1510</v>
      </c>
      <c r="D196" s="348"/>
      <c r="E196" s="50"/>
      <c r="F196" s="89"/>
      <c r="Y196" s="86"/>
      <c r="AL196" s="87"/>
    </row>
    <row r="197" spans="1:38" x14ac:dyDescent="0.5">
      <c r="A197" s="86">
        <v>546</v>
      </c>
      <c r="B197" s="86" t="s">
        <v>1487</v>
      </c>
      <c r="C197" s="86" t="s">
        <v>1511</v>
      </c>
      <c r="D197" s="348" t="s">
        <v>712</v>
      </c>
      <c r="E197" s="50"/>
      <c r="F197" s="89">
        <f>'Jurisdictional Study'!F1010</f>
        <v>647260</v>
      </c>
      <c r="H197" s="90">
        <f>IF(VLOOKUP($D197,$C$5:$AJ$596,6,)=0,0,((VLOOKUP($D197,$C$5:$AJ$596,6,)/VLOOKUP($D197,$C$5:$AJ$596,4,))*$F197))</f>
        <v>647260</v>
      </c>
      <c r="I197" s="90">
        <f>IF(VLOOKUP($D197,$C$5:$AJ$596,7,)=0,0,((VLOOKUP($D197,$C$5:$AJ$596,7,)/VLOOKUP($D197,$C$5:$AJ$596,4,))*$F197))</f>
        <v>0</v>
      </c>
      <c r="J197" s="90">
        <f>IF(VLOOKUP($D197,$C$5:$AJ$596,8,)=0,0,((VLOOKUP($D197,$C$5:$AJ$596,8,)/VLOOKUP($D197,$C$5:$AJ$596,4,))*$F197))</f>
        <v>0</v>
      </c>
      <c r="K197" s="90">
        <f>IF(VLOOKUP($D197,$C$5:$AJ$596,9,)=0,0,((VLOOKUP($D197,$C$5:$AJ$596,9,)/VLOOKUP($D197,$C$5:$AJ$596,4,))*$F197))</f>
        <v>0</v>
      </c>
      <c r="L197" s="90">
        <f>IF(VLOOKUP($D197,$C$5:$AJ$596,10,)=0,0,((VLOOKUP($D197,$C$5:$AJ$596,10,)/VLOOKUP($D197,$C$5:$AJ$596,4,))*$F197))</f>
        <v>0</v>
      </c>
      <c r="M197" s="90">
        <f>IF(VLOOKUP($D197,$C$5:$AJ$596,11,)=0,0,((VLOOKUP($D197,$C$5:$AJ$596,11,)/VLOOKUP($D197,$C$5:$AJ$596,4,))*$F197))</f>
        <v>0</v>
      </c>
      <c r="N197" s="90"/>
      <c r="O197" s="90">
        <f>IF(VLOOKUP($D197,$C$5:$AJ$596,13,)=0,0,((VLOOKUP($D197,$C$5:$AJ$596,13,)/VLOOKUP($D197,$C$5:$AJ$596,4,))*$F197))</f>
        <v>0</v>
      </c>
      <c r="P197" s="90">
        <f>IF(VLOOKUP($D197,$C$5:$AJ$596,14,)=0,0,((VLOOKUP($D197,$C$5:$AJ$596,14,)/VLOOKUP($D197,$C$5:$AJ$596,4,))*$F197))</f>
        <v>0</v>
      </c>
      <c r="Q197" s="90">
        <f>IF(VLOOKUP($D197,$C$5:$AJ$596,15,)=0,0,((VLOOKUP($D197,$C$5:$AJ$596,15,)/VLOOKUP($D197,$C$5:$AJ$596,4,))*$F197))</f>
        <v>0</v>
      </c>
      <c r="R197" s="90"/>
      <c r="S197" s="90">
        <f>IF(VLOOKUP($D197,$C$5:$AJ$596,17,)=0,0,((VLOOKUP($D197,$C$5:$AJ$596,17,)/VLOOKUP($D197,$C$5:$AJ$596,4,))*$F197))</f>
        <v>0</v>
      </c>
      <c r="T197" s="90">
        <f>IF(VLOOKUP($D197,$C$5:$AJ$596,18,)=0,0,((VLOOKUP($D197,$C$5:$AJ$596,18,)/VLOOKUP($D197,$C$5:$AJ$596,4,))*$F197))</f>
        <v>0</v>
      </c>
      <c r="U197" s="90">
        <f>IF(VLOOKUP($D197,$C$5:$AJ$596,19,)=0,0,((VLOOKUP($D197,$C$5:$AJ$596,19,)/VLOOKUP($D197,$C$5:$AJ$596,4,))*$F197))</f>
        <v>0</v>
      </c>
      <c r="V197" s="90">
        <f>IF(VLOOKUP($D197,$C$5:$AJ$596,20,)=0,0,((VLOOKUP($D197,$C$5:$AJ$596,20,)/VLOOKUP($D197,$C$5:$AJ$596,4,))*$F197))</f>
        <v>0</v>
      </c>
      <c r="W197" s="90">
        <f>IF(VLOOKUP($D197,$C$5:$AJ$596,21,)=0,0,((VLOOKUP($D197,$C$5:$AJ$596,21,)/VLOOKUP($D197,$C$5:$AJ$596,4,))*$F197))</f>
        <v>0</v>
      </c>
      <c r="X197" s="90">
        <f>IF(VLOOKUP($D197,$C$5:$AJ$596,22,)=0,0,((VLOOKUP($D197,$C$5:$AJ$596,22,)/VLOOKUP($D197,$C$5:$AJ$596,4,))*$F197))</f>
        <v>0</v>
      </c>
      <c r="Y197" s="90">
        <f>IF(VLOOKUP($D197,$C$5:$AJ$596,23,)=0,0,((VLOOKUP($D197,$C$5:$AJ$596,23,)/VLOOKUP($D197,$C$5:$AJ$596,4,))*$F197))</f>
        <v>0</v>
      </c>
      <c r="Z197" s="90">
        <f>IF(VLOOKUP($D197,$C$5:$AJ$596,24,)=0,0,((VLOOKUP($D197,$C$5:$AJ$596,24,)/VLOOKUP($D197,$C$5:$AJ$596,4,))*$F197))</f>
        <v>0</v>
      </c>
      <c r="AA197" s="90">
        <f>IF(VLOOKUP($D197,$C$5:$AJ$596,25,)=0,0,((VLOOKUP($D197,$C$5:$AJ$596,25,)/VLOOKUP($D197,$C$5:$AJ$596,4,))*$F197))</f>
        <v>0</v>
      </c>
      <c r="AB197" s="90">
        <f>IF(VLOOKUP($D197,$C$5:$AJ$596,26,)=0,0,((VLOOKUP($D197,$C$5:$AJ$596,26,)/VLOOKUP($D197,$C$5:$AJ$596,4,))*$F197))</f>
        <v>0</v>
      </c>
      <c r="AC197" s="90">
        <f>IF(VLOOKUP($D197,$C$5:$AJ$596,27,)=0,0,((VLOOKUP($D197,$C$5:$AJ$596,27,)/VLOOKUP($D197,$C$5:$AJ$596,4,))*$F197))</f>
        <v>0</v>
      </c>
      <c r="AD197" s="90">
        <f>IF(VLOOKUP($D197,$C$5:$AJ$596,28,)=0,0,((VLOOKUP($D197,$C$5:$AJ$596,28,)/VLOOKUP($D197,$C$5:$AJ$596,4,))*$F197))</f>
        <v>0</v>
      </c>
      <c r="AE197" s="90"/>
      <c r="AF197" s="90">
        <f>IF(VLOOKUP($D197,$C$5:$AJ$596,30,)=0,0,((VLOOKUP($D197,$C$5:$AJ$596,30,)/VLOOKUP($D197,$C$5:$AJ$596,4,))*$F197))</f>
        <v>0</v>
      </c>
      <c r="AG197" s="90"/>
      <c r="AH197" s="90">
        <f>IF(VLOOKUP($D197,$C$5:$AJ$596,32,)=0,0,((VLOOKUP($D197,$C$5:$AJ$596,32,)/VLOOKUP($D197,$C$5:$AJ$596,4,))*$F197))</f>
        <v>0</v>
      </c>
      <c r="AI197" s="90"/>
      <c r="AJ197" s="90">
        <f>IF(VLOOKUP($D197,$C$5:$AJ$596,34,)=0,0,((VLOOKUP($D197,$C$5:$AJ$596,34,)/VLOOKUP($D197,$C$5:$AJ$596,4,))*$F197))</f>
        <v>0</v>
      </c>
      <c r="AK197" s="90">
        <f>SUM(H197:AJ197)</f>
        <v>647260</v>
      </c>
      <c r="AL197" s="87" t="str">
        <f>IF(ABS(AK197-F197)&lt;1,"ok","err")</f>
        <v>ok</v>
      </c>
    </row>
    <row r="198" spans="1:38" x14ac:dyDescent="0.5">
      <c r="A198" s="86">
        <v>547</v>
      </c>
      <c r="B198" s="86" t="s">
        <v>1489</v>
      </c>
      <c r="C198" s="86" t="s">
        <v>1512</v>
      </c>
      <c r="D198" s="348" t="s">
        <v>104</v>
      </c>
      <c r="E198" s="50"/>
      <c r="F198" s="90">
        <f>'Jurisdictional Study'!F1011</f>
        <v>107114208</v>
      </c>
      <c r="H198" s="90">
        <f>IF(VLOOKUP($D198,$C$5:$AJ$596,6,)=0,0,((VLOOKUP($D198,$C$5:$AJ$596,6,)/VLOOKUP($D198,$C$5:$AJ$596,4,))*$F198))</f>
        <v>0</v>
      </c>
      <c r="I198" s="90">
        <f>IF(VLOOKUP($D198,$C$5:$AJ$596,7,)=0,0,((VLOOKUP($D198,$C$5:$AJ$596,7,)/VLOOKUP($D198,$C$5:$AJ$596,4,))*$F198))</f>
        <v>0</v>
      </c>
      <c r="J198" s="90">
        <f>IF(VLOOKUP($D198,$C$5:$AJ$596,8,)=0,0,((VLOOKUP($D198,$C$5:$AJ$596,8,)/VLOOKUP($D198,$C$5:$AJ$596,4,))*$F198))</f>
        <v>0</v>
      </c>
      <c r="K198" s="90">
        <f>IF(VLOOKUP($D198,$C$5:$AJ$596,9,)=0,0,((VLOOKUP($D198,$C$5:$AJ$596,9,)/VLOOKUP($D198,$C$5:$AJ$596,4,))*$F198))</f>
        <v>107114208</v>
      </c>
      <c r="L198" s="90">
        <f>IF(VLOOKUP($D198,$C$5:$AJ$596,10,)=0,0,((VLOOKUP($D198,$C$5:$AJ$596,10,)/VLOOKUP($D198,$C$5:$AJ$596,4,))*$F198))</f>
        <v>0</v>
      </c>
      <c r="M198" s="90">
        <f>IF(VLOOKUP($D198,$C$5:$AJ$596,11,)=0,0,((VLOOKUP($D198,$C$5:$AJ$596,11,)/VLOOKUP($D198,$C$5:$AJ$596,4,))*$F198))</f>
        <v>0</v>
      </c>
      <c r="N198" s="90"/>
      <c r="O198" s="90">
        <f>IF(VLOOKUP($D198,$C$5:$AJ$596,13,)=0,0,((VLOOKUP($D198,$C$5:$AJ$596,13,)/VLOOKUP($D198,$C$5:$AJ$596,4,))*$F198))</f>
        <v>0</v>
      </c>
      <c r="P198" s="90">
        <f>IF(VLOOKUP($D198,$C$5:$AJ$596,14,)=0,0,((VLOOKUP($D198,$C$5:$AJ$596,14,)/VLOOKUP($D198,$C$5:$AJ$596,4,))*$F198))</f>
        <v>0</v>
      </c>
      <c r="Q198" s="90">
        <f>IF(VLOOKUP($D198,$C$5:$AJ$596,15,)=0,0,((VLOOKUP($D198,$C$5:$AJ$596,15,)/VLOOKUP($D198,$C$5:$AJ$596,4,))*$F198))</f>
        <v>0</v>
      </c>
      <c r="R198" s="90"/>
      <c r="S198" s="90">
        <f>IF(VLOOKUP($D198,$C$5:$AJ$596,17,)=0,0,((VLOOKUP($D198,$C$5:$AJ$596,17,)/VLOOKUP($D198,$C$5:$AJ$596,4,))*$F198))</f>
        <v>0</v>
      </c>
      <c r="T198" s="90">
        <f>IF(VLOOKUP($D198,$C$5:$AJ$596,18,)=0,0,((VLOOKUP($D198,$C$5:$AJ$596,18,)/VLOOKUP($D198,$C$5:$AJ$596,4,))*$F198))</f>
        <v>0</v>
      </c>
      <c r="U198" s="90">
        <f>IF(VLOOKUP($D198,$C$5:$AJ$596,19,)=0,0,((VLOOKUP($D198,$C$5:$AJ$596,19,)/VLOOKUP($D198,$C$5:$AJ$596,4,))*$F198))</f>
        <v>0</v>
      </c>
      <c r="V198" s="90">
        <f>IF(VLOOKUP($D198,$C$5:$AJ$596,20,)=0,0,((VLOOKUP($D198,$C$5:$AJ$596,20,)/VLOOKUP($D198,$C$5:$AJ$596,4,))*$F198))</f>
        <v>0</v>
      </c>
      <c r="W198" s="90">
        <f>IF(VLOOKUP($D198,$C$5:$AJ$596,21,)=0,0,((VLOOKUP($D198,$C$5:$AJ$596,21,)/VLOOKUP($D198,$C$5:$AJ$596,4,))*$F198))</f>
        <v>0</v>
      </c>
      <c r="X198" s="90">
        <f>IF(VLOOKUP($D198,$C$5:$AJ$596,22,)=0,0,((VLOOKUP($D198,$C$5:$AJ$596,22,)/VLOOKUP($D198,$C$5:$AJ$596,4,))*$F198))</f>
        <v>0</v>
      </c>
      <c r="Y198" s="90">
        <f>IF(VLOOKUP($D198,$C$5:$AJ$596,23,)=0,0,((VLOOKUP($D198,$C$5:$AJ$596,23,)/VLOOKUP($D198,$C$5:$AJ$596,4,))*$F198))</f>
        <v>0</v>
      </c>
      <c r="Z198" s="90">
        <f>IF(VLOOKUP($D198,$C$5:$AJ$596,24,)=0,0,((VLOOKUP($D198,$C$5:$AJ$596,24,)/VLOOKUP($D198,$C$5:$AJ$596,4,))*$F198))</f>
        <v>0</v>
      </c>
      <c r="AA198" s="90">
        <f>IF(VLOOKUP($D198,$C$5:$AJ$596,25,)=0,0,((VLOOKUP($D198,$C$5:$AJ$596,25,)/VLOOKUP($D198,$C$5:$AJ$596,4,))*$F198))</f>
        <v>0</v>
      </c>
      <c r="AB198" s="90">
        <f>IF(VLOOKUP($D198,$C$5:$AJ$596,26,)=0,0,((VLOOKUP($D198,$C$5:$AJ$596,26,)/VLOOKUP($D198,$C$5:$AJ$596,4,))*$F198))</f>
        <v>0</v>
      </c>
      <c r="AC198" s="90">
        <f>IF(VLOOKUP($D198,$C$5:$AJ$596,27,)=0,0,((VLOOKUP($D198,$C$5:$AJ$596,27,)/VLOOKUP($D198,$C$5:$AJ$596,4,))*$F198))</f>
        <v>0</v>
      </c>
      <c r="AD198" s="90">
        <f>IF(VLOOKUP($D198,$C$5:$AJ$596,28,)=0,0,((VLOOKUP($D198,$C$5:$AJ$596,28,)/VLOOKUP($D198,$C$5:$AJ$596,4,))*$F198))</f>
        <v>0</v>
      </c>
      <c r="AE198" s="90"/>
      <c r="AF198" s="90">
        <f>IF(VLOOKUP($D198,$C$5:$AJ$596,30,)=0,0,((VLOOKUP($D198,$C$5:$AJ$596,30,)/VLOOKUP($D198,$C$5:$AJ$596,4,))*$F198))</f>
        <v>0</v>
      </c>
      <c r="AG198" s="90"/>
      <c r="AH198" s="90">
        <f>IF(VLOOKUP($D198,$C$5:$AJ$596,32,)=0,0,((VLOOKUP($D198,$C$5:$AJ$596,32,)/VLOOKUP($D198,$C$5:$AJ$596,4,))*$F198))</f>
        <v>0</v>
      </c>
      <c r="AI198" s="90"/>
      <c r="AJ198" s="90">
        <f>IF(VLOOKUP($D198,$C$5:$AJ$596,34,)=0,0,((VLOOKUP($D198,$C$5:$AJ$596,34,)/VLOOKUP($D198,$C$5:$AJ$596,4,))*$F198))</f>
        <v>0</v>
      </c>
      <c r="AK198" s="90">
        <f>SUM(H198:AJ198)</f>
        <v>107114208</v>
      </c>
      <c r="AL198" s="87" t="str">
        <f>IF(ABS(AK198-F198)&lt;1,"ok","err")</f>
        <v>ok</v>
      </c>
    </row>
    <row r="199" spans="1:38" x14ac:dyDescent="0.5">
      <c r="A199" s="86">
        <v>548</v>
      </c>
      <c r="B199" s="86" t="s">
        <v>1513</v>
      </c>
      <c r="C199" s="86" t="s">
        <v>1514</v>
      </c>
      <c r="D199" s="348" t="s">
        <v>709</v>
      </c>
      <c r="E199" s="50"/>
      <c r="F199" s="90">
        <f>'Jurisdictional Study'!F1012</f>
        <v>682059</v>
      </c>
      <c r="H199" s="90">
        <f>IF(VLOOKUP($D199,$C$5:$AJ$596,6,)=0,0,((VLOOKUP($D199,$C$5:$AJ$596,6,)/VLOOKUP($D199,$C$5:$AJ$596,4,))*$F199))</f>
        <v>682059</v>
      </c>
      <c r="I199" s="90">
        <f>IF(VLOOKUP($D199,$C$5:$AJ$596,7,)=0,0,((VLOOKUP($D199,$C$5:$AJ$596,7,)/VLOOKUP($D199,$C$5:$AJ$596,4,))*$F199))</f>
        <v>0</v>
      </c>
      <c r="J199" s="90">
        <f>IF(VLOOKUP($D199,$C$5:$AJ$596,8,)=0,0,((VLOOKUP($D199,$C$5:$AJ$596,8,)/VLOOKUP($D199,$C$5:$AJ$596,4,))*$F199))</f>
        <v>0</v>
      </c>
      <c r="K199" s="90">
        <f>IF(VLOOKUP($D199,$C$5:$AJ$596,9,)=0,0,((VLOOKUP($D199,$C$5:$AJ$596,9,)/VLOOKUP($D199,$C$5:$AJ$596,4,))*$F199))</f>
        <v>0</v>
      </c>
      <c r="L199" s="90">
        <f>IF(VLOOKUP($D199,$C$5:$AJ$596,10,)=0,0,((VLOOKUP($D199,$C$5:$AJ$596,10,)/VLOOKUP($D199,$C$5:$AJ$596,4,))*$F199))</f>
        <v>0</v>
      </c>
      <c r="M199" s="90">
        <f>IF(VLOOKUP($D199,$C$5:$AJ$596,11,)=0,0,((VLOOKUP($D199,$C$5:$AJ$596,11,)/VLOOKUP($D199,$C$5:$AJ$596,4,))*$F199))</f>
        <v>0</v>
      </c>
      <c r="N199" s="90"/>
      <c r="O199" s="90">
        <f>IF(VLOOKUP($D199,$C$5:$AJ$596,13,)=0,0,((VLOOKUP($D199,$C$5:$AJ$596,13,)/VLOOKUP($D199,$C$5:$AJ$596,4,))*$F199))</f>
        <v>0</v>
      </c>
      <c r="P199" s="90">
        <f>IF(VLOOKUP($D199,$C$5:$AJ$596,14,)=0,0,((VLOOKUP($D199,$C$5:$AJ$596,14,)/VLOOKUP($D199,$C$5:$AJ$596,4,))*$F199))</f>
        <v>0</v>
      </c>
      <c r="Q199" s="90">
        <f>IF(VLOOKUP($D199,$C$5:$AJ$596,15,)=0,0,((VLOOKUP($D199,$C$5:$AJ$596,15,)/VLOOKUP($D199,$C$5:$AJ$596,4,))*$F199))</f>
        <v>0</v>
      </c>
      <c r="R199" s="90"/>
      <c r="S199" s="90">
        <f>IF(VLOOKUP($D199,$C$5:$AJ$596,17,)=0,0,((VLOOKUP($D199,$C$5:$AJ$596,17,)/VLOOKUP($D199,$C$5:$AJ$596,4,))*$F199))</f>
        <v>0</v>
      </c>
      <c r="T199" s="90">
        <f>IF(VLOOKUP($D199,$C$5:$AJ$596,18,)=0,0,((VLOOKUP($D199,$C$5:$AJ$596,18,)/VLOOKUP($D199,$C$5:$AJ$596,4,))*$F199))</f>
        <v>0</v>
      </c>
      <c r="U199" s="90">
        <f>IF(VLOOKUP($D199,$C$5:$AJ$596,19,)=0,0,((VLOOKUP($D199,$C$5:$AJ$596,19,)/VLOOKUP($D199,$C$5:$AJ$596,4,))*$F199))</f>
        <v>0</v>
      </c>
      <c r="V199" s="90">
        <f>IF(VLOOKUP($D199,$C$5:$AJ$596,20,)=0,0,((VLOOKUP($D199,$C$5:$AJ$596,20,)/VLOOKUP($D199,$C$5:$AJ$596,4,))*$F199))</f>
        <v>0</v>
      </c>
      <c r="W199" s="90">
        <f>IF(VLOOKUP($D199,$C$5:$AJ$596,21,)=0,0,((VLOOKUP($D199,$C$5:$AJ$596,21,)/VLOOKUP($D199,$C$5:$AJ$596,4,))*$F199))</f>
        <v>0</v>
      </c>
      <c r="X199" s="90">
        <f>IF(VLOOKUP($D199,$C$5:$AJ$596,22,)=0,0,((VLOOKUP($D199,$C$5:$AJ$596,22,)/VLOOKUP($D199,$C$5:$AJ$596,4,))*$F199))</f>
        <v>0</v>
      </c>
      <c r="Y199" s="90">
        <f>IF(VLOOKUP($D199,$C$5:$AJ$596,23,)=0,0,((VLOOKUP($D199,$C$5:$AJ$596,23,)/VLOOKUP($D199,$C$5:$AJ$596,4,))*$F199))</f>
        <v>0</v>
      </c>
      <c r="Z199" s="90">
        <f>IF(VLOOKUP($D199,$C$5:$AJ$596,24,)=0,0,((VLOOKUP($D199,$C$5:$AJ$596,24,)/VLOOKUP($D199,$C$5:$AJ$596,4,))*$F199))</f>
        <v>0</v>
      </c>
      <c r="AA199" s="90">
        <f>IF(VLOOKUP($D199,$C$5:$AJ$596,25,)=0,0,((VLOOKUP($D199,$C$5:$AJ$596,25,)/VLOOKUP($D199,$C$5:$AJ$596,4,))*$F199))</f>
        <v>0</v>
      </c>
      <c r="AB199" s="90">
        <f>IF(VLOOKUP($D199,$C$5:$AJ$596,26,)=0,0,((VLOOKUP($D199,$C$5:$AJ$596,26,)/VLOOKUP($D199,$C$5:$AJ$596,4,))*$F199))</f>
        <v>0</v>
      </c>
      <c r="AC199" s="90">
        <f>IF(VLOOKUP($D199,$C$5:$AJ$596,27,)=0,0,((VLOOKUP($D199,$C$5:$AJ$596,27,)/VLOOKUP($D199,$C$5:$AJ$596,4,))*$F199))</f>
        <v>0</v>
      </c>
      <c r="AD199" s="90">
        <f>IF(VLOOKUP($D199,$C$5:$AJ$596,28,)=0,0,((VLOOKUP($D199,$C$5:$AJ$596,28,)/VLOOKUP($D199,$C$5:$AJ$596,4,))*$F199))</f>
        <v>0</v>
      </c>
      <c r="AE199" s="90"/>
      <c r="AF199" s="90">
        <f>IF(VLOOKUP($D199,$C$5:$AJ$596,30,)=0,0,((VLOOKUP($D199,$C$5:$AJ$596,30,)/VLOOKUP($D199,$C$5:$AJ$596,4,))*$F199))</f>
        <v>0</v>
      </c>
      <c r="AG199" s="90"/>
      <c r="AH199" s="90">
        <f>IF(VLOOKUP($D199,$C$5:$AJ$596,32,)=0,0,((VLOOKUP($D199,$C$5:$AJ$596,32,)/VLOOKUP($D199,$C$5:$AJ$596,4,))*$F199))</f>
        <v>0</v>
      </c>
      <c r="AI199" s="90"/>
      <c r="AJ199" s="90">
        <f>IF(VLOOKUP($D199,$C$5:$AJ$596,34,)=0,0,((VLOOKUP($D199,$C$5:$AJ$596,34,)/VLOOKUP($D199,$C$5:$AJ$596,4,))*$F199))</f>
        <v>0</v>
      </c>
      <c r="AK199" s="90">
        <f>SUM(H199:AJ199)</f>
        <v>682059</v>
      </c>
      <c r="AL199" s="87" t="str">
        <f>IF(ABS(AK199-F199)&lt;1,"ok","err")</f>
        <v>ok</v>
      </c>
    </row>
    <row r="200" spans="1:38" x14ac:dyDescent="0.5">
      <c r="A200" s="86">
        <v>549</v>
      </c>
      <c r="B200" s="86" t="s">
        <v>1515</v>
      </c>
      <c r="C200" s="86" t="s">
        <v>1516</v>
      </c>
      <c r="D200" s="348" t="s">
        <v>709</v>
      </c>
      <c r="E200" s="50"/>
      <c r="F200" s="90">
        <f>'Jurisdictional Study'!F1013</f>
        <v>5376587</v>
      </c>
      <c r="H200" s="90">
        <f>IF(VLOOKUP($D200,$C$5:$AJ$596,6,)=0,0,((VLOOKUP($D200,$C$5:$AJ$596,6,)/VLOOKUP($D200,$C$5:$AJ$596,4,))*$F200))</f>
        <v>5376587</v>
      </c>
      <c r="I200" s="90">
        <f>IF(VLOOKUP($D200,$C$5:$AJ$596,7,)=0,0,((VLOOKUP($D200,$C$5:$AJ$596,7,)/VLOOKUP($D200,$C$5:$AJ$596,4,))*$F200))</f>
        <v>0</v>
      </c>
      <c r="J200" s="90">
        <f>IF(VLOOKUP($D200,$C$5:$AJ$596,8,)=0,0,((VLOOKUP($D200,$C$5:$AJ$596,8,)/VLOOKUP($D200,$C$5:$AJ$596,4,))*$F200))</f>
        <v>0</v>
      </c>
      <c r="K200" s="90">
        <f>IF(VLOOKUP($D200,$C$5:$AJ$596,9,)=0,0,((VLOOKUP($D200,$C$5:$AJ$596,9,)/VLOOKUP($D200,$C$5:$AJ$596,4,))*$F200))</f>
        <v>0</v>
      </c>
      <c r="L200" s="90">
        <f>IF(VLOOKUP($D200,$C$5:$AJ$596,10,)=0,0,((VLOOKUP($D200,$C$5:$AJ$596,10,)/VLOOKUP($D200,$C$5:$AJ$596,4,))*$F200))</f>
        <v>0</v>
      </c>
      <c r="M200" s="90">
        <f>IF(VLOOKUP($D200,$C$5:$AJ$596,11,)=0,0,((VLOOKUP($D200,$C$5:$AJ$596,11,)/VLOOKUP($D200,$C$5:$AJ$596,4,))*$F200))</f>
        <v>0</v>
      </c>
      <c r="N200" s="90"/>
      <c r="O200" s="90">
        <f>IF(VLOOKUP($D200,$C$5:$AJ$596,13,)=0,0,((VLOOKUP($D200,$C$5:$AJ$596,13,)/VLOOKUP($D200,$C$5:$AJ$596,4,))*$F200))</f>
        <v>0</v>
      </c>
      <c r="P200" s="90">
        <f>IF(VLOOKUP($D200,$C$5:$AJ$596,14,)=0,0,((VLOOKUP($D200,$C$5:$AJ$596,14,)/VLOOKUP($D200,$C$5:$AJ$596,4,))*$F200))</f>
        <v>0</v>
      </c>
      <c r="Q200" s="90">
        <f>IF(VLOOKUP($D200,$C$5:$AJ$596,15,)=0,0,((VLOOKUP($D200,$C$5:$AJ$596,15,)/VLOOKUP($D200,$C$5:$AJ$596,4,))*$F200))</f>
        <v>0</v>
      </c>
      <c r="R200" s="90"/>
      <c r="S200" s="90">
        <f>IF(VLOOKUP($D200,$C$5:$AJ$596,17,)=0,0,((VLOOKUP($D200,$C$5:$AJ$596,17,)/VLOOKUP($D200,$C$5:$AJ$596,4,))*$F200))</f>
        <v>0</v>
      </c>
      <c r="T200" s="90">
        <f>IF(VLOOKUP($D200,$C$5:$AJ$596,18,)=0,0,((VLOOKUP($D200,$C$5:$AJ$596,18,)/VLOOKUP($D200,$C$5:$AJ$596,4,))*$F200))</f>
        <v>0</v>
      </c>
      <c r="U200" s="90">
        <f>IF(VLOOKUP($D200,$C$5:$AJ$596,19,)=0,0,((VLOOKUP($D200,$C$5:$AJ$596,19,)/VLOOKUP($D200,$C$5:$AJ$596,4,))*$F200))</f>
        <v>0</v>
      </c>
      <c r="V200" s="90">
        <f>IF(VLOOKUP($D200,$C$5:$AJ$596,20,)=0,0,((VLOOKUP($D200,$C$5:$AJ$596,20,)/VLOOKUP($D200,$C$5:$AJ$596,4,))*$F200))</f>
        <v>0</v>
      </c>
      <c r="W200" s="90">
        <f>IF(VLOOKUP($D200,$C$5:$AJ$596,21,)=0,0,((VLOOKUP($D200,$C$5:$AJ$596,21,)/VLOOKUP($D200,$C$5:$AJ$596,4,))*$F200))</f>
        <v>0</v>
      </c>
      <c r="X200" s="90">
        <f>IF(VLOOKUP($D200,$C$5:$AJ$596,22,)=0,0,((VLOOKUP($D200,$C$5:$AJ$596,22,)/VLOOKUP($D200,$C$5:$AJ$596,4,))*$F200))</f>
        <v>0</v>
      </c>
      <c r="Y200" s="90">
        <f>IF(VLOOKUP($D200,$C$5:$AJ$596,23,)=0,0,((VLOOKUP($D200,$C$5:$AJ$596,23,)/VLOOKUP($D200,$C$5:$AJ$596,4,))*$F200))</f>
        <v>0</v>
      </c>
      <c r="Z200" s="90">
        <f>IF(VLOOKUP($D200,$C$5:$AJ$596,24,)=0,0,((VLOOKUP($D200,$C$5:$AJ$596,24,)/VLOOKUP($D200,$C$5:$AJ$596,4,))*$F200))</f>
        <v>0</v>
      </c>
      <c r="AA200" s="90">
        <f>IF(VLOOKUP($D200,$C$5:$AJ$596,25,)=0,0,((VLOOKUP($D200,$C$5:$AJ$596,25,)/VLOOKUP($D200,$C$5:$AJ$596,4,))*$F200))</f>
        <v>0</v>
      </c>
      <c r="AB200" s="90">
        <f>IF(VLOOKUP($D200,$C$5:$AJ$596,26,)=0,0,((VLOOKUP($D200,$C$5:$AJ$596,26,)/VLOOKUP($D200,$C$5:$AJ$596,4,))*$F200))</f>
        <v>0</v>
      </c>
      <c r="AC200" s="90">
        <f>IF(VLOOKUP($D200,$C$5:$AJ$596,27,)=0,0,((VLOOKUP($D200,$C$5:$AJ$596,27,)/VLOOKUP($D200,$C$5:$AJ$596,4,))*$F200))</f>
        <v>0</v>
      </c>
      <c r="AD200" s="90">
        <f>IF(VLOOKUP($D200,$C$5:$AJ$596,28,)=0,0,((VLOOKUP($D200,$C$5:$AJ$596,28,)/VLOOKUP($D200,$C$5:$AJ$596,4,))*$F200))</f>
        <v>0</v>
      </c>
      <c r="AE200" s="90"/>
      <c r="AF200" s="90">
        <f>IF(VLOOKUP($D200,$C$5:$AJ$596,30,)=0,0,((VLOOKUP($D200,$C$5:$AJ$596,30,)/VLOOKUP($D200,$C$5:$AJ$596,4,))*$F200))</f>
        <v>0</v>
      </c>
      <c r="AG200" s="90"/>
      <c r="AH200" s="90">
        <f>IF(VLOOKUP($D200,$C$5:$AJ$596,32,)=0,0,((VLOOKUP($D200,$C$5:$AJ$596,32,)/VLOOKUP($D200,$C$5:$AJ$596,4,))*$F200))</f>
        <v>0</v>
      </c>
      <c r="AI200" s="90"/>
      <c r="AJ200" s="90">
        <f>IF(VLOOKUP($D200,$C$5:$AJ$596,34,)=0,0,((VLOOKUP($D200,$C$5:$AJ$596,34,)/VLOOKUP($D200,$C$5:$AJ$596,4,))*$F200))</f>
        <v>0</v>
      </c>
      <c r="AK200" s="90">
        <f>SUM(H200:AJ200)</f>
        <v>5376587</v>
      </c>
      <c r="AL200" s="87" t="str">
        <f>IF(ABS(AK200-F200)&lt;1,"ok","err")</f>
        <v>ok</v>
      </c>
    </row>
    <row r="201" spans="1:38" x14ac:dyDescent="0.5">
      <c r="A201" s="86">
        <v>550</v>
      </c>
      <c r="B201" s="86" t="s">
        <v>353</v>
      </c>
      <c r="C201" s="86" t="s">
        <v>1517</v>
      </c>
      <c r="D201" s="348" t="s">
        <v>709</v>
      </c>
      <c r="E201" s="50"/>
      <c r="F201" s="90">
        <f>'Jurisdictional Study'!F1014</f>
        <v>9693</v>
      </c>
      <c r="H201" s="90">
        <f>IF(VLOOKUP($D201,$C$5:$AJ$596,6,)=0,0,((VLOOKUP($D201,$C$5:$AJ$596,6,)/VLOOKUP($D201,$C$5:$AJ$596,4,))*$F201))</f>
        <v>9693</v>
      </c>
      <c r="I201" s="90">
        <f>IF(VLOOKUP($D201,$C$5:$AJ$596,7,)=0,0,((VLOOKUP($D201,$C$5:$AJ$596,7,)/VLOOKUP($D201,$C$5:$AJ$596,4,))*$F201))</f>
        <v>0</v>
      </c>
      <c r="J201" s="90">
        <f>IF(VLOOKUP($D201,$C$5:$AJ$596,8,)=0,0,((VLOOKUP($D201,$C$5:$AJ$596,8,)/VLOOKUP($D201,$C$5:$AJ$596,4,))*$F201))</f>
        <v>0</v>
      </c>
      <c r="K201" s="90">
        <f>IF(VLOOKUP($D201,$C$5:$AJ$596,9,)=0,0,((VLOOKUP($D201,$C$5:$AJ$596,9,)/VLOOKUP($D201,$C$5:$AJ$596,4,))*$F201))</f>
        <v>0</v>
      </c>
      <c r="L201" s="90">
        <f>IF(VLOOKUP($D201,$C$5:$AJ$596,10,)=0,0,((VLOOKUP($D201,$C$5:$AJ$596,10,)/VLOOKUP($D201,$C$5:$AJ$596,4,))*$F201))</f>
        <v>0</v>
      </c>
      <c r="M201" s="90">
        <f>IF(VLOOKUP($D201,$C$5:$AJ$596,11,)=0,0,((VLOOKUP($D201,$C$5:$AJ$596,11,)/VLOOKUP($D201,$C$5:$AJ$596,4,))*$F201))</f>
        <v>0</v>
      </c>
      <c r="N201" s="90"/>
      <c r="O201" s="90">
        <f>IF(VLOOKUP($D201,$C$5:$AJ$596,13,)=0,0,((VLOOKUP($D201,$C$5:$AJ$596,13,)/VLOOKUP($D201,$C$5:$AJ$596,4,))*$F201))</f>
        <v>0</v>
      </c>
      <c r="P201" s="90">
        <f>IF(VLOOKUP($D201,$C$5:$AJ$596,14,)=0,0,((VLOOKUP($D201,$C$5:$AJ$596,14,)/VLOOKUP($D201,$C$5:$AJ$596,4,))*$F201))</f>
        <v>0</v>
      </c>
      <c r="Q201" s="90">
        <f>IF(VLOOKUP($D201,$C$5:$AJ$596,15,)=0,0,((VLOOKUP($D201,$C$5:$AJ$596,15,)/VLOOKUP($D201,$C$5:$AJ$596,4,))*$F201))</f>
        <v>0</v>
      </c>
      <c r="R201" s="90"/>
      <c r="S201" s="90">
        <f>IF(VLOOKUP($D201,$C$5:$AJ$596,17,)=0,0,((VLOOKUP($D201,$C$5:$AJ$596,17,)/VLOOKUP($D201,$C$5:$AJ$596,4,))*$F201))</f>
        <v>0</v>
      </c>
      <c r="T201" s="90">
        <f>IF(VLOOKUP($D201,$C$5:$AJ$596,18,)=0,0,((VLOOKUP($D201,$C$5:$AJ$596,18,)/VLOOKUP($D201,$C$5:$AJ$596,4,))*$F201))</f>
        <v>0</v>
      </c>
      <c r="U201" s="90">
        <f>IF(VLOOKUP($D201,$C$5:$AJ$596,19,)=0,0,((VLOOKUP($D201,$C$5:$AJ$596,19,)/VLOOKUP($D201,$C$5:$AJ$596,4,))*$F201))</f>
        <v>0</v>
      </c>
      <c r="V201" s="90">
        <f>IF(VLOOKUP($D201,$C$5:$AJ$596,20,)=0,0,((VLOOKUP($D201,$C$5:$AJ$596,20,)/VLOOKUP($D201,$C$5:$AJ$596,4,))*$F201))</f>
        <v>0</v>
      </c>
      <c r="W201" s="90">
        <f>IF(VLOOKUP($D201,$C$5:$AJ$596,21,)=0,0,((VLOOKUP($D201,$C$5:$AJ$596,21,)/VLOOKUP($D201,$C$5:$AJ$596,4,))*$F201))</f>
        <v>0</v>
      </c>
      <c r="X201" s="90">
        <f>IF(VLOOKUP($D201,$C$5:$AJ$596,22,)=0,0,((VLOOKUP($D201,$C$5:$AJ$596,22,)/VLOOKUP($D201,$C$5:$AJ$596,4,))*$F201))</f>
        <v>0</v>
      </c>
      <c r="Y201" s="90">
        <f>IF(VLOOKUP($D201,$C$5:$AJ$596,23,)=0,0,((VLOOKUP($D201,$C$5:$AJ$596,23,)/VLOOKUP($D201,$C$5:$AJ$596,4,))*$F201))</f>
        <v>0</v>
      </c>
      <c r="Z201" s="90">
        <f>IF(VLOOKUP($D201,$C$5:$AJ$596,24,)=0,0,((VLOOKUP($D201,$C$5:$AJ$596,24,)/VLOOKUP($D201,$C$5:$AJ$596,4,))*$F201))</f>
        <v>0</v>
      </c>
      <c r="AA201" s="90">
        <f>IF(VLOOKUP($D201,$C$5:$AJ$596,25,)=0,0,((VLOOKUP($D201,$C$5:$AJ$596,25,)/VLOOKUP($D201,$C$5:$AJ$596,4,))*$F201))</f>
        <v>0</v>
      </c>
      <c r="AB201" s="90">
        <f>IF(VLOOKUP($D201,$C$5:$AJ$596,26,)=0,0,((VLOOKUP($D201,$C$5:$AJ$596,26,)/VLOOKUP($D201,$C$5:$AJ$596,4,))*$F201))</f>
        <v>0</v>
      </c>
      <c r="AC201" s="90">
        <f>IF(VLOOKUP($D201,$C$5:$AJ$596,27,)=0,0,((VLOOKUP($D201,$C$5:$AJ$596,27,)/VLOOKUP($D201,$C$5:$AJ$596,4,))*$F201))</f>
        <v>0</v>
      </c>
      <c r="AD201" s="90">
        <f>IF(VLOOKUP($D201,$C$5:$AJ$596,28,)=0,0,((VLOOKUP($D201,$C$5:$AJ$596,28,)/VLOOKUP($D201,$C$5:$AJ$596,4,))*$F201))</f>
        <v>0</v>
      </c>
      <c r="AE201" s="90"/>
      <c r="AF201" s="90">
        <f>IF(VLOOKUP($D201,$C$5:$AJ$596,30,)=0,0,((VLOOKUP($D201,$C$5:$AJ$596,30,)/VLOOKUP($D201,$C$5:$AJ$596,4,))*$F201))</f>
        <v>0</v>
      </c>
      <c r="AG201" s="90"/>
      <c r="AH201" s="90">
        <f>IF(VLOOKUP($D201,$C$5:$AJ$596,32,)=0,0,((VLOOKUP($D201,$C$5:$AJ$596,32,)/VLOOKUP($D201,$C$5:$AJ$596,4,))*$F201))</f>
        <v>0</v>
      </c>
      <c r="AI201" s="90"/>
      <c r="AJ201" s="90">
        <f>IF(VLOOKUP($D201,$C$5:$AJ$596,34,)=0,0,((VLOOKUP($D201,$C$5:$AJ$596,34,)/VLOOKUP($D201,$C$5:$AJ$596,4,))*$F201))</f>
        <v>0</v>
      </c>
      <c r="AK201" s="90">
        <f>SUM(H201:AJ201)</f>
        <v>9693</v>
      </c>
      <c r="AL201" s="87" t="str">
        <f>IF(ABS(AK201-F201)&lt;1,"ok","err")</f>
        <v>ok</v>
      </c>
    </row>
    <row r="202" spans="1:38" x14ac:dyDescent="0.5">
      <c r="D202" s="348"/>
      <c r="E202" s="50"/>
      <c r="F202" s="89"/>
      <c r="Y202" s="86"/>
      <c r="AK202" s="90"/>
      <c r="AL202" s="87"/>
    </row>
    <row r="203" spans="1:38" x14ac:dyDescent="0.5">
      <c r="B203" s="86" t="s">
        <v>1518</v>
      </c>
      <c r="D203" s="348"/>
      <c r="E203" s="50"/>
      <c r="F203" s="89">
        <f>SUM(F197:F202)</f>
        <v>113829807</v>
      </c>
      <c r="H203" s="89">
        <f t="shared" ref="H203:M203" si="151">SUM(H197:H202)</f>
        <v>6715599</v>
      </c>
      <c r="I203" s="89">
        <f t="shared" si="151"/>
        <v>0</v>
      </c>
      <c r="J203" s="89">
        <f t="shared" si="151"/>
        <v>0</v>
      </c>
      <c r="K203" s="89">
        <f t="shared" si="151"/>
        <v>107114208</v>
      </c>
      <c r="L203" s="89">
        <f t="shared" si="151"/>
        <v>0</v>
      </c>
      <c r="M203" s="89">
        <f t="shared" si="151"/>
        <v>0</v>
      </c>
      <c r="O203" s="89">
        <f>SUM(O197:O202)</f>
        <v>0</v>
      </c>
      <c r="P203" s="89">
        <f>SUM(P197:P202)</f>
        <v>0</v>
      </c>
      <c r="Q203" s="89">
        <f>SUM(Q197:Q202)</f>
        <v>0</v>
      </c>
      <c r="S203" s="89">
        <f t="shared" ref="S203:AD203" si="152">SUM(S197:S202)</f>
        <v>0</v>
      </c>
      <c r="T203" s="89">
        <f t="shared" si="152"/>
        <v>0</v>
      </c>
      <c r="U203" s="89">
        <f t="shared" si="152"/>
        <v>0</v>
      </c>
      <c r="V203" s="89">
        <f t="shared" si="152"/>
        <v>0</v>
      </c>
      <c r="W203" s="89">
        <f t="shared" si="152"/>
        <v>0</v>
      </c>
      <c r="X203" s="89">
        <f t="shared" si="152"/>
        <v>0</v>
      </c>
      <c r="Y203" s="89">
        <f t="shared" si="152"/>
        <v>0</v>
      </c>
      <c r="Z203" s="89">
        <f t="shared" si="152"/>
        <v>0</v>
      </c>
      <c r="AA203" s="89">
        <f t="shared" si="152"/>
        <v>0</v>
      </c>
      <c r="AB203" s="89">
        <f t="shared" si="152"/>
        <v>0</v>
      </c>
      <c r="AC203" s="89">
        <f t="shared" si="152"/>
        <v>0</v>
      </c>
      <c r="AD203" s="89">
        <f t="shared" si="152"/>
        <v>0</v>
      </c>
      <c r="AF203" s="89">
        <f>SUM(AF197:AF202)</f>
        <v>0</v>
      </c>
      <c r="AH203" s="89">
        <f>SUM(AH197:AH202)</f>
        <v>0</v>
      </c>
      <c r="AJ203" s="89">
        <f>SUM(AJ197:AJ202)</f>
        <v>0</v>
      </c>
      <c r="AK203" s="90">
        <f>SUM(H203:AJ203)</f>
        <v>113829807</v>
      </c>
      <c r="AL203" s="87" t="str">
        <f>IF(ABS(AK203-F203)&lt;1,"ok","err")</f>
        <v>ok</v>
      </c>
    </row>
    <row r="204" spans="1:38" x14ac:dyDescent="0.5">
      <c r="D204" s="348"/>
      <c r="E204" s="50"/>
      <c r="F204" s="89"/>
      <c r="Y204" s="86"/>
      <c r="AL204" s="87"/>
    </row>
    <row r="205" spans="1:38" x14ac:dyDescent="0.5">
      <c r="A205" s="23" t="s">
        <v>1519</v>
      </c>
      <c r="D205" s="348"/>
      <c r="E205" s="50"/>
      <c r="F205" s="89"/>
      <c r="Y205" s="86"/>
      <c r="AL205" s="87"/>
    </row>
    <row r="206" spans="1:38" x14ac:dyDescent="0.5">
      <c r="A206" s="86">
        <v>551</v>
      </c>
      <c r="B206" s="86" t="s">
        <v>560</v>
      </c>
      <c r="C206" s="86" t="s">
        <v>1520</v>
      </c>
      <c r="D206" s="348" t="s">
        <v>709</v>
      </c>
      <c r="E206" s="50"/>
      <c r="F206" s="89">
        <f>'Jurisdictional Study'!F1016</f>
        <v>911492</v>
      </c>
      <c r="H206" s="90">
        <f>IF(VLOOKUP($D206,$C$5:$AJ$596,6,)=0,0,((VLOOKUP($D206,$C$5:$AJ$596,6,)/VLOOKUP($D206,$C$5:$AJ$596,4,))*$F206))</f>
        <v>911492</v>
      </c>
      <c r="I206" s="90">
        <f>IF(VLOOKUP($D206,$C$5:$AJ$596,7,)=0,0,((VLOOKUP($D206,$C$5:$AJ$596,7,)/VLOOKUP($D206,$C$5:$AJ$596,4,))*$F206))</f>
        <v>0</v>
      </c>
      <c r="J206" s="90">
        <f>IF(VLOOKUP($D206,$C$5:$AJ$596,8,)=0,0,((VLOOKUP($D206,$C$5:$AJ$596,8,)/VLOOKUP($D206,$C$5:$AJ$596,4,))*$F206))</f>
        <v>0</v>
      </c>
      <c r="K206" s="90">
        <f>IF(VLOOKUP($D206,$C$5:$AJ$596,9,)=0,0,((VLOOKUP($D206,$C$5:$AJ$596,9,)/VLOOKUP($D206,$C$5:$AJ$596,4,))*$F206))</f>
        <v>0</v>
      </c>
      <c r="L206" s="90">
        <f>IF(VLOOKUP($D206,$C$5:$AJ$596,10,)=0,0,((VLOOKUP($D206,$C$5:$AJ$596,10,)/VLOOKUP($D206,$C$5:$AJ$596,4,))*$F206))</f>
        <v>0</v>
      </c>
      <c r="M206" s="90">
        <f>IF(VLOOKUP($D206,$C$5:$AJ$596,11,)=0,0,((VLOOKUP($D206,$C$5:$AJ$596,11,)/VLOOKUP($D206,$C$5:$AJ$596,4,))*$F206))</f>
        <v>0</v>
      </c>
      <c r="N206" s="90"/>
      <c r="O206" s="90">
        <f>IF(VLOOKUP($D206,$C$5:$AJ$596,13,)=0,0,((VLOOKUP($D206,$C$5:$AJ$596,13,)/VLOOKUP($D206,$C$5:$AJ$596,4,))*$F206))</f>
        <v>0</v>
      </c>
      <c r="P206" s="90">
        <f>IF(VLOOKUP($D206,$C$5:$AJ$596,14,)=0,0,((VLOOKUP($D206,$C$5:$AJ$596,14,)/VLOOKUP($D206,$C$5:$AJ$596,4,))*$F206))</f>
        <v>0</v>
      </c>
      <c r="Q206" s="90">
        <f>IF(VLOOKUP($D206,$C$5:$AJ$596,15,)=0,0,((VLOOKUP($D206,$C$5:$AJ$596,15,)/VLOOKUP($D206,$C$5:$AJ$596,4,))*$F206))</f>
        <v>0</v>
      </c>
      <c r="R206" s="90"/>
      <c r="S206" s="90">
        <f>IF(VLOOKUP($D206,$C$5:$AJ$596,17,)=0,0,((VLOOKUP($D206,$C$5:$AJ$596,17,)/VLOOKUP($D206,$C$5:$AJ$596,4,))*$F206))</f>
        <v>0</v>
      </c>
      <c r="T206" s="90">
        <f>IF(VLOOKUP($D206,$C$5:$AJ$596,18,)=0,0,((VLOOKUP($D206,$C$5:$AJ$596,18,)/VLOOKUP($D206,$C$5:$AJ$596,4,))*$F206))</f>
        <v>0</v>
      </c>
      <c r="U206" s="90">
        <f>IF(VLOOKUP($D206,$C$5:$AJ$596,19,)=0,0,((VLOOKUP($D206,$C$5:$AJ$596,19,)/VLOOKUP($D206,$C$5:$AJ$596,4,))*$F206))</f>
        <v>0</v>
      </c>
      <c r="V206" s="90">
        <f>IF(VLOOKUP($D206,$C$5:$AJ$596,20,)=0,0,((VLOOKUP($D206,$C$5:$AJ$596,20,)/VLOOKUP($D206,$C$5:$AJ$596,4,))*$F206))</f>
        <v>0</v>
      </c>
      <c r="W206" s="90">
        <f>IF(VLOOKUP($D206,$C$5:$AJ$596,21,)=0,0,((VLOOKUP($D206,$C$5:$AJ$596,21,)/VLOOKUP($D206,$C$5:$AJ$596,4,))*$F206))</f>
        <v>0</v>
      </c>
      <c r="X206" s="90">
        <f>IF(VLOOKUP($D206,$C$5:$AJ$596,22,)=0,0,((VLOOKUP($D206,$C$5:$AJ$596,22,)/VLOOKUP($D206,$C$5:$AJ$596,4,))*$F206))</f>
        <v>0</v>
      </c>
      <c r="Y206" s="90">
        <f>IF(VLOOKUP($D206,$C$5:$AJ$596,23,)=0,0,((VLOOKUP($D206,$C$5:$AJ$596,23,)/VLOOKUP($D206,$C$5:$AJ$596,4,))*$F206))</f>
        <v>0</v>
      </c>
      <c r="Z206" s="90">
        <f>IF(VLOOKUP($D206,$C$5:$AJ$596,24,)=0,0,((VLOOKUP($D206,$C$5:$AJ$596,24,)/VLOOKUP($D206,$C$5:$AJ$596,4,))*$F206))</f>
        <v>0</v>
      </c>
      <c r="AA206" s="90">
        <f>IF(VLOOKUP($D206,$C$5:$AJ$596,25,)=0,0,((VLOOKUP($D206,$C$5:$AJ$596,25,)/VLOOKUP($D206,$C$5:$AJ$596,4,))*$F206))</f>
        <v>0</v>
      </c>
      <c r="AB206" s="90">
        <f>IF(VLOOKUP($D206,$C$5:$AJ$596,26,)=0,0,((VLOOKUP($D206,$C$5:$AJ$596,26,)/VLOOKUP($D206,$C$5:$AJ$596,4,))*$F206))</f>
        <v>0</v>
      </c>
      <c r="AC206" s="90">
        <f>IF(VLOOKUP($D206,$C$5:$AJ$596,27,)=0,0,((VLOOKUP($D206,$C$5:$AJ$596,27,)/VLOOKUP($D206,$C$5:$AJ$596,4,))*$F206))</f>
        <v>0</v>
      </c>
      <c r="AD206" s="90">
        <f>IF(VLOOKUP($D206,$C$5:$AJ$596,28,)=0,0,((VLOOKUP($D206,$C$5:$AJ$596,28,)/VLOOKUP($D206,$C$5:$AJ$596,4,))*$F206))</f>
        <v>0</v>
      </c>
      <c r="AE206" s="90"/>
      <c r="AF206" s="90">
        <f>IF(VLOOKUP($D206,$C$5:$AJ$596,30,)=0,0,((VLOOKUP($D206,$C$5:$AJ$596,30,)/VLOOKUP($D206,$C$5:$AJ$596,4,))*$F206))</f>
        <v>0</v>
      </c>
      <c r="AG206" s="90"/>
      <c r="AH206" s="90">
        <f>IF(VLOOKUP($D206,$C$5:$AJ$596,32,)=0,0,((VLOOKUP($D206,$C$5:$AJ$596,32,)/VLOOKUP($D206,$C$5:$AJ$596,4,))*$F206))</f>
        <v>0</v>
      </c>
      <c r="AI206" s="90"/>
      <c r="AJ206" s="90">
        <f>IF(VLOOKUP($D206,$C$5:$AJ$596,34,)=0,0,((VLOOKUP($D206,$C$5:$AJ$596,34,)/VLOOKUP($D206,$C$5:$AJ$596,4,))*$F206))</f>
        <v>0</v>
      </c>
      <c r="AK206" s="90">
        <f>SUM(H206:AJ206)</f>
        <v>911492</v>
      </c>
      <c r="AL206" s="87" t="str">
        <f>IF(ABS(AK206-F206)&lt;1,"ok","err")</f>
        <v>ok</v>
      </c>
    </row>
    <row r="207" spans="1:38" x14ac:dyDescent="0.5">
      <c r="A207" s="86">
        <v>552</v>
      </c>
      <c r="B207" s="86" t="s">
        <v>559</v>
      </c>
      <c r="C207" s="86" t="s">
        <v>1521</v>
      </c>
      <c r="D207" s="348" t="s">
        <v>709</v>
      </c>
      <c r="E207" s="50"/>
      <c r="F207" s="90">
        <f>'Jurisdictional Study'!F1017</f>
        <v>876396</v>
      </c>
      <c r="H207" s="90">
        <f>IF(VLOOKUP($D207,$C$5:$AJ$596,6,)=0,0,((VLOOKUP($D207,$C$5:$AJ$596,6,)/VLOOKUP($D207,$C$5:$AJ$596,4,))*$F207))</f>
        <v>876396</v>
      </c>
      <c r="I207" s="90">
        <f>IF(VLOOKUP($D207,$C$5:$AJ$596,7,)=0,0,((VLOOKUP($D207,$C$5:$AJ$596,7,)/VLOOKUP($D207,$C$5:$AJ$596,4,))*$F207))</f>
        <v>0</v>
      </c>
      <c r="J207" s="90">
        <f>IF(VLOOKUP($D207,$C$5:$AJ$596,8,)=0,0,((VLOOKUP($D207,$C$5:$AJ$596,8,)/VLOOKUP($D207,$C$5:$AJ$596,4,))*$F207))</f>
        <v>0</v>
      </c>
      <c r="K207" s="90">
        <f>IF(VLOOKUP($D207,$C$5:$AJ$596,9,)=0,0,((VLOOKUP($D207,$C$5:$AJ$596,9,)/VLOOKUP($D207,$C$5:$AJ$596,4,))*$F207))</f>
        <v>0</v>
      </c>
      <c r="L207" s="90">
        <f>IF(VLOOKUP($D207,$C$5:$AJ$596,10,)=0,0,((VLOOKUP($D207,$C$5:$AJ$596,10,)/VLOOKUP($D207,$C$5:$AJ$596,4,))*$F207))</f>
        <v>0</v>
      </c>
      <c r="M207" s="90">
        <f>IF(VLOOKUP($D207,$C$5:$AJ$596,11,)=0,0,((VLOOKUP($D207,$C$5:$AJ$596,11,)/VLOOKUP($D207,$C$5:$AJ$596,4,))*$F207))</f>
        <v>0</v>
      </c>
      <c r="N207" s="90"/>
      <c r="O207" s="90">
        <f>IF(VLOOKUP($D207,$C$5:$AJ$596,13,)=0,0,((VLOOKUP($D207,$C$5:$AJ$596,13,)/VLOOKUP($D207,$C$5:$AJ$596,4,))*$F207))</f>
        <v>0</v>
      </c>
      <c r="P207" s="90">
        <f>IF(VLOOKUP($D207,$C$5:$AJ$596,14,)=0,0,((VLOOKUP($D207,$C$5:$AJ$596,14,)/VLOOKUP($D207,$C$5:$AJ$596,4,))*$F207))</f>
        <v>0</v>
      </c>
      <c r="Q207" s="90">
        <f>IF(VLOOKUP($D207,$C$5:$AJ$596,15,)=0,0,((VLOOKUP($D207,$C$5:$AJ$596,15,)/VLOOKUP($D207,$C$5:$AJ$596,4,))*$F207))</f>
        <v>0</v>
      </c>
      <c r="R207" s="90"/>
      <c r="S207" s="90">
        <f>IF(VLOOKUP($D207,$C$5:$AJ$596,17,)=0,0,((VLOOKUP($D207,$C$5:$AJ$596,17,)/VLOOKUP($D207,$C$5:$AJ$596,4,))*$F207))</f>
        <v>0</v>
      </c>
      <c r="T207" s="90">
        <f>IF(VLOOKUP($D207,$C$5:$AJ$596,18,)=0,0,((VLOOKUP($D207,$C$5:$AJ$596,18,)/VLOOKUP($D207,$C$5:$AJ$596,4,))*$F207))</f>
        <v>0</v>
      </c>
      <c r="U207" s="90">
        <f>IF(VLOOKUP($D207,$C$5:$AJ$596,19,)=0,0,((VLOOKUP($D207,$C$5:$AJ$596,19,)/VLOOKUP($D207,$C$5:$AJ$596,4,))*$F207))</f>
        <v>0</v>
      </c>
      <c r="V207" s="90">
        <f>IF(VLOOKUP($D207,$C$5:$AJ$596,20,)=0,0,((VLOOKUP($D207,$C$5:$AJ$596,20,)/VLOOKUP($D207,$C$5:$AJ$596,4,))*$F207))</f>
        <v>0</v>
      </c>
      <c r="W207" s="90">
        <f>IF(VLOOKUP($D207,$C$5:$AJ$596,21,)=0,0,((VLOOKUP($D207,$C$5:$AJ$596,21,)/VLOOKUP($D207,$C$5:$AJ$596,4,))*$F207))</f>
        <v>0</v>
      </c>
      <c r="X207" s="90">
        <f>IF(VLOOKUP($D207,$C$5:$AJ$596,22,)=0,0,((VLOOKUP($D207,$C$5:$AJ$596,22,)/VLOOKUP($D207,$C$5:$AJ$596,4,))*$F207))</f>
        <v>0</v>
      </c>
      <c r="Y207" s="90">
        <f>IF(VLOOKUP($D207,$C$5:$AJ$596,23,)=0,0,((VLOOKUP($D207,$C$5:$AJ$596,23,)/VLOOKUP($D207,$C$5:$AJ$596,4,))*$F207))</f>
        <v>0</v>
      </c>
      <c r="Z207" s="90">
        <f>IF(VLOOKUP($D207,$C$5:$AJ$596,24,)=0,0,((VLOOKUP($D207,$C$5:$AJ$596,24,)/VLOOKUP($D207,$C$5:$AJ$596,4,))*$F207))</f>
        <v>0</v>
      </c>
      <c r="AA207" s="90">
        <f>IF(VLOOKUP($D207,$C$5:$AJ$596,25,)=0,0,((VLOOKUP($D207,$C$5:$AJ$596,25,)/VLOOKUP($D207,$C$5:$AJ$596,4,))*$F207))</f>
        <v>0</v>
      </c>
      <c r="AB207" s="90">
        <f>IF(VLOOKUP($D207,$C$5:$AJ$596,26,)=0,0,((VLOOKUP($D207,$C$5:$AJ$596,26,)/VLOOKUP($D207,$C$5:$AJ$596,4,))*$F207))</f>
        <v>0</v>
      </c>
      <c r="AC207" s="90">
        <f>IF(VLOOKUP($D207,$C$5:$AJ$596,27,)=0,0,((VLOOKUP($D207,$C$5:$AJ$596,27,)/VLOOKUP($D207,$C$5:$AJ$596,4,))*$F207))</f>
        <v>0</v>
      </c>
      <c r="AD207" s="90">
        <f>IF(VLOOKUP($D207,$C$5:$AJ$596,28,)=0,0,((VLOOKUP($D207,$C$5:$AJ$596,28,)/VLOOKUP($D207,$C$5:$AJ$596,4,))*$F207))</f>
        <v>0</v>
      </c>
      <c r="AE207" s="90"/>
      <c r="AF207" s="90">
        <f>IF(VLOOKUP($D207,$C$5:$AJ$596,30,)=0,0,((VLOOKUP($D207,$C$5:$AJ$596,30,)/VLOOKUP($D207,$C$5:$AJ$596,4,))*$F207))</f>
        <v>0</v>
      </c>
      <c r="AG207" s="90"/>
      <c r="AH207" s="90">
        <f>IF(VLOOKUP($D207,$C$5:$AJ$596,32,)=0,0,((VLOOKUP($D207,$C$5:$AJ$596,32,)/VLOOKUP($D207,$C$5:$AJ$596,4,))*$F207))</f>
        <v>0</v>
      </c>
      <c r="AI207" s="90"/>
      <c r="AJ207" s="90">
        <f>IF(VLOOKUP($D207,$C$5:$AJ$596,34,)=0,0,((VLOOKUP($D207,$C$5:$AJ$596,34,)/VLOOKUP($D207,$C$5:$AJ$596,4,))*$F207))</f>
        <v>0</v>
      </c>
      <c r="AK207" s="90">
        <f>SUM(H207:AJ207)</f>
        <v>876396</v>
      </c>
      <c r="AL207" s="87" t="str">
        <f>IF(ABS(AK207-F207)&lt;1,"ok","err")</f>
        <v>ok</v>
      </c>
    </row>
    <row r="208" spans="1:38" x14ac:dyDescent="0.5">
      <c r="A208" s="86">
        <v>553</v>
      </c>
      <c r="B208" s="86" t="s">
        <v>1522</v>
      </c>
      <c r="C208" s="86" t="s">
        <v>1523</v>
      </c>
      <c r="D208" s="348" t="s">
        <v>709</v>
      </c>
      <c r="E208" s="50"/>
      <c r="F208" s="90">
        <f>'Jurisdictional Study'!F1018</f>
        <v>7236966</v>
      </c>
      <c r="H208" s="90">
        <f>IF(VLOOKUP($D208,$C$5:$AJ$596,6,)=0,0,((VLOOKUP($D208,$C$5:$AJ$596,6,)/VLOOKUP($D208,$C$5:$AJ$596,4,))*$F208))</f>
        <v>7236966</v>
      </c>
      <c r="I208" s="90">
        <f>IF(VLOOKUP($D208,$C$5:$AJ$596,7,)=0,0,((VLOOKUP($D208,$C$5:$AJ$596,7,)/VLOOKUP($D208,$C$5:$AJ$596,4,))*$F208))</f>
        <v>0</v>
      </c>
      <c r="J208" s="90">
        <f>IF(VLOOKUP($D208,$C$5:$AJ$596,8,)=0,0,((VLOOKUP($D208,$C$5:$AJ$596,8,)/VLOOKUP($D208,$C$5:$AJ$596,4,))*$F208))</f>
        <v>0</v>
      </c>
      <c r="K208" s="90">
        <f>IF(VLOOKUP($D208,$C$5:$AJ$596,9,)=0,0,((VLOOKUP($D208,$C$5:$AJ$596,9,)/VLOOKUP($D208,$C$5:$AJ$596,4,))*$F208))</f>
        <v>0</v>
      </c>
      <c r="L208" s="90">
        <f>IF(VLOOKUP($D208,$C$5:$AJ$596,10,)=0,0,((VLOOKUP($D208,$C$5:$AJ$596,10,)/VLOOKUP($D208,$C$5:$AJ$596,4,))*$F208))</f>
        <v>0</v>
      </c>
      <c r="M208" s="90">
        <f>IF(VLOOKUP($D208,$C$5:$AJ$596,11,)=0,0,((VLOOKUP($D208,$C$5:$AJ$596,11,)/VLOOKUP($D208,$C$5:$AJ$596,4,))*$F208))</f>
        <v>0</v>
      </c>
      <c r="N208" s="90"/>
      <c r="O208" s="90">
        <f>IF(VLOOKUP($D208,$C$5:$AJ$596,13,)=0,0,((VLOOKUP($D208,$C$5:$AJ$596,13,)/VLOOKUP($D208,$C$5:$AJ$596,4,))*$F208))</f>
        <v>0</v>
      </c>
      <c r="P208" s="90">
        <f>IF(VLOOKUP($D208,$C$5:$AJ$596,14,)=0,0,((VLOOKUP($D208,$C$5:$AJ$596,14,)/VLOOKUP($D208,$C$5:$AJ$596,4,))*$F208))</f>
        <v>0</v>
      </c>
      <c r="Q208" s="90">
        <f>IF(VLOOKUP($D208,$C$5:$AJ$596,15,)=0,0,((VLOOKUP($D208,$C$5:$AJ$596,15,)/VLOOKUP($D208,$C$5:$AJ$596,4,))*$F208))</f>
        <v>0</v>
      </c>
      <c r="R208" s="90"/>
      <c r="S208" s="90">
        <f>IF(VLOOKUP($D208,$C$5:$AJ$596,17,)=0,0,((VLOOKUP($D208,$C$5:$AJ$596,17,)/VLOOKUP($D208,$C$5:$AJ$596,4,))*$F208))</f>
        <v>0</v>
      </c>
      <c r="T208" s="90">
        <f>IF(VLOOKUP($D208,$C$5:$AJ$596,18,)=0,0,((VLOOKUP($D208,$C$5:$AJ$596,18,)/VLOOKUP($D208,$C$5:$AJ$596,4,))*$F208))</f>
        <v>0</v>
      </c>
      <c r="U208" s="90">
        <f>IF(VLOOKUP($D208,$C$5:$AJ$596,19,)=0,0,((VLOOKUP($D208,$C$5:$AJ$596,19,)/VLOOKUP($D208,$C$5:$AJ$596,4,))*$F208))</f>
        <v>0</v>
      </c>
      <c r="V208" s="90">
        <f>IF(VLOOKUP($D208,$C$5:$AJ$596,20,)=0,0,((VLOOKUP($D208,$C$5:$AJ$596,20,)/VLOOKUP($D208,$C$5:$AJ$596,4,))*$F208))</f>
        <v>0</v>
      </c>
      <c r="W208" s="90">
        <f>IF(VLOOKUP($D208,$C$5:$AJ$596,21,)=0,0,((VLOOKUP($D208,$C$5:$AJ$596,21,)/VLOOKUP($D208,$C$5:$AJ$596,4,))*$F208))</f>
        <v>0</v>
      </c>
      <c r="X208" s="90">
        <f>IF(VLOOKUP($D208,$C$5:$AJ$596,22,)=0,0,((VLOOKUP($D208,$C$5:$AJ$596,22,)/VLOOKUP($D208,$C$5:$AJ$596,4,))*$F208))</f>
        <v>0</v>
      </c>
      <c r="Y208" s="90">
        <f>IF(VLOOKUP($D208,$C$5:$AJ$596,23,)=0,0,((VLOOKUP($D208,$C$5:$AJ$596,23,)/VLOOKUP($D208,$C$5:$AJ$596,4,))*$F208))</f>
        <v>0</v>
      </c>
      <c r="Z208" s="90">
        <f>IF(VLOOKUP($D208,$C$5:$AJ$596,24,)=0,0,((VLOOKUP($D208,$C$5:$AJ$596,24,)/VLOOKUP($D208,$C$5:$AJ$596,4,))*$F208))</f>
        <v>0</v>
      </c>
      <c r="AA208" s="90">
        <f>IF(VLOOKUP($D208,$C$5:$AJ$596,25,)=0,0,((VLOOKUP($D208,$C$5:$AJ$596,25,)/VLOOKUP($D208,$C$5:$AJ$596,4,))*$F208))</f>
        <v>0</v>
      </c>
      <c r="AB208" s="90">
        <f>IF(VLOOKUP($D208,$C$5:$AJ$596,26,)=0,0,((VLOOKUP($D208,$C$5:$AJ$596,26,)/VLOOKUP($D208,$C$5:$AJ$596,4,))*$F208))</f>
        <v>0</v>
      </c>
      <c r="AC208" s="90">
        <f>IF(VLOOKUP($D208,$C$5:$AJ$596,27,)=0,0,((VLOOKUP($D208,$C$5:$AJ$596,27,)/VLOOKUP($D208,$C$5:$AJ$596,4,))*$F208))</f>
        <v>0</v>
      </c>
      <c r="AD208" s="90">
        <f>IF(VLOOKUP($D208,$C$5:$AJ$596,28,)=0,0,((VLOOKUP($D208,$C$5:$AJ$596,28,)/VLOOKUP($D208,$C$5:$AJ$596,4,))*$F208))</f>
        <v>0</v>
      </c>
      <c r="AE208" s="90"/>
      <c r="AF208" s="90">
        <f>IF(VLOOKUP($D208,$C$5:$AJ$596,30,)=0,0,((VLOOKUP($D208,$C$5:$AJ$596,30,)/VLOOKUP($D208,$C$5:$AJ$596,4,))*$F208))</f>
        <v>0</v>
      </c>
      <c r="AG208" s="90"/>
      <c r="AH208" s="90">
        <f>IF(VLOOKUP($D208,$C$5:$AJ$596,32,)=0,0,((VLOOKUP($D208,$C$5:$AJ$596,32,)/VLOOKUP($D208,$C$5:$AJ$596,4,))*$F208))</f>
        <v>0</v>
      </c>
      <c r="AI208" s="90"/>
      <c r="AJ208" s="90">
        <f>IF(VLOOKUP($D208,$C$5:$AJ$596,34,)=0,0,((VLOOKUP($D208,$C$5:$AJ$596,34,)/VLOOKUP($D208,$C$5:$AJ$596,4,))*$F208))</f>
        <v>0</v>
      </c>
      <c r="AK208" s="90">
        <f>SUM(H208:AJ208)</f>
        <v>7236966</v>
      </c>
      <c r="AL208" s="87" t="str">
        <f>IF(ABS(AK208-F208)&lt;1,"ok","err")</f>
        <v>ok</v>
      </c>
    </row>
    <row r="209" spans="1:38" x14ac:dyDescent="0.5">
      <c r="A209" s="86">
        <v>554</v>
      </c>
      <c r="B209" s="86" t="s">
        <v>1524</v>
      </c>
      <c r="C209" s="86" t="s">
        <v>1525</v>
      </c>
      <c r="D209" s="348" t="s">
        <v>709</v>
      </c>
      <c r="E209" s="50"/>
      <c r="F209" s="90">
        <f>'Jurisdictional Study'!F1019</f>
        <v>5979786</v>
      </c>
      <c r="H209" s="90">
        <f>IF(VLOOKUP($D209,$C$5:$AJ$596,6,)=0,0,((VLOOKUP($D209,$C$5:$AJ$596,6,)/VLOOKUP($D209,$C$5:$AJ$596,4,))*$F209))</f>
        <v>5979786</v>
      </c>
      <c r="I209" s="90">
        <f>IF(VLOOKUP($D209,$C$5:$AJ$596,7,)=0,0,((VLOOKUP($D209,$C$5:$AJ$596,7,)/VLOOKUP($D209,$C$5:$AJ$596,4,))*$F209))</f>
        <v>0</v>
      </c>
      <c r="J209" s="90">
        <f>IF(VLOOKUP($D209,$C$5:$AJ$596,8,)=0,0,((VLOOKUP($D209,$C$5:$AJ$596,8,)/VLOOKUP($D209,$C$5:$AJ$596,4,))*$F209))</f>
        <v>0</v>
      </c>
      <c r="K209" s="90">
        <f>IF(VLOOKUP($D209,$C$5:$AJ$596,9,)=0,0,((VLOOKUP($D209,$C$5:$AJ$596,9,)/VLOOKUP($D209,$C$5:$AJ$596,4,))*$F209))</f>
        <v>0</v>
      </c>
      <c r="L209" s="90">
        <f>IF(VLOOKUP($D209,$C$5:$AJ$596,10,)=0,0,((VLOOKUP($D209,$C$5:$AJ$596,10,)/VLOOKUP($D209,$C$5:$AJ$596,4,))*$F209))</f>
        <v>0</v>
      </c>
      <c r="M209" s="90">
        <f>IF(VLOOKUP($D209,$C$5:$AJ$596,11,)=0,0,((VLOOKUP($D209,$C$5:$AJ$596,11,)/VLOOKUP($D209,$C$5:$AJ$596,4,))*$F209))</f>
        <v>0</v>
      </c>
      <c r="N209" s="90"/>
      <c r="O209" s="90">
        <f>IF(VLOOKUP($D209,$C$5:$AJ$596,13,)=0,0,((VLOOKUP($D209,$C$5:$AJ$596,13,)/VLOOKUP($D209,$C$5:$AJ$596,4,))*$F209))</f>
        <v>0</v>
      </c>
      <c r="P209" s="90">
        <f>IF(VLOOKUP($D209,$C$5:$AJ$596,14,)=0,0,((VLOOKUP($D209,$C$5:$AJ$596,14,)/VLOOKUP($D209,$C$5:$AJ$596,4,))*$F209))</f>
        <v>0</v>
      </c>
      <c r="Q209" s="90">
        <f>IF(VLOOKUP($D209,$C$5:$AJ$596,15,)=0,0,((VLOOKUP($D209,$C$5:$AJ$596,15,)/VLOOKUP($D209,$C$5:$AJ$596,4,))*$F209))</f>
        <v>0</v>
      </c>
      <c r="R209" s="90"/>
      <c r="S209" s="90">
        <f>IF(VLOOKUP($D209,$C$5:$AJ$596,17,)=0,0,((VLOOKUP($D209,$C$5:$AJ$596,17,)/VLOOKUP($D209,$C$5:$AJ$596,4,))*$F209))</f>
        <v>0</v>
      </c>
      <c r="T209" s="90">
        <f>IF(VLOOKUP($D209,$C$5:$AJ$596,18,)=0,0,((VLOOKUP($D209,$C$5:$AJ$596,18,)/VLOOKUP($D209,$C$5:$AJ$596,4,))*$F209))</f>
        <v>0</v>
      </c>
      <c r="U209" s="90">
        <f>IF(VLOOKUP($D209,$C$5:$AJ$596,19,)=0,0,((VLOOKUP($D209,$C$5:$AJ$596,19,)/VLOOKUP($D209,$C$5:$AJ$596,4,))*$F209))</f>
        <v>0</v>
      </c>
      <c r="V209" s="90">
        <f>IF(VLOOKUP($D209,$C$5:$AJ$596,20,)=0,0,((VLOOKUP($D209,$C$5:$AJ$596,20,)/VLOOKUP($D209,$C$5:$AJ$596,4,))*$F209))</f>
        <v>0</v>
      </c>
      <c r="W209" s="90">
        <f>IF(VLOOKUP($D209,$C$5:$AJ$596,21,)=0,0,((VLOOKUP($D209,$C$5:$AJ$596,21,)/VLOOKUP($D209,$C$5:$AJ$596,4,))*$F209))</f>
        <v>0</v>
      </c>
      <c r="X209" s="90">
        <f>IF(VLOOKUP($D209,$C$5:$AJ$596,22,)=0,0,((VLOOKUP($D209,$C$5:$AJ$596,22,)/VLOOKUP($D209,$C$5:$AJ$596,4,))*$F209))</f>
        <v>0</v>
      </c>
      <c r="Y209" s="90">
        <f>IF(VLOOKUP($D209,$C$5:$AJ$596,23,)=0,0,((VLOOKUP($D209,$C$5:$AJ$596,23,)/VLOOKUP($D209,$C$5:$AJ$596,4,))*$F209))</f>
        <v>0</v>
      </c>
      <c r="Z209" s="90">
        <f>IF(VLOOKUP($D209,$C$5:$AJ$596,24,)=0,0,((VLOOKUP($D209,$C$5:$AJ$596,24,)/VLOOKUP($D209,$C$5:$AJ$596,4,))*$F209))</f>
        <v>0</v>
      </c>
      <c r="AA209" s="90">
        <f>IF(VLOOKUP($D209,$C$5:$AJ$596,25,)=0,0,((VLOOKUP($D209,$C$5:$AJ$596,25,)/VLOOKUP($D209,$C$5:$AJ$596,4,))*$F209))</f>
        <v>0</v>
      </c>
      <c r="AB209" s="90">
        <f>IF(VLOOKUP($D209,$C$5:$AJ$596,26,)=0,0,((VLOOKUP($D209,$C$5:$AJ$596,26,)/VLOOKUP($D209,$C$5:$AJ$596,4,))*$F209))</f>
        <v>0</v>
      </c>
      <c r="AC209" s="90">
        <f>IF(VLOOKUP($D209,$C$5:$AJ$596,27,)=0,0,((VLOOKUP($D209,$C$5:$AJ$596,27,)/VLOOKUP($D209,$C$5:$AJ$596,4,))*$F209))</f>
        <v>0</v>
      </c>
      <c r="AD209" s="90">
        <f>IF(VLOOKUP($D209,$C$5:$AJ$596,28,)=0,0,((VLOOKUP($D209,$C$5:$AJ$596,28,)/VLOOKUP($D209,$C$5:$AJ$596,4,))*$F209))</f>
        <v>0</v>
      </c>
      <c r="AE209" s="90"/>
      <c r="AF209" s="90">
        <f>IF(VLOOKUP($D209,$C$5:$AJ$596,30,)=0,0,((VLOOKUP($D209,$C$5:$AJ$596,30,)/VLOOKUP($D209,$C$5:$AJ$596,4,))*$F209))</f>
        <v>0</v>
      </c>
      <c r="AG209" s="90"/>
      <c r="AH209" s="90">
        <f>IF(VLOOKUP($D209,$C$5:$AJ$596,32,)=0,0,((VLOOKUP($D209,$C$5:$AJ$596,32,)/VLOOKUP($D209,$C$5:$AJ$596,4,))*$F209))</f>
        <v>0</v>
      </c>
      <c r="AI209" s="90"/>
      <c r="AJ209" s="90">
        <f>IF(VLOOKUP($D209,$C$5:$AJ$596,34,)=0,0,((VLOOKUP($D209,$C$5:$AJ$596,34,)/VLOOKUP($D209,$C$5:$AJ$596,4,))*$F209))</f>
        <v>0</v>
      </c>
      <c r="AK209" s="90">
        <f>SUM(H209:AJ209)</f>
        <v>5979786</v>
      </c>
      <c r="AL209" s="87" t="str">
        <f>IF(ABS(AK209-F209)&lt;1,"ok","err")</f>
        <v>ok</v>
      </c>
    </row>
    <row r="210" spans="1:38" x14ac:dyDescent="0.5">
      <c r="D210" s="348"/>
      <c r="E210" s="50"/>
      <c r="F210" s="89"/>
      <c r="Y210" s="86"/>
      <c r="AL210" s="87"/>
    </row>
    <row r="211" spans="1:38" x14ac:dyDescent="0.5">
      <c r="B211" s="86" t="s">
        <v>1527</v>
      </c>
      <c r="D211" s="50"/>
      <c r="E211" s="50"/>
      <c r="F211" s="89">
        <f>SUM(F206:F210)</f>
        <v>15004640</v>
      </c>
      <c r="H211" s="89">
        <f t="shared" ref="H211:M211" si="153">SUM(H206:H210)</f>
        <v>15004640</v>
      </c>
      <c r="I211" s="89">
        <f t="shared" si="153"/>
        <v>0</v>
      </c>
      <c r="J211" s="89">
        <f t="shared" si="153"/>
        <v>0</v>
      </c>
      <c r="K211" s="89">
        <f t="shared" si="153"/>
        <v>0</v>
      </c>
      <c r="L211" s="89">
        <f t="shared" si="153"/>
        <v>0</v>
      </c>
      <c r="M211" s="89">
        <f t="shared" si="153"/>
        <v>0</v>
      </c>
      <c r="O211" s="89">
        <f>SUM(O206:O210)</f>
        <v>0</v>
      </c>
      <c r="P211" s="89">
        <f>SUM(P206:P210)</f>
        <v>0</v>
      </c>
      <c r="Q211" s="89">
        <f>SUM(Q206:Q210)</f>
        <v>0</v>
      </c>
      <c r="S211" s="89">
        <f t="shared" ref="S211:AD211" si="154">SUM(S206:S210)</f>
        <v>0</v>
      </c>
      <c r="T211" s="89">
        <f t="shared" si="154"/>
        <v>0</v>
      </c>
      <c r="U211" s="89">
        <f t="shared" si="154"/>
        <v>0</v>
      </c>
      <c r="V211" s="89">
        <f t="shared" si="154"/>
        <v>0</v>
      </c>
      <c r="W211" s="89">
        <f t="shared" si="154"/>
        <v>0</v>
      </c>
      <c r="X211" s="89">
        <f t="shared" si="154"/>
        <v>0</v>
      </c>
      <c r="Y211" s="89">
        <f t="shared" si="154"/>
        <v>0</v>
      </c>
      <c r="Z211" s="89">
        <f t="shared" si="154"/>
        <v>0</v>
      </c>
      <c r="AA211" s="89">
        <f t="shared" si="154"/>
        <v>0</v>
      </c>
      <c r="AB211" s="89">
        <f t="shared" si="154"/>
        <v>0</v>
      </c>
      <c r="AC211" s="89">
        <f t="shared" si="154"/>
        <v>0</v>
      </c>
      <c r="AD211" s="89">
        <f t="shared" si="154"/>
        <v>0</v>
      </c>
      <c r="AF211" s="89">
        <f>SUM(AF206:AF210)</f>
        <v>0</v>
      </c>
      <c r="AH211" s="89">
        <f>SUM(AH206:AH210)</f>
        <v>0</v>
      </c>
      <c r="AJ211" s="89">
        <f>SUM(AJ206:AJ210)</f>
        <v>0</v>
      </c>
      <c r="AK211" s="90">
        <f>SUM(H211:AJ211)</f>
        <v>15004640</v>
      </c>
      <c r="AL211" s="87" t="str">
        <f>IF(ABS(AK211-F211)&lt;1,"ok","err")</f>
        <v>ok</v>
      </c>
    </row>
    <row r="212" spans="1:38" x14ac:dyDescent="0.5">
      <c r="D212" s="50"/>
      <c r="E212" s="50"/>
      <c r="F212" s="89"/>
      <c r="H212" s="89"/>
      <c r="I212" s="89"/>
      <c r="J212" s="89"/>
      <c r="K212" s="89"/>
      <c r="L212" s="89"/>
      <c r="M212" s="89"/>
      <c r="O212" s="89"/>
      <c r="P212" s="89"/>
      <c r="Q212" s="89"/>
      <c r="S212" s="89"/>
      <c r="T212" s="89"/>
      <c r="U212" s="89"/>
      <c r="V212" s="89"/>
      <c r="W212" s="89"/>
      <c r="X212" s="89"/>
      <c r="Y212" s="89"/>
      <c r="Z212" s="89"/>
      <c r="AA212" s="89"/>
      <c r="AB212" s="89"/>
      <c r="AC212" s="89"/>
      <c r="AD212" s="89"/>
      <c r="AF212" s="89"/>
      <c r="AH212" s="89"/>
      <c r="AJ212" s="89"/>
      <c r="AK212" s="90"/>
      <c r="AL212" s="87"/>
    </row>
    <row r="213" spans="1:38" x14ac:dyDescent="0.5">
      <c r="B213" s="86" t="s">
        <v>1526</v>
      </c>
      <c r="D213" s="50"/>
      <c r="E213" s="50"/>
      <c r="F213" s="89">
        <f>F203+F211</f>
        <v>128834447</v>
      </c>
      <c r="H213" s="89">
        <f t="shared" ref="H213:M213" si="155">H203+H211</f>
        <v>21720239</v>
      </c>
      <c r="I213" s="89">
        <f t="shared" si="155"/>
        <v>0</v>
      </c>
      <c r="J213" s="89">
        <f t="shared" si="155"/>
        <v>0</v>
      </c>
      <c r="K213" s="89">
        <f t="shared" si="155"/>
        <v>107114208</v>
      </c>
      <c r="L213" s="89">
        <f t="shared" si="155"/>
        <v>0</v>
      </c>
      <c r="M213" s="89">
        <f t="shared" si="155"/>
        <v>0</v>
      </c>
      <c r="O213" s="89">
        <f>O203+O211</f>
        <v>0</v>
      </c>
      <c r="P213" s="89">
        <f>P203+P211</f>
        <v>0</v>
      </c>
      <c r="Q213" s="89">
        <f>Q203+Q211</f>
        <v>0</v>
      </c>
      <c r="S213" s="89">
        <f t="shared" ref="S213:AD213" si="156">S203+S211</f>
        <v>0</v>
      </c>
      <c r="T213" s="89">
        <f t="shared" si="156"/>
        <v>0</v>
      </c>
      <c r="U213" s="89">
        <f t="shared" si="156"/>
        <v>0</v>
      </c>
      <c r="V213" s="89">
        <f t="shared" si="156"/>
        <v>0</v>
      </c>
      <c r="W213" s="89">
        <f t="shared" si="156"/>
        <v>0</v>
      </c>
      <c r="X213" s="89">
        <f t="shared" si="156"/>
        <v>0</v>
      </c>
      <c r="Y213" s="89">
        <f t="shared" si="156"/>
        <v>0</v>
      </c>
      <c r="Z213" s="89">
        <f t="shared" si="156"/>
        <v>0</v>
      </c>
      <c r="AA213" s="89">
        <f t="shared" si="156"/>
        <v>0</v>
      </c>
      <c r="AB213" s="89">
        <f t="shared" si="156"/>
        <v>0</v>
      </c>
      <c r="AC213" s="89">
        <f t="shared" si="156"/>
        <v>0</v>
      </c>
      <c r="AD213" s="89">
        <f t="shared" si="156"/>
        <v>0</v>
      </c>
      <c r="AF213" s="89">
        <f>AF203+AF211</f>
        <v>0</v>
      </c>
      <c r="AH213" s="89">
        <f>AH203+AH211</f>
        <v>0</v>
      </c>
      <c r="AJ213" s="89">
        <f>AJ203+AJ211</f>
        <v>0</v>
      </c>
      <c r="AK213" s="90">
        <f>SUM(H213:AJ213)</f>
        <v>128834447</v>
      </c>
      <c r="AL213" s="87" t="str">
        <f>IF(ABS(AK213-F213)&lt;1,"ok","err")</f>
        <v>ok</v>
      </c>
    </row>
    <row r="214" spans="1:38" x14ac:dyDescent="0.5">
      <c r="D214" s="348"/>
      <c r="E214" s="50"/>
      <c r="F214" s="89"/>
      <c r="H214" s="89"/>
      <c r="I214" s="89"/>
      <c r="J214" s="89"/>
      <c r="K214" s="89"/>
      <c r="L214" s="89"/>
      <c r="M214" s="89"/>
      <c r="O214" s="89"/>
      <c r="P214" s="89"/>
      <c r="Q214" s="89"/>
      <c r="S214" s="89"/>
      <c r="T214" s="89"/>
      <c r="U214" s="89"/>
      <c r="V214" s="89"/>
      <c r="W214" s="89"/>
      <c r="X214" s="89"/>
      <c r="Y214" s="89"/>
      <c r="Z214" s="89"/>
      <c r="AA214" s="89"/>
      <c r="AB214" s="89"/>
      <c r="AC214" s="89"/>
      <c r="AD214" s="89"/>
      <c r="AF214" s="89"/>
      <c r="AH214" s="89"/>
      <c r="AJ214" s="89"/>
      <c r="AK214" s="90"/>
      <c r="AL214" s="87"/>
    </row>
    <row r="215" spans="1:38" x14ac:dyDescent="0.5">
      <c r="B215" s="86" t="s">
        <v>1528</v>
      </c>
      <c r="D215" s="348"/>
      <c r="E215" s="50"/>
      <c r="F215" s="89">
        <f>F171+F192+F213</f>
        <v>574443986</v>
      </c>
      <c r="H215" s="89">
        <f t="shared" ref="H215:M215" si="157">H171+H192+H213</f>
        <v>80013549.389502048</v>
      </c>
      <c r="I215" s="89">
        <f t="shared" si="157"/>
        <v>0</v>
      </c>
      <c r="J215" s="89">
        <f t="shared" si="157"/>
        <v>0</v>
      </c>
      <c r="K215" s="89">
        <f t="shared" si="157"/>
        <v>494430436.61049789</v>
      </c>
      <c r="L215" s="89">
        <f t="shared" si="157"/>
        <v>0</v>
      </c>
      <c r="M215" s="89">
        <f t="shared" si="157"/>
        <v>0</v>
      </c>
      <c r="O215" s="89">
        <f>O171+O192+O213</f>
        <v>0</v>
      </c>
      <c r="P215" s="89">
        <f>P171+P192+P213</f>
        <v>0</v>
      </c>
      <c r="Q215" s="89">
        <f>Q171+Q192+Q213</f>
        <v>0</v>
      </c>
      <c r="S215" s="89">
        <f t="shared" ref="S215:AD215" si="158">S171+S192+S213</f>
        <v>0</v>
      </c>
      <c r="T215" s="89">
        <f t="shared" si="158"/>
        <v>0</v>
      </c>
      <c r="U215" s="89">
        <f t="shared" si="158"/>
        <v>0</v>
      </c>
      <c r="V215" s="89">
        <f t="shared" si="158"/>
        <v>0</v>
      </c>
      <c r="W215" s="89">
        <f t="shared" si="158"/>
        <v>0</v>
      </c>
      <c r="X215" s="89">
        <f t="shared" si="158"/>
        <v>0</v>
      </c>
      <c r="Y215" s="89">
        <f t="shared" si="158"/>
        <v>0</v>
      </c>
      <c r="Z215" s="89">
        <f t="shared" si="158"/>
        <v>0</v>
      </c>
      <c r="AA215" s="89">
        <f t="shared" si="158"/>
        <v>0</v>
      </c>
      <c r="AB215" s="89">
        <f t="shared" si="158"/>
        <v>0</v>
      </c>
      <c r="AC215" s="89">
        <f t="shared" si="158"/>
        <v>0</v>
      </c>
      <c r="AD215" s="89">
        <f t="shared" si="158"/>
        <v>0</v>
      </c>
      <c r="AF215" s="89">
        <f>AF171+AF192+AF213</f>
        <v>0</v>
      </c>
      <c r="AH215" s="89">
        <f>AH171+AH192+AH213</f>
        <v>0</v>
      </c>
      <c r="AJ215" s="89">
        <f>AJ171+AJ192+AJ213</f>
        <v>0</v>
      </c>
      <c r="AK215" s="90">
        <f>SUM(H215:AJ215)</f>
        <v>574443986</v>
      </c>
      <c r="AL215" s="87" t="str">
        <f>IF(ABS(AK215-F215)&lt;1,"ok","err")</f>
        <v>ok</v>
      </c>
    </row>
    <row r="216" spans="1:38" x14ac:dyDescent="0.5">
      <c r="D216" s="348"/>
      <c r="E216" s="50"/>
      <c r="F216" s="91"/>
      <c r="Y216" s="86"/>
      <c r="AL216" s="87"/>
    </row>
    <row r="217" spans="1:38" x14ac:dyDescent="0.5">
      <c r="A217" s="23" t="s">
        <v>1529</v>
      </c>
      <c r="D217" s="348"/>
      <c r="E217" s="50"/>
      <c r="Y217" s="86"/>
      <c r="AL217" s="87"/>
    </row>
    <row r="218" spans="1:38" x14ac:dyDescent="0.5">
      <c r="A218" s="86">
        <v>555</v>
      </c>
      <c r="B218" s="86" t="s">
        <v>459</v>
      </c>
      <c r="C218" s="86" t="s">
        <v>476</v>
      </c>
      <c r="D218" s="348" t="s">
        <v>779</v>
      </c>
      <c r="E218" s="50"/>
      <c r="F218" s="89">
        <f>'Jurisdictional Study'!F1029-163771</f>
        <v>48544007</v>
      </c>
      <c r="G218" s="89"/>
      <c r="H218" s="90">
        <f t="shared" ref="H218:H223" si="159">IF(VLOOKUP($D218,$C$5:$AJ$596,6,)=0,0,((VLOOKUP($D218,$C$5:$AJ$596,6,)/VLOOKUP($D218,$C$5:$AJ$596,4,))*$F218))</f>
        <v>9572612.2559388559</v>
      </c>
      <c r="I218" s="90">
        <f t="shared" ref="I218:I223" si="160">IF(VLOOKUP($D218,$C$5:$AJ$596,7,)=0,0,((VLOOKUP($D218,$C$5:$AJ$596,7,)/VLOOKUP($D218,$C$5:$AJ$596,4,))*$F218))</f>
        <v>0</v>
      </c>
      <c r="J218" s="90">
        <f t="shared" ref="J218:J223" si="161">IF(VLOOKUP($D218,$C$5:$AJ$596,8,)=0,0,((VLOOKUP($D218,$C$5:$AJ$596,8,)/VLOOKUP($D218,$C$5:$AJ$596,4,))*$F218))</f>
        <v>0</v>
      </c>
      <c r="K218" s="90">
        <f t="shared" ref="K218:K223" si="162">IF(VLOOKUP($D218,$C$5:$AJ$596,9,)=0,0,((VLOOKUP($D218,$C$5:$AJ$596,9,)/VLOOKUP($D218,$C$5:$AJ$596,4,))*$F218))</f>
        <v>38971394.744061142</v>
      </c>
      <c r="L218" s="90">
        <f t="shared" ref="L218:L223" si="163">IF(VLOOKUP($D218,$C$5:$AJ$596,10,)=0,0,((VLOOKUP($D218,$C$5:$AJ$596,10,)/VLOOKUP($D218,$C$5:$AJ$596,4,))*$F218))</f>
        <v>0</v>
      </c>
      <c r="M218" s="90">
        <f t="shared" ref="M218:M223" si="164">IF(VLOOKUP($D218,$C$5:$AJ$596,11,)=0,0,((VLOOKUP($D218,$C$5:$AJ$596,11,)/VLOOKUP($D218,$C$5:$AJ$596,4,))*$F218))</f>
        <v>0</v>
      </c>
      <c r="N218" s="90"/>
      <c r="O218" s="90">
        <f t="shared" ref="O218:O223" si="165">IF(VLOOKUP($D218,$C$5:$AJ$596,13,)=0,0,((VLOOKUP($D218,$C$5:$AJ$596,13,)/VLOOKUP($D218,$C$5:$AJ$596,4,))*$F218))</f>
        <v>0</v>
      </c>
      <c r="P218" s="90">
        <f t="shared" ref="P218:P223" si="166">IF(VLOOKUP($D218,$C$5:$AJ$596,14,)=0,0,((VLOOKUP($D218,$C$5:$AJ$596,14,)/VLOOKUP($D218,$C$5:$AJ$596,4,))*$F218))</f>
        <v>0</v>
      </c>
      <c r="Q218" s="90">
        <f t="shared" ref="Q218:Q223" si="167">IF(VLOOKUP($D218,$C$5:$AJ$596,15,)=0,0,((VLOOKUP($D218,$C$5:$AJ$596,15,)/VLOOKUP($D218,$C$5:$AJ$596,4,))*$F218))</f>
        <v>0</v>
      </c>
      <c r="R218" s="90"/>
      <c r="S218" s="90">
        <f t="shared" ref="S218:S223" si="168">IF(VLOOKUP($D218,$C$5:$AJ$596,17,)=0,0,((VLOOKUP($D218,$C$5:$AJ$596,17,)/VLOOKUP($D218,$C$5:$AJ$596,4,))*$F218))</f>
        <v>0</v>
      </c>
      <c r="T218" s="90">
        <f t="shared" ref="T218:T223" si="169">IF(VLOOKUP($D218,$C$5:$AJ$596,18,)=0,0,((VLOOKUP($D218,$C$5:$AJ$596,18,)/VLOOKUP($D218,$C$5:$AJ$596,4,))*$F218))</f>
        <v>0</v>
      </c>
      <c r="U218" s="90">
        <f t="shared" ref="U218:U223" si="170">IF(VLOOKUP($D218,$C$5:$AJ$596,19,)=0,0,((VLOOKUP($D218,$C$5:$AJ$596,19,)/VLOOKUP($D218,$C$5:$AJ$596,4,))*$F218))</f>
        <v>0</v>
      </c>
      <c r="V218" s="90">
        <f t="shared" ref="V218:V223" si="171">IF(VLOOKUP($D218,$C$5:$AJ$596,20,)=0,0,((VLOOKUP($D218,$C$5:$AJ$596,20,)/VLOOKUP($D218,$C$5:$AJ$596,4,))*$F218))</f>
        <v>0</v>
      </c>
      <c r="W218" s="90">
        <f t="shared" ref="W218:W223" si="172">IF(VLOOKUP($D218,$C$5:$AJ$596,21,)=0,0,((VLOOKUP($D218,$C$5:$AJ$596,21,)/VLOOKUP($D218,$C$5:$AJ$596,4,))*$F218))</f>
        <v>0</v>
      </c>
      <c r="X218" s="90">
        <f t="shared" ref="X218:X223" si="173">IF(VLOOKUP($D218,$C$5:$AJ$596,22,)=0,0,((VLOOKUP($D218,$C$5:$AJ$596,22,)/VLOOKUP($D218,$C$5:$AJ$596,4,))*$F218))</f>
        <v>0</v>
      </c>
      <c r="Y218" s="90">
        <f t="shared" ref="Y218:Y223" si="174">IF(VLOOKUP($D218,$C$5:$AJ$596,23,)=0,0,((VLOOKUP($D218,$C$5:$AJ$596,23,)/VLOOKUP($D218,$C$5:$AJ$596,4,))*$F218))</f>
        <v>0</v>
      </c>
      <c r="Z218" s="90">
        <f t="shared" ref="Z218:Z223" si="175">IF(VLOOKUP($D218,$C$5:$AJ$596,24,)=0,0,((VLOOKUP($D218,$C$5:$AJ$596,24,)/VLOOKUP($D218,$C$5:$AJ$596,4,))*$F218))</f>
        <v>0</v>
      </c>
      <c r="AA218" s="90">
        <f t="shared" ref="AA218:AA223" si="176">IF(VLOOKUP($D218,$C$5:$AJ$596,25,)=0,0,((VLOOKUP($D218,$C$5:$AJ$596,25,)/VLOOKUP($D218,$C$5:$AJ$596,4,))*$F218))</f>
        <v>0</v>
      </c>
      <c r="AB218" s="90">
        <f t="shared" ref="AB218:AB223" si="177">IF(VLOOKUP($D218,$C$5:$AJ$596,26,)=0,0,((VLOOKUP($D218,$C$5:$AJ$596,26,)/VLOOKUP($D218,$C$5:$AJ$596,4,))*$F218))</f>
        <v>0</v>
      </c>
      <c r="AC218" s="90">
        <f t="shared" ref="AC218:AC223" si="178">IF(VLOOKUP($D218,$C$5:$AJ$596,27,)=0,0,((VLOOKUP($D218,$C$5:$AJ$596,27,)/VLOOKUP($D218,$C$5:$AJ$596,4,))*$F218))</f>
        <v>0</v>
      </c>
      <c r="AD218" s="90">
        <f t="shared" ref="AD218:AD223" si="179">IF(VLOOKUP($D218,$C$5:$AJ$596,28,)=0,0,((VLOOKUP($D218,$C$5:$AJ$596,28,)/VLOOKUP($D218,$C$5:$AJ$596,4,))*$F218))</f>
        <v>0</v>
      </c>
      <c r="AE218" s="90"/>
      <c r="AF218" s="90">
        <f t="shared" ref="AF218:AF223" si="180">IF(VLOOKUP($D218,$C$5:$AJ$596,30,)=0,0,((VLOOKUP($D218,$C$5:$AJ$596,30,)/VLOOKUP($D218,$C$5:$AJ$596,4,))*$F218))</f>
        <v>0</v>
      </c>
      <c r="AG218" s="90"/>
      <c r="AH218" s="90">
        <f t="shared" ref="AH218:AH223" si="181">IF(VLOOKUP($D218,$C$5:$AJ$596,32,)=0,0,((VLOOKUP($D218,$C$5:$AJ$596,32,)/VLOOKUP($D218,$C$5:$AJ$596,4,))*$F218))</f>
        <v>0</v>
      </c>
      <c r="AI218" s="90"/>
      <c r="AJ218" s="90">
        <f t="shared" ref="AJ218:AJ223" si="182">IF(VLOOKUP($D218,$C$5:$AJ$596,34,)=0,0,((VLOOKUP($D218,$C$5:$AJ$596,34,)/VLOOKUP($D218,$C$5:$AJ$596,4,))*$F218))</f>
        <v>0</v>
      </c>
      <c r="AK218" s="90">
        <f t="shared" ref="AK218:AK223" si="183">SUM(H218:AJ218)</f>
        <v>48544007</v>
      </c>
      <c r="AL218" s="87" t="str">
        <f t="shared" ref="AL218:AL223" si="184">IF(ABS(AK218-F218)&lt;1,"ok","err")</f>
        <v>ok</v>
      </c>
    </row>
    <row r="219" spans="1:38" x14ac:dyDescent="0.5">
      <c r="A219" s="86">
        <v>555</v>
      </c>
      <c r="B219" s="86" t="s">
        <v>1530</v>
      </c>
      <c r="C219" s="86" t="s">
        <v>1531</v>
      </c>
      <c r="D219" s="348" t="s">
        <v>779</v>
      </c>
      <c r="E219" s="50"/>
      <c r="F219" s="90"/>
      <c r="G219" s="89"/>
      <c r="H219" s="90">
        <f t="shared" si="159"/>
        <v>0</v>
      </c>
      <c r="I219" s="90">
        <f t="shared" si="160"/>
        <v>0</v>
      </c>
      <c r="J219" s="90">
        <f t="shared" si="161"/>
        <v>0</v>
      </c>
      <c r="K219" s="90">
        <f t="shared" si="162"/>
        <v>0</v>
      </c>
      <c r="L219" s="90">
        <f t="shared" si="163"/>
        <v>0</v>
      </c>
      <c r="M219" s="90">
        <f t="shared" si="164"/>
        <v>0</v>
      </c>
      <c r="N219" s="90"/>
      <c r="O219" s="90">
        <f t="shared" si="165"/>
        <v>0</v>
      </c>
      <c r="P219" s="90">
        <f t="shared" si="166"/>
        <v>0</v>
      </c>
      <c r="Q219" s="90">
        <f t="shared" si="167"/>
        <v>0</v>
      </c>
      <c r="R219" s="90"/>
      <c r="S219" s="90">
        <f t="shared" si="168"/>
        <v>0</v>
      </c>
      <c r="T219" s="90">
        <f t="shared" si="169"/>
        <v>0</v>
      </c>
      <c r="U219" s="90">
        <f t="shared" si="170"/>
        <v>0</v>
      </c>
      <c r="V219" s="90">
        <f t="shared" si="171"/>
        <v>0</v>
      </c>
      <c r="W219" s="90">
        <f t="shared" si="172"/>
        <v>0</v>
      </c>
      <c r="X219" s="90">
        <f t="shared" si="173"/>
        <v>0</v>
      </c>
      <c r="Y219" s="90">
        <f t="shared" si="174"/>
        <v>0</v>
      </c>
      <c r="Z219" s="90">
        <f t="shared" si="175"/>
        <v>0</v>
      </c>
      <c r="AA219" s="90">
        <f t="shared" si="176"/>
        <v>0</v>
      </c>
      <c r="AB219" s="90">
        <f t="shared" si="177"/>
        <v>0</v>
      </c>
      <c r="AC219" s="90">
        <f t="shared" si="178"/>
        <v>0</v>
      </c>
      <c r="AD219" s="90">
        <f t="shared" si="179"/>
        <v>0</v>
      </c>
      <c r="AE219" s="90"/>
      <c r="AF219" s="90">
        <f t="shared" si="180"/>
        <v>0</v>
      </c>
      <c r="AG219" s="90"/>
      <c r="AH219" s="90">
        <f t="shared" si="181"/>
        <v>0</v>
      </c>
      <c r="AI219" s="90"/>
      <c r="AJ219" s="90">
        <f t="shared" si="182"/>
        <v>0</v>
      </c>
      <c r="AK219" s="90">
        <f t="shared" si="183"/>
        <v>0</v>
      </c>
      <c r="AL219" s="87" t="str">
        <f t="shared" si="184"/>
        <v>ok</v>
      </c>
    </row>
    <row r="220" spans="1:38" x14ac:dyDescent="0.5">
      <c r="A220" s="86">
        <v>555</v>
      </c>
      <c r="B220" s="86" t="s">
        <v>1532</v>
      </c>
      <c r="C220" s="86" t="s">
        <v>1533</v>
      </c>
      <c r="D220" s="348" t="s">
        <v>779</v>
      </c>
      <c r="E220" s="50"/>
      <c r="F220" s="90"/>
      <c r="G220" s="89"/>
      <c r="H220" s="90">
        <f t="shared" si="159"/>
        <v>0</v>
      </c>
      <c r="I220" s="90">
        <f t="shared" si="160"/>
        <v>0</v>
      </c>
      <c r="J220" s="90">
        <f t="shared" si="161"/>
        <v>0</v>
      </c>
      <c r="K220" s="90">
        <f t="shared" si="162"/>
        <v>0</v>
      </c>
      <c r="L220" s="90">
        <f t="shared" si="163"/>
        <v>0</v>
      </c>
      <c r="M220" s="90">
        <f t="shared" si="164"/>
        <v>0</v>
      </c>
      <c r="N220" s="90"/>
      <c r="O220" s="90">
        <f t="shared" si="165"/>
        <v>0</v>
      </c>
      <c r="P220" s="90">
        <f t="shared" si="166"/>
        <v>0</v>
      </c>
      <c r="Q220" s="90">
        <f t="shared" si="167"/>
        <v>0</v>
      </c>
      <c r="R220" s="90"/>
      <c r="S220" s="90">
        <f t="shared" si="168"/>
        <v>0</v>
      </c>
      <c r="T220" s="90">
        <f t="shared" si="169"/>
        <v>0</v>
      </c>
      <c r="U220" s="90">
        <f t="shared" si="170"/>
        <v>0</v>
      </c>
      <c r="V220" s="90">
        <f t="shared" si="171"/>
        <v>0</v>
      </c>
      <c r="W220" s="90">
        <f t="shared" si="172"/>
        <v>0</v>
      </c>
      <c r="X220" s="90">
        <f t="shared" si="173"/>
        <v>0</v>
      </c>
      <c r="Y220" s="90">
        <f t="shared" si="174"/>
        <v>0</v>
      </c>
      <c r="Z220" s="90">
        <f t="shared" si="175"/>
        <v>0</v>
      </c>
      <c r="AA220" s="90">
        <f t="shared" si="176"/>
        <v>0</v>
      </c>
      <c r="AB220" s="90">
        <f t="shared" si="177"/>
        <v>0</v>
      </c>
      <c r="AC220" s="90">
        <f t="shared" si="178"/>
        <v>0</v>
      </c>
      <c r="AD220" s="90">
        <f t="shared" si="179"/>
        <v>0</v>
      </c>
      <c r="AE220" s="90"/>
      <c r="AF220" s="90">
        <f t="shared" si="180"/>
        <v>0</v>
      </c>
      <c r="AG220" s="90"/>
      <c r="AH220" s="90">
        <f t="shared" si="181"/>
        <v>0</v>
      </c>
      <c r="AI220" s="90"/>
      <c r="AJ220" s="90">
        <f t="shared" si="182"/>
        <v>0</v>
      </c>
      <c r="AK220" s="90">
        <f t="shared" si="183"/>
        <v>0</v>
      </c>
      <c r="AL220" s="87" t="str">
        <f t="shared" si="184"/>
        <v>ok</v>
      </c>
    </row>
    <row r="221" spans="1:38" x14ac:dyDescent="0.5">
      <c r="A221" s="86">
        <v>555</v>
      </c>
      <c r="B221" s="86" t="s">
        <v>1534</v>
      </c>
      <c r="C221" s="86" t="s">
        <v>1535</v>
      </c>
      <c r="D221" s="348" t="s">
        <v>779</v>
      </c>
      <c r="E221" s="50"/>
      <c r="F221" s="90"/>
      <c r="G221" s="89"/>
      <c r="H221" s="90">
        <f t="shared" si="159"/>
        <v>0</v>
      </c>
      <c r="I221" s="90">
        <f t="shared" si="160"/>
        <v>0</v>
      </c>
      <c r="J221" s="90">
        <f t="shared" si="161"/>
        <v>0</v>
      </c>
      <c r="K221" s="90">
        <f t="shared" si="162"/>
        <v>0</v>
      </c>
      <c r="L221" s="90">
        <f t="shared" si="163"/>
        <v>0</v>
      </c>
      <c r="M221" s="90">
        <f t="shared" si="164"/>
        <v>0</v>
      </c>
      <c r="N221" s="90"/>
      <c r="O221" s="90">
        <f t="shared" si="165"/>
        <v>0</v>
      </c>
      <c r="P221" s="90">
        <f t="shared" si="166"/>
        <v>0</v>
      </c>
      <c r="Q221" s="90">
        <f t="shared" si="167"/>
        <v>0</v>
      </c>
      <c r="R221" s="90"/>
      <c r="S221" s="90">
        <f t="shared" si="168"/>
        <v>0</v>
      </c>
      <c r="T221" s="90">
        <f t="shared" si="169"/>
        <v>0</v>
      </c>
      <c r="U221" s="90">
        <f t="shared" si="170"/>
        <v>0</v>
      </c>
      <c r="V221" s="90">
        <f t="shared" si="171"/>
        <v>0</v>
      </c>
      <c r="W221" s="90">
        <f t="shared" si="172"/>
        <v>0</v>
      </c>
      <c r="X221" s="90">
        <f t="shared" si="173"/>
        <v>0</v>
      </c>
      <c r="Y221" s="90">
        <f t="shared" si="174"/>
        <v>0</v>
      </c>
      <c r="Z221" s="90">
        <f t="shared" si="175"/>
        <v>0</v>
      </c>
      <c r="AA221" s="90">
        <f t="shared" si="176"/>
        <v>0</v>
      </c>
      <c r="AB221" s="90">
        <f t="shared" si="177"/>
        <v>0</v>
      </c>
      <c r="AC221" s="90">
        <f t="shared" si="178"/>
        <v>0</v>
      </c>
      <c r="AD221" s="90">
        <f t="shared" si="179"/>
        <v>0</v>
      </c>
      <c r="AE221" s="90"/>
      <c r="AF221" s="90">
        <f t="shared" si="180"/>
        <v>0</v>
      </c>
      <c r="AG221" s="90"/>
      <c r="AH221" s="90">
        <f t="shared" si="181"/>
        <v>0</v>
      </c>
      <c r="AI221" s="90"/>
      <c r="AJ221" s="90">
        <f t="shared" si="182"/>
        <v>0</v>
      </c>
      <c r="AK221" s="90">
        <f t="shared" si="183"/>
        <v>0</v>
      </c>
      <c r="AL221" s="87" t="str">
        <f t="shared" si="184"/>
        <v>ok</v>
      </c>
    </row>
    <row r="222" spans="1:38" x14ac:dyDescent="0.5">
      <c r="A222" s="86">
        <v>556</v>
      </c>
      <c r="B222" s="86" t="s">
        <v>1536</v>
      </c>
      <c r="C222" s="86" t="s">
        <v>1537</v>
      </c>
      <c r="D222" s="348" t="s">
        <v>709</v>
      </c>
      <c r="E222" s="50"/>
      <c r="F222" s="90">
        <f>'Jurisdictional Study'!F1031</f>
        <v>2300266</v>
      </c>
      <c r="G222" s="89"/>
      <c r="H222" s="90">
        <f t="shared" si="159"/>
        <v>2300266</v>
      </c>
      <c r="I222" s="90">
        <f t="shared" si="160"/>
        <v>0</v>
      </c>
      <c r="J222" s="90">
        <f t="shared" si="161"/>
        <v>0</v>
      </c>
      <c r="K222" s="90">
        <f t="shared" si="162"/>
        <v>0</v>
      </c>
      <c r="L222" s="90">
        <f t="shared" si="163"/>
        <v>0</v>
      </c>
      <c r="M222" s="90">
        <f t="shared" si="164"/>
        <v>0</v>
      </c>
      <c r="N222" s="90"/>
      <c r="O222" s="90">
        <f t="shared" si="165"/>
        <v>0</v>
      </c>
      <c r="P222" s="90">
        <f t="shared" si="166"/>
        <v>0</v>
      </c>
      <c r="Q222" s="90">
        <f t="shared" si="167"/>
        <v>0</v>
      </c>
      <c r="R222" s="90"/>
      <c r="S222" s="90">
        <f t="shared" si="168"/>
        <v>0</v>
      </c>
      <c r="T222" s="90">
        <f t="shared" si="169"/>
        <v>0</v>
      </c>
      <c r="U222" s="90">
        <f t="shared" si="170"/>
        <v>0</v>
      </c>
      <c r="V222" s="90">
        <f t="shared" si="171"/>
        <v>0</v>
      </c>
      <c r="W222" s="90">
        <f t="shared" si="172"/>
        <v>0</v>
      </c>
      <c r="X222" s="90">
        <f t="shared" si="173"/>
        <v>0</v>
      </c>
      <c r="Y222" s="90">
        <f t="shared" si="174"/>
        <v>0</v>
      </c>
      <c r="Z222" s="90">
        <f t="shared" si="175"/>
        <v>0</v>
      </c>
      <c r="AA222" s="90">
        <f t="shared" si="176"/>
        <v>0</v>
      </c>
      <c r="AB222" s="90">
        <f t="shared" si="177"/>
        <v>0</v>
      </c>
      <c r="AC222" s="90">
        <f t="shared" si="178"/>
        <v>0</v>
      </c>
      <c r="AD222" s="90">
        <f t="shared" si="179"/>
        <v>0</v>
      </c>
      <c r="AE222" s="90"/>
      <c r="AF222" s="90">
        <f t="shared" si="180"/>
        <v>0</v>
      </c>
      <c r="AG222" s="90"/>
      <c r="AH222" s="90">
        <f t="shared" si="181"/>
        <v>0</v>
      </c>
      <c r="AI222" s="90"/>
      <c r="AJ222" s="90">
        <f t="shared" si="182"/>
        <v>0</v>
      </c>
      <c r="AK222" s="90">
        <f t="shared" si="183"/>
        <v>2300266</v>
      </c>
      <c r="AL222" s="87" t="str">
        <f t="shared" si="184"/>
        <v>ok</v>
      </c>
    </row>
    <row r="223" spans="1:38" x14ac:dyDescent="0.5">
      <c r="A223" s="86">
        <v>557</v>
      </c>
      <c r="B223" s="86" t="s">
        <v>477</v>
      </c>
      <c r="C223" s="86" t="s">
        <v>478</v>
      </c>
      <c r="D223" s="348" t="s">
        <v>709</v>
      </c>
      <c r="E223" s="50"/>
      <c r="F223" s="90">
        <f>'Jurisdictional Study'!F1032-16399</f>
        <v>154987</v>
      </c>
      <c r="G223" s="89"/>
      <c r="H223" s="90">
        <f t="shared" si="159"/>
        <v>154987</v>
      </c>
      <c r="I223" s="90">
        <f t="shared" si="160"/>
        <v>0</v>
      </c>
      <c r="J223" s="90">
        <f t="shared" si="161"/>
        <v>0</v>
      </c>
      <c r="K223" s="90">
        <f t="shared" si="162"/>
        <v>0</v>
      </c>
      <c r="L223" s="90">
        <f t="shared" si="163"/>
        <v>0</v>
      </c>
      <c r="M223" s="90">
        <f t="shared" si="164"/>
        <v>0</v>
      </c>
      <c r="N223" s="90"/>
      <c r="O223" s="90">
        <f t="shared" si="165"/>
        <v>0</v>
      </c>
      <c r="P223" s="90">
        <f t="shared" si="166"/>
        <v>0</v>
      </c>
      <c r="Q223" s="90">
        <f t="shared" si="167"/>
        <v>0</v>
      </c>
      <c r="R223" s="90"/>
      <c r="S223" s="90">
        <f t="shared" si="168"/>
        <v>0</v>
      </c>
      <c r="T223" s="90">
        <f t="shared" si="169"/>
        <v>0</v>
      </c>
      <c r="U223" s="90">
        <f t="shared" si="170"/>
        <v>0</v>
      </c>
      <c r="V223" s="90">
        <f t="shared" si="171"/>
        <v>0</v>
      </c>
      <c r="W223" s="90">
        <f t="shared" si="172"/>
        <v>0</v>
      </c>
      <c r="X223" s="90">
        <f t="shared" si="173"/>
        <v>0</v>
      </c>
      <c r="Y223" s="90">
        <f t="shared" si="174"/>
        <v>0</v>
      </c>
      <c r="Z223" s="90">
        <f t="shared" si="175"/>
        <v>0</v>
      </c>
      <c r="AA223" s="90">
        <f t="shared" si="176"/>
        <v>0</v>
      </c>
      <c r="AB223" s="90">
        <f t="shared" si="177"/>
        <v>0</v>
      </c>
      <c r="AC223" s="90">
        <f t="shared" si="178"/>
        <v>0</v>
      </c>
      <c r="AD223" s="90">
        <f t="shared" si="179"/>
        <v>0</v>
      </c>
      <c r="AE223" s="90"/>
      <c r="AF223" s="90">
        <f t="shared" si="180"/>
        <v>0</v>
      </c>
      <c r="AG223" s="90"/>
      <c r="AH223" s="90">
        <f t="shared" si="181"/>
        <v>0</v>
      </c>
      <c r="AI223" s="90"/>
      <c r="AJ223" s="90">
        <f t="shared" si="182"/>
        <v>0</v>
      </c>
      <c r="AK223" s="90">
        <f t="shared" si="183"/>
        <v>154987</v>
      </c>
      <c r="AL223" s="87" t="str">
        <f t="shared" si="184"/>
        <v>ok</v>
      </c>
    </row>
    <row r="224" spans="1:38" x14ac:dyDescent="0.5">
      <c r="D224" s="50"/>
      <c r="E224" s="50"/>
      <c r="F224" s="90"/>
      <c r="G224" s="89"/>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87"/>
    </row>
    <row r="225" spans="1:38" x14ac:dyDescent="0.5">
      <c r="B225" s="86" t="s">
        <v>1551</v>
      </c>
      <c r="C225" s="86" t="s">
        <v>479</v>
      </c>
      <c r="D225" s="50"/>
      <c r="E225" s="50"/>
      <c r="F225" s="89">
        <f>SUM(F218:F224)</f>
        <v>50999260</v>
      </c>
      <c r="G225" s="89"/>
      <c r="H225" s="89">
        <f t="shared" ref="H225:M225" si="185">SUM(H218:H224)</f>
        <v>12027865.255938856</v>
      </c>
      <c r="I225" s="89">
        <f t="shared" si="185"/>
        <v>0</v>
      </c>
      <c r="J225" s="89">
        <f t="shared" si="185"/>
        <v>0</v>
      </c>
      <c r="K225" s="89">
        <f t="shared" si="185"/>
        <v>38971394.744061142</v>
      </c>
      <c r="L225" s="89">
        <f t="shared" si="185"/>
        <v>0</v>
      </c>
      <c r="M225" s="89">
        <f t="shared" si="185"/>
        <v>0</v>
      </c>
      <c r="N225" s="89"/>
      <c r="O225" s="89">
        <f>SUM(O218:O224)</f>
        <v>0</v>
      </c>
      <c r="P225" s="89">
        <f>SUM(P218:P224)</f>
        <v>0</v>
      </c>
      <c r="Q225" s="89">
        <f>SUM(Q218:Q224)</f>
        <v>0</v>
      </c>
      <c r="R225" s="89"/>
      <c r="S225" s="89">
        <f t="shared" ref="S225:AD225" si="186">SUM(S218:S224)</f>
        <v>0</v>
      </c>
      <c r="T225" s="89">
        <f t="shared" si="186"/>
        <v>0</v>
      </c>
      <c r="U225" s="89">
        <f t="shared" si="186"/>
        <v>0</v>
      </c>
      <c r="V225" s="89">
        <f t="shared" si="186"/>
        <v>0</v>
      </c>
      <c r="W225" s="89">
        <f t="shared" si="186"/>
        <v>0</v>
      </c>
      <c r="X225" s="89">
        <f t="shared" si="186"/>
        <v>0</v>
      </c>
      <c r="Y225" s="89">
        <f t="shared" si="186"/>
        <v>0</v>
      </c>
      <c r="Z225" s="89">
        <f t="shared" si="186"/>
        <v>0</v>
      </c>
      <c r="AA225" s="89">
        <f t="shared" si="186"/>
        <v>0</v>
      </c>
      <c r="AB225" s="89">
        <f t="shared" si="186"/>
        <v>0</v>
      </c>
      <c r="AC225" s="89">
        <f t="shared" si="186"/>
        <v>0</v>
      </c>
      <c r="AD225" s="89">
        <f t="shared" si="186"/>
        <v>0</v>
      </c>
      <c r="AE225" s="89"/>
      <c r="AF225" s="89">
        <f>SUM(AF218:AF224)</f>
        <v>0</v>
      </c>
      <c r="AG225" s="89"/>
      <c r="AH225" s="89">
        <f>SUM(AH218:AH224)</f>
        <v>0</v>
      </c>
      <c r="AI225" s="89"/>
      <c r="AJ225" s="89">
        <f>SUM(AJ218:AJ224)</f>
        <v>0</v>
      </c>
      <c r="AK225" s="90">
        <f>SUM(H225:AJ225)</f>
        <v>50999260</v>
      </c>
      <c r="AL225" s="87" t="str">
        <f>IF(ABS(AK225-F225)&lt;1,"ok","err")</f>
        <v>ok</v>
      </c>
    </row>
    <row r="226" spans="1:38" x14ac:dyDescent="0.5">
      <c r="D226" s="50"/>
      <c r="E226" s="50"/>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90"/>
      <c r="AL226" s="87"/>
    </row>
    <row r="227" spans="1:38" x14ac:dyDescent="0.5">
      <c r="B227" s="86" t="s">
        <v>1538</v>
      </c>
      <c r="D227" s="50"/>
      <c r="E227" s="50"/>
      <c r="F227" s="89">
        <f>F215+F225</f>
        <v>625443246</v>
      </c>
      <c r="G227" s="89"/>
      <c r="H227" s="89">
        <f t="shared" ref="H227:M227" si="187">H215+H225</f>
        <v>92041414.645440906</v>
      </c>
      <c r="I227" s="89">
        <f t="shared" si="187"/>
        <v>0</v>
      </c>
      <c r="J227" s="89">
        <f t="shared" si="187"/>
        <v>0</v>
      </c>
      <c r="K227" s="89">
        <f t="shared" si="187"/>
        <v>533401831.35455906</v>
      </c>
      <c r="L227" s="89">
        <f t="shared" si="187"/>
        <v>0</v>
      </c>
      <c r="M227" s="89">
        <f t="shared" si="187"/>
        <v>0</v>
      </c>
      <c r="N227" s="89"/>
      <c r="O227" s="89">
        <f>O215+O225</f>
        <v>0</v>
      </c>
      <c r="P227" s="89">
        <f>P215+P225</f>
        <v>0</v>
      </c>
      <c r="Q227" s="89">
        <f>Q215+Q225</f>
        <v>0</v>
      </c>
      <c r="R227" s="89"/>
      <c r="S227" s="89">
        <f t="shared" ref="S227:AD227" si="188">S215+S225</f>
        <v>0</v>
      </c>
      <c r="T227" s="89">
        <f t="shared" si="188"/>
        <v>0</v>
      </c>
      <c r="U227" s="89">
        <f t="shared" si="188"/>
        <v>0</v>
      </c>
      <c r="V227" s="89">
        <f t="shared" si="188"/>
        <v>0</v>
      </c>
      <c r="W227" s="89">
        <f t="shared" si="188"/>
        <v>0</v>
      </c>
      <c r="X227" s="89">
        <f t="shared" si="188"/>
        <v>0</v>
      </c>
      <c r="Y227" s="89">
        <f t="shared" si="188"/>
        <v>0</v>
      </c>
      <c r="Z227" s="89">
        <f t="shared" si="188"/>
        <v>0</v>
      </c>
      <c r="AA227" s="89">
        <f t="shared" si="188"/>
        <v>0</v>
      </c>
      <c r="AB227" s="89">
        <f t="shared" si="188"/>
        <v>0</v>
      </c>
      <c r="AC227" s="89">
        <f t="shared" si="188"/>
        <v>0</v>
      </c>
      <c r="AD227" s="89">
        <f t="shared" si="188"/>
        <v>0</v>
      </c>
      <c r="AE227" s="89"/>
      <c r="AF227" s="89">
        <f>AF215+AF225</f>
        <v>0</v>
      </c>
      <c r="AG227" s="89"/>
      <c r="AH227" s="89">
        <f>AH215+AH225</f>
        <v>0</v>
      </c>
      <c r="AI227" s="89"/>
      <c r="AJ227" s="89">
        <f>AJ215+AJ225</f>
        <v>0</v>
      </c>
      <c r="AK227" s="90">
        <f>SUM(H227:AJ227)</f>
        <v>625443246</v>
      </c>
      <c r="AL227" s="87" t="str">
        <f>IF(ABS(AK227-F227)&lt;1,"ok","err")</f>
        <v>ok</v>
      </c>
    </row>
    <row r="228" spans="1:38" x14ac:dyDescent="0.5">
      <c r="D228" s="50"/>
      <c r="E228" s="50"/>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90"/>
      <c r="AL228" s="87"/>
    </row>
    <row r="229" spans="1:38" x14ac:dyDescent="0.5">
      <c r="A229" s="22" t="s">
        <v>290</v>
      </c>
      <c r="D229" s="50"/>
      <c r="E229" s="50"/>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90"/>
      <c r="AL229" s="87"/>
    </row>
    <row r="230" spans="1:38" x14ac:dyDescent="0.5">
      <c r="D230" s="50"/>
      <c r="E230" s="50"/>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90"/>
      <c r="AL230" s="87"/>
    </row>
    <row r="231" spans="1:38" x14ac:dyDescent="0.5">
      <c r="A231" s="23" t="s">
        <v>451</v>
      </c>
      <c r="D231" s="50"/>
      <c r="E231" s="50"/>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90"/>
      <c r="AL231" s="87"/>
    </row>
    <row r="232" spans="1:38" x14ac:dyDescent="0.5">
      <c r="A232" s="86">
        <v>560</v>
      </c>
      <c r="B232" s="86" t="s">
        <v>454</v>
      </c>
      <c r="C232" s="86" t="s">
        <v>481</v>
      </c>
      <c r="D232" s="50" t="s">
        <v>713</v>
      </c>
      <c r="E232" s="50"/>
      <c r="F232" s="89">
        <f>'Jurisdictional Study'!F1039</f>
        <v>1854542</v>
      </c>
      <c r="G232" s="89"/>
      <c r="H232" s="90">
        <f t="shared" ref="H232:H245" si="189">IF(VLOOKUP($D232,$C$5:$AJ$596,6,)=0,0,((VLOOKUP($D232,$C$5:$AJ$596,6,)/VLOOKUP($D232,$C$5:$AJ$596,4,))*$F232))</f>
        <v>0</v>
      </c>
      <c r="I232" s="90">
        <f t="shared" ref="I232:I245" si="190">IF(VLOOKUP($D232,$C$5:$AJ$596,7,)=0,0,((VLOOKUP($D232,$C$5:$AJ$596,7,)/VLOOKUP($D232,$C$5:$AJ$596,4,))*$F232))</f>
        <v>0</v>
      </c>
      <c r="J232" s="90">
        <f t="shared" ref="J232:J245" si="191">IF(VLOOKUP($D232,$C$5:$AJ$596,8,)=0,0,((VLOOKUP($D232,$C$5:$AJ$596,8,)/VLOOKUP($D232,$C$5:$AJ$596,4,))*$F232))</f>
        <v>0</v>
      </c>
      <c r="K232" s="90">
        <f t="shared" ref="K232:K245" si="192">IF(VLOOKUP($D232,$C$5:$AJ$596,9,)=0,0,((VLOOKUP($D232,$C$5:$AJ$596,9,)/VLOOKUP($D232,$C$5:$AJ$596,4,))*$F232))</f>
        <v>0</v>
      </c>
      <c r="L232" s="90">
        <f t="shared" ref="L232:L245" si="193">IF(VLOOKUP($D232,$C$5:$AJ$596,10,)=0,0,((VLOOKUP($D232,$C$5:$AJ$596,10,)/VLOOKUP($D232,$C$5:$AJ$596,4,))*$F232))</f>
        <v>0</v>
      </c>
      <c r="M232" s="90">
        <f t="shared" ref="M232:M245" si="194">IF(VLOOKUP($D232,$C$5:$AJ$596,11,)=0,0,((VLOOKUP($D232,$C$5:$AJ$596,11,)/VLOOKUP($D232,$C$5:$AJ$596,4,))*$F232))</f>
        <v>0</v>
      </c>
      <c r="N232" s="90"/>
      <c r="O232" s="90">
        <f t="shared" ref="O232:O245" si="195">IF(VLOOKUP($D232,$C$5:$AJ$596,13,)=0,0,((VLOOKUP($D232,$C$5:$AJ$596,13,)/VLOOKUP($D232,$C$5:$AJ$596,4,))*$F232))</f>
        <v>1854542</v>
      </c>
      <c r="P232" s="90">
        <f t="shared" ref="P232:P245" si="196">IF(VLOOKUP($D232,$C$5:$AJ$596,14,)=0,0,((VLOOKUP($D232,$C$5:$AJ$596,14,)/VLOOKUP($D232,$C$5:$AJ$596,4,))*$F232))</f>
        <v>0</v>
      </c>
      <c r="Q232" s="90">
        <f t="shared" ref="Q232:Q245" si="197">IF(VLOOKUP($D232,$C$5:$AJ$596,15,)=0,0,((VLOOKUP($D232,$C$5:$AJ$596,15,)/VLOOKUP($D232,$C$5:$AJ$596,4,))*$F232))</f>
        <v>0</v>
      </c>
      <c r="R232" s="90"/>
      <c r="S232" s="90">
        <f t="shared" ref="S232:S245" si="198">IF(VLOOKUP($D232,$C$5:$AJ$596,17,)=0,0,((VLOOKUP($D232,$C$5:$AJ$596,17,)/VLOOKUP($D232,$C$5:$AJ$596,4,))*$F232))</f>
        <v>0</v>
      </c>
      <c r="T232" s="90">
        <f t="shared" ref="T232:T245" si="199">IF(VLOOKUP($D232,$C$5:$AJ$596,18,)=0,0,((VLOOKUP($D232,$C$5:$AJ$596,18,)/VLOOKUP($D232,$C$5:$AJ$596,4,))*$F232))</f>
        <v>0</v>
      </c>
      <c r="U232" s="90">
        <f t="shared" ref="U232:U245" si="200">IF(VLOOKUP($D232,$C$5:$AJ$596,19,)=0,0,((VLOOKUP($D232,$C$5:$AJ$596,19,)/VLOOKUP($D232,$C$5:$AJ$596,4,))*$F232))</f>
        <v>0</v>
      </c>
      <c r="V232" s="90">
        <f t="shared" ref="V232:V245" si="201">IF(VLOOKUP($D232,$C$5:$AJ$596,20,)=0,0,((VLOOKUP($D232,$C$5:$AJ$596,20,)/VLOOKUP($D232,$C$5:$AJ$596,4,))*$F232))</f>
        <v>0</v>
      </c>
      <c r="W232" s="90">
        <f t="shared" ref="W232:W245" si="202">IF(VLOOKUP($D232,$C$5:$AJ$596,21,)=0,0,((VLOOKUP($D232,$C$5:$AJ$596,21,)/VLOOKUP($D232,$C$5:$AJ$596,4,))*$F232))</f>
        <v>0</v>
      </c>
      <c r="X232" s="90">
        <f t="shared" ref="X232:X245" si="203">IF(VLOOKUP($D232,$C$5:$AJ$596,22,)=0,0,((VLOOKUP($D232,$C$5:$AJ$596,22,)/VLOOKUP($D232,$C$5:$AJ$596,4,))*$F232))</f>
        <v>0</v>
      </c>
      <c r="Y232" s="90">
        <f t="shared" ref="Y232:Y245" si="204">IF(VLOOKUP($D232,$C$5:$AJ$596,23,)=0,0,((VLOOKUP($D232,$C$5:$AJ$596,23,)/VLOOKUP($D232,$C$5:$AJ$596,4,))*$F232))</f>
        <v>0</v>
      </c>
      <c r="Z232" s="90">
        <f t="shared" ref="Z232:Z245" si="205">IF(VLOOKUP($D232,$C$5:$AJ$596,24,)=0,0,((VLOOKUP($D232,$C$5:$AJ$596,24,)/VLOOKUP($D232,$C$5:$AJ$596,4,))*$F232))</f>
        <v>0</v>
      </c>
      <c r="AA232" s="90">
        <f t="shared" ref="AA232:AA245" si="206">IF(VLOOKUP($D232,$C$5:$AJ$596,25,)=0,0,((VLOOKUP($D232,$C$5:$AJ$596,25,)/VLOOKUP($D232,$C$5:$AJ$596,4,))*$F232))</f>
        <v>0</v>
      </c>
      <c r="AB232" s="90">
        <f t="shared" ref="AB232:AB245" si="207">IF(VLOOKUP($D232,$C$5:$AJ$596,26,)=0,0,((VLOOKUP($D232,$C$5:$AJ$596,26,)/VLOOKUP($D232,$C$5:$AJ$596,4,))*$F232))</f>
        <v>0</v>
      </c>
      <c r="AC232" s="90">
        <f t="shared" ref="AC232:AC245" si="208">IF(VLOOKUP($D232,$C$5:$AJ$596,27,)=0,0,((VLOOKUP($D232,$C$5:$AJ$596,27,)/VLOOKUP($D232,$C$5:$AJ$596,4,))*$F232))</f>
        <v>0</v>
      </c>
      <c r="AD232" s="90">
        <f t="shared" ref="AD232:AD245" si="209">IF(VLOOKUP($D232,$C$5:$AJ$596,28,)=0,0,((VLOOKUP($D232,$C$5:$AJ$596,28,)/VLOOKUP($D232,$C$5:$AJ$596,4,))*$F232))</f>
        <v>0</v>
      </c>
      <c r="AE232" s="90"/>
      <c r="AF232" s="90">
        <f t="shared" ref="AF232:AF245" si="210">IF(VLOOKUP($D232,$C$5:$AJ$596,30,)=0,0,((VLOOKUP($D232,$C$5:$AJ$596,30,)/VLOOKUP($D232,$C$5:$AJ$596,4,))*$F232))</f>
        <v>0</v>
      </c>
      <c r="AG232" s="90"/>
      <c r="AH232" s="90">
        <f t="shared" ref="AH232:AH245" si="211">IF(VLOOKUP($D232,$C$5:$AJ$596,32,)=0,0,((VLOOKUP($D232,$C$5:$AJ$596,32,)/VLOOKUP($D232,$C$5:$AJ$596,4,))*$F232))</f>
        <v>0</v>
      </c>
      <c r="AI232" s="90"/>
      <c r="AJ232" s="90">
        <f t="shared" ref="AJ232:AJ245" si="212">IF(VLOOKUP($D232,$C$5:$AJ$596,34,)=0,0,((VLOOKUP($D232,$C$5:$AJ$596,34,)/VLOOKUP($D232,$C$5:$AJ$596,4,))*$F232))</f>
        <v>0</v>
      </c>
      <c r="AK232" s="90">
        <f t="shared" ref="AK232:AK237" si="213">SUM(H232:AJ232)</f>
        <v>1854542</v>
      </c>
      <c r="AL232" s="87" t="str">
        <f t="shared" ref="AL232:AL244" si="214">IF(ABS(AK232-F232)&lt;1,"ok","err")</f>
        <v>ok</v>
      </c>
    </row>
    <row r="233" spans="1:38" x14ac:dyDescent="0.5">
      <c r="A233" s="86">
        <v>561</v>
      </c>
      <c r="B233" s="86" t="s">
        <v>783</v>
      </c>
      <c r="C233" s="86" t="s">
        <v>482</v>
      </c>
      <c r="D233" s="50" t="s">
        <v>713</v>
      </c>
      <c r="E233" s="50"/>
      <c r="F233" s="90">
        <f>'Jurisdictional Study'!F1040</f>
        <v>4510239</v>
      </c>
      <c r="G233" s="89"/>
      <c r="H233" s="90">
        <f t="shared" si="189"/>
        <v>0</v>
      </c>
      <c r="I233" s="90">
        <f t="shared" si="190"/>
        <v>0</v>
      </c>
      <c r="J233" s="90">
        <f t="shared" si="191"/>
        <v>0</v>
      </c>
      <c r="K233" s="90">
        <f t="shared" si="192"/>
        <v>0</v>
      </c>
      <c r="L233" s="90">
        <f t="shared" si="193"/>
        <v>0</v>
      </c>
      <c r="M233" s="90">
        <f t="shared" si="194"/>
        <v>0</v>
      </c>
      <c r="N233" s="90"/>
      <c r="O233" s="90">
        <f t="shared" si="195"/>
        <v>4510239</v>
      </c>
      <c r="P233" s="90">
        <f t="shared" si="196"/>
        <v>0</v>
      </c>
      <c r="Q233" s="90">
        <f t="shared" si="197"/>
        <v>0</v>
      </c>
      <c r="R233" s="90"/>
      <c r="S233" s="90">
        <f t="shared" si="198"/>
        <v>0</v>
      </c>
      <c r="T233" s="90">
        <f t="shared" si="199"/>
        <v>0</v>
      </c>
      <c r="U233" s="90">
        <f t="shared" si="200"/>
        <v>0</v>
      </c>
      <c r="V233" s="90">
        <f t="shared" si="201"/>
        <v>0</v>
      </c>
      <c r="W233" s="90">
        <f t="shared" si="202"/>
        <v>0</v>
      </c>
      <c r="X233" s="90">
        <f t="shared" si="203"/>
        <v>0</v>
      </c>
      <c r="Y233" s="90">
        <f t="shared" si="204"/>
        <v>0</v>
      </c>
      <c r="Z233" s="90">
        <f t="shared" si="205"/>
        <v>0</v>
      </c>
      <c r="AA233" s="90">
        <f t="shared" si="206"/>
        <v>0</v>
      </c>
      <c r="AB233" s="90">
        <f t="shared" si="207"/>
        <v>0</v>
      </c>
      <c r="AC233" s="90">
        <f t="shared" si="208"/>
        <v>0</v>
      </c>
      <c r="AD233" s="90">
        <f t="shared" si="209"/>
        <v>0</v>
      </c>
      <c r="AE233" s="90"/>
      <c r="AF233" s="90">
        <f t="shared" si="210"/>
        <v>0</v>
      </c>
      <c r="AG233" s="90"/>
      <c r="AH233" s="90">
        <f t="shared" si="211"/>
        <v>0</v>
      </c>
      <c r="AI233" s="90"/>
      <c r="AJ233" s="90">
        <f t="shared" si="212"/>
        <v>0</v>
      </c>
      <c r="AK233" s="90">
        <f t="shared" si="213"/>
        <v>4510239</v>
      </c>
      <c r="AL233" s="87" t="str">
        <f t="shared" si="214"/>
        <v>ok</v>
      </c>
    </row>
    <row r="234" spans="1:38" x14ac:dyDescent="0.5">
      <c r="A234" s="86">
        <v>562</v>
      </c>
      <c r="B234" s="86" t="s">
        <v>452</v>
      </c>
      <c r="C234" s="86" t="s">
        <v>483</v>
      </c>
      <c r="D234" s="50" t="s">
        <v>713</v>
      </c>
      <c r="E234" s="50"/>
      <c r="F234" s="90">
        <f>'Jurisdictional Study'!F1041</f>
        <v>1170142</v>
      </c>
      <c r="G234" s="89"/>
      <c r="H234" s="90">
        <f t="shared" si="189"/>
        <v>0</v>
      </c>
      <c r="I234" s="90">
        <f t="shared" si="190"/>
        <v>0</v>
      </c>
      <c r="J234" s="90">
        <f t="shared" si="191"/>
        <v>0</v>
      </c>
      <c r="K234" s="90">
        <f t="shared" si="192"/>
        <v>0</v>
      </c>
      <c r="L234" s="90">
        <f t="shared" si="193"/>
        <v>0</v>
      </c>
      <c r="M234" s="90">
        <f t="shared" si="194"/>
        <v>0</v>
      </c>
      <c r="N234" s="90"/>
      <c r="O234" s="90">
        <f t="shared" si="195"/>
        <v>1170142</v>
      </c>
      <c r="P234" s="90">
        <f t="shared" si="196"/>
        <v>0</v>
      </c>
      <c r="Q234" s="90">
        <f t="shared" si="197"/>
        <v>0</v>
      </c>
      <c r="R234" s="90"/>
      <c r="S234" s="90">
        <f t="shared" si="198"/>
        <v>0</v>
      </c>
      <c r="T234" s="90">
        <f t="shared" si="199"/>
        <v>0</v>
      </c>
      <c r="U234" s="90">
        <f t="shared" si="200"/>
        <v>0</v>
      </c>
      <c r="V234" s="90">
        <f t="shared" si="201"/>
        <v>0</v>
      </c>
      <c r="W234" s="90">
        <f t="shared" si="202"/>
        <v>0</v>
      </c>
      <c r="X234" s="90">
        <f t="shared" si="203"/>
        <v>0</v>
      </c>
      <c r="Y234" s="90">
        <f t="shared" si="204"/>
        <v>0</v>
      </c>
      <c r="Z234" s="90">
        <f t="shared" si="205"/>
        <v>0</v>
      </c>
      <c r="AA234" s="90">
        <f t="shared" si="206"/>
        <v>0</v>
      </c>
      <c r="AB234" s="90">
        <f t="shared" si="207"/>
        <v>0</v>
      </c>
      <c r="AC234" s="90">
        <f t="shared" si="208"/>
        <v>0</v>
      </c>
      <c r="AD234" s="90">
        <f t="shared" si="209"/>
        <v>0</v>
      </c>
      <c r="AE234" s="90"/>
      <c r="AF234" s="90">
        <f t="shared" si="210"/>
        <v>0</v>
      </c>
      <c r="AG234" s="90"/>
      <c r="AH234" s="90">
        <f t="shared" si="211"/>
        <v>0</v>
      </c>
      <c r="AI234" s="90"/>
      <c r="AJ234" s="90">
        <f t="shared" si="212"/>
        <v>0</v>
      </c>
      <c r="AK234" s="90">
        <f t="shared" si="213"/>
        <v>1170142</v>
      </c>
      <c r="AL234" s="87" t="str">
        <f t="shared" si="214"/>
        <v>ok</v>
      </c>
    </row>
    <row r="235" spans="1:38" x14ac:dyDescent="0.5">
      <c r="A235" s="86">
        <v>563</v>
      </c>
      <c r="B235" s="86" t="s">
        <v>785</v>
      </c>
      <c r="C235" s="86" t="s">
        <v>484</v>
      </c>
      <c r="D235" s="50" t="s">
        <v>713</v>
      </c>
      <c r="E235" s="50"/>
      <c r="F235" s="90">
        <f>'Jurisdictional Study'!F1042</f>
        <v>1105850</v>
      </c>
      <c r="G235" s="89"/>
      <c r="H235" s="90">
        <f t="shared" si="189"/>
        <v>0</v>
      </c>
      <c r="I235" s="90">
        <f t="shared" si="190"/>
        <v>0</v>
      </c>
      <c r="J235" s="90">
        <f t="shared" si="191"/>
        <v>0</v>
      </c>
      <c r="K235" s="90">
        <f t="shared" si="192"/>
        <v>0</v>
      </c>
      <c r="L235" s="90">
        <f t="shared" si="193"/>
        <v>0</v>
      </c>
      <c r="M235" s="90">
        <f t="shared" si="194"/>
        <v>0</v>
      </c>
      <c r="N235" s="90"/>
      <c r="O235" s="90">
        <f t="shared" si="195"/>
        <v>1105850</v>
      </c>
      <c r="P235" s="90">
        <f t="shared" si="196"/>
        <v>0</v>
      </c>
      <c r="Q235" s="90">
        <f t="shared" si="197"/>
        <v>0</v>
      </c>
      <c r="R235" s="90"/>
      <c r="S235" s="90">
        <f t="shared" si="198"/>
        <v>0</v>
      </c>
      <c r="T235" s="90">
        <f t="shared" si="199"/>
        <v>0</v>
      </c>
      <c r="U235" s="90">
        <f t="shared" si="200"/>
        <v>0</v>
      </c>
      <c r="V235" s="90">
        <f t="shared" si="201"/>
        <v>0</v>
      </c>
      <c r="W235" s="90">
        <f t="shared" si="202"/>
        <v>0</v>
      </c>
      <c r="X235" s="90">
        <f t="shared" si="203"/>
        <v>0</v>
      </c>
      <c r="Y235" s="90">
        <f t="shared" si="204"/>
        <v>0</v>
      </c>
      <c r="Z235" s="90">
        <f t="shared" si="205"/>
        <v>0</v>
      </c>
      <c r="AA235" s="90">
        <f t="shared" si="206"/>
        <v>0</v>
      </c>
      <c r="AB235" s="90">
        <f t="shared" si="207"/>
        <v>0</v>
      </c>
      <c r="AC235" s="90">
        <f t="shared" si="208"/>
        <v>0</v>
      </c>
      <c r="AD235" s="90">
        <f t="shared" si="209"/>
        <v>0</v>
      </c>
      <c r="AE235" s="90"/>
      <c r="AF235" s="90">
        <f t="shared" si="210"/>
        <v>0</v>
      </c>
      <c r="AG235" s="90"/>
      <c r="AH235" s="90">
        <f t="shared" si="211"/>
        <v>0</v>
      </c>
      <c r="AI235" s="90"/>
      <c r="AJ235" s="90">
        <f t="shared" si="212"/>
        <v>0</v>
      </c>
      <c r="AK235" s="90">
        <f t="shared" si="213"/>
        <v>1105850</v>
      </c>
      <c r="AL235" s="87" t="str">
        <f t="shared" si="214"/>
        <v>ok</v>
      </c>
    </row>
    <row r="236" spans="1:38" x14ac:dyDescent="0.5">
      <c r="A236" s="86">
        <v>565</v>
      </c>
      <c r="B236" s="86" t="s">
        <v>1539</v>
      </c>
      <c r="C236" s="86" t="s">
        <v>1540</v>
      </c>
      <c r="D236" s="50" t="s">
        <v>713</v>
      </c>
      <c r="E236" s="50"/>
      <c r="F236" s="90">
        <f>'Jurisdictional Study'!F1044-207022</f>
        <v>2766380</v>
      </c>
      <c r="G236" s="89"/>
      <c r="H236" s="90">
        <f t="shared" si="189"/>
        <v>0</v>
      </c>
      <c r="I236" s="90">
        <f t="shared" si="190"/>
        <v>0</v>
      </c>
      <c r="J236" s="90">
        <f t="shared" si="191"/>
        <v>0</v>
      </c>
      <c r="K236" s="90">
        <f t="shared" si="192"/>
        <v>0</v>
      </c>
      <c r="L236" s="90">
        <f t="shared" si="193"/>
        <v>0</v>
      </c>
      <c r="M236" s="90">
        <f t="shared" si="194"/>
        <v>0</v>
      </c>
      <c r="N236" s="90"/>
      <c r="O236" s="90">
        <f t="shared" si="195"/>
        <v>2766380</v>
      </c>
      <c r="P236" s="90">
        <f t="shared" si="196"/>
        <v>0</v>
      </c>
      <c r="Q236" s="90">
        <f t="shared" si="197"/>
        <v>0</v>
      </c>
      <c r="R236" s="90"/>
      <c r="S236" s="90">
        <f t="shared" si="198"/>
        <v>0</v>
      </c>
      <c r="T236" s="90">
        <f t="shared" si="199"/>
        <v>0</v>
      </c>
      <c r="U236" s="90">
        <f t="shared" si="200"/>
        <v>0</v>
      </c>
      <c r="V236" s="90">
        <f t="shared" si="201"/>
        <v>0</v>
      </c>
      <c r="W236" s="90">
        <f t="shared" si="202"/>
        <v>0</v>
      </c>
      <c r="X236" s="90">
        <f t="shared" si="203"/>
        <v>0</v>
      </c>
      <c r="Y236" s="90">
        <f t="shared" si="204"/>
        <v>0</v>
      </c>
      <c r="Z236" s="90">
        <f t="shared" si="205"/>
        <v>0</v>
      </c>
      <c r="AA236" s="90">
        <f t="shared" si="206"/>
        <v>0</v>
      </c>
      <c r="AB236" s="90">
        <f t="shared" si="207"/>
        <v>0</v>
      </c>
      <c r="AC236" s="90">
        <f t="shared" si="208"/>
        <v>0</v>
      </c>
      <c r="AD236" s="90">
        <f t="shared" si="209"/>
        <v>0</v>
      </c>
      <c r="AE236" s="90"/>
      <c r="AF236" s="90">
        <f t="shared" si="210"/>
        <v>0</v>
      </c>
      <c r="AG236" s="90"/>
      <c r="AH236" s="90">
        <f t="shared" si="211"/>
        <v>0</v>
      </c>
      <c r="AI236" s="90"/>
      <c r="AJ236" s="90">
        <f t="shared" si="212"/>
        <v>0</v>
      </c>
      <c r="AK236" s="90">
        <f t="shared" si="213"/>
        <v>2766380</v>
      </c>
      <c r="AL236" s="87" t="str">
        <f t="shared" si="214"/>
        <v>ok</v>
      </c>
    </row>
    <row r="237" spans="1:38" x14ac:dyDescent="0.5">
      <c r="A237" s="86">
        <v>566</v>
      </c>
      <c r="B237" s="86" t="s">
        <v>841</v>
      </c>
      <c r="C237" s="86" t="s">
        <v>842</v>
      </c>
      <c r="D237" s="50" t="s">
        <v>469</v>
      </c>
      <c r="E237" s="50"/>
      <c r="F237" s="90">
        <f>'Jurisdictional Study'!F1045</f>
        <v>24246266</v>
      </c>
      <c r="G237" s="89"/>
      <c r="H237" s="90">
        <f t="shared" si="189"/>
        <v>0</v>
      </c>
      <c r="I237" s="90">
        <f t="shared" si="190"/>
        <v>0</v>
      </c>
      <c r="J237" s="90">
        <f t="shared" si="191"/>
        <v>0</v>
      </c>
      <c r="K237" s="90">
        <f t="shared" si="192"/>
        <v>0</v>
      </c>
      <c r="L237" s="90">
        <f t="shared" si="193"/>
        <v>0</v>
      </c>
      <c r="M237" s="90">
        <f t="shared" si="194"/>
        <v>0</v>
      </c>
      <c r="N237" s="90"/>
      <c r="O237" s="90">
        <f t="shared" si="195"/>
        <v>24246266</v>
      </c>
      <c r="P237" s="90">
        <f t="shared" si="196"/>
        <v>0</v>
      </c>
      <c r="Q237" s="90">
        <f t="shared" si="197"/>
        <v>0</v>
      </c>
      <c r="R237" s="90"/>
      <c r="S237" s="90">
        <f t="shared" si="198"/>
        <v>0</v>
      </c>
      <c r="T237" s="90">
        <f t="shared" si="199"/>
        <v>0</v>
      </c>
      <c r="U237" s="90">
        <f t="shared" si="200"/>
        <v>0</v>
      </c>
      <c r="V237" s="90">
        <f t="shared" si="201"/>
        <v>0</v>
      </c>
      <c r="W237" s="90">
        <f t="shared" si="202"/>
        <v>0</v>
      </c>
      <c r="X237" s="90">
        <f t="shared" si="203"/>
        <v>0</v>
      </c>
      <c r="Y237" s="90">
        <f t="shared" si="204"/>
        <v>0</v>
      </c>
      <c r="Z237" s="90">
        <f t="shared" si="205"/>
        <v>0</v>
      </c>
      <c r="AA237" s="90">
        <f t="shared" si="206"/>
        <v>0</v>
      </c>
      <c r="AB237" s="90">
        <f t="shared" si="207"/>
        <v>0</v>
      </c>
      <c r="AC237" s="90">
        <f t="shared" si="208"/>
        <v>0</v>
      </c>
      <c r="AD237" s="90">
        <f t="shared" si="209"/>
        <v>0</v>
      </c>
      <c r="AE237" s="90"/>
      <c r="AF237" s="90">
        <f t="shared" si="210"/>
        <v>0</v>
      </c>
      <c r="AG237" s="90"/>
      <c r="AH237" s="90">
        <f t="shared" si="211"/>
        <v>0</v>
      </c>
      <c r="AI237" s="90"/>
      <c r="AJ237" s="90">
        <f t="shared" si="212"/>
        <v>0</v>
      </c>
      <c r="AK237" s="90">
        <f t="shared" si="213"/>
        <v>24246266</v>
      </c>
      <c r="AL237" s="87" t="str">
        <f t="shared" si="214"/>
        <v>ok</v>
      </c>
    </row>
    <row r="238" spans="1:38" x14ac:dyDescent="0.5">
      <c r="A238" s="86">
        <v>567</v>
      </c>
      <c r="B238" s="86" t="s">
        <v>353</v>
      </c>
      <c r="C238" s="86" t="s">
        <v>1541</v>
      </c>
      <c r="D238" s="50" t="s">
        <v>469</v>
      </c>
      <c r="E238" s="50"/>
      <c r="F238" s="90">
        <f>'Jurisdictional Study'!F1046</f>
        <v>169306</v>
      </c>
      <c r="G238" s="89"/>
      <c r="H238" s="90">
        <f t="shared" si="189"/>
        <v>0</v>
      </c>
      <c r="I238" s="90">
        <f t="shared" si="190"/>
        <v>0</v>
      </c>
      <c r="J238" s="90">
        <f t="shared" si="191"/>
        <v>0</v>
      </c>
      <c r="K238" s="90">
        <f t="shared" si="192"/>
        <v>0</v>
      </c>
      <c r="L238" s="90">
        <f t="shared" si="193"/>
        <v>0</v>
      </c>
      <c r="M238" s="90">
        <f t="shared" si="194"/>
        <v>0</v>
      </c>
      <c r="N238" s="90"/>
      <c r="O238" s="90">
        <f t="shared" si="195"/>
        <v>169306</v>
      </c>
      <c r="P238" s="90">
        <f t="shared" si="196"/>
        <v>0</v>
      </c>
      <c r="Q238" s="90">
        <f t="shared" si="197"/>
        <v>0</v>
      </c>
      <c r="R238" s="90"/>
      <c r="S238" s="90">
        <f t="shared" si="198"/>
        <v>0</v>
      </c>
      <c r="T238" s="90">
        <f t="shared" si="199"/>
        <v>0</v>
      </c>
      <c r="U238" s="90">
        <f t="shared" si="200"/>
        <v>0</v>
      </c>
      <c r="V238" s="90">
        <f t="shared" si="201"/>
        <v>0</v>
      </c>
      <c r="W238" s="90">
        <f t="shared" si="202"/>
        <v>0</v>
      </c>
      <c r="X238" s="90">
        <f t="shared" si="203"/>
        <v>0</v>
      </c>
      <c r="Y238" s="90">
        <f t="shared" si="204"/>
        <v>0</v>
      </c>
      <c r="Z238" s="90">
        <f t="shared" si="205"/>
        <v>0</v>
      </c>
      <c r="AA238" s="90">
        <f t="shared" si="206"/>
        <v>0</v>
      </c>
      <c r="AB238" s="90">
        <f t="shared" si="207"/>
        <v>0</v>
      </c>
      <c r="AC238" s="90">
        <f t="shared" si="208"/>
        <v>0</v>
      </c>
      <c r="AD238" s="90">
        <f t="shared" si="209"/>
        <v>0</v>
      </c>
      <c r="AE238" s="90"/>
      <c r="AF238" s="90">
        <f t="shared" si="210"/>
        <v>0</v>
      </c>
      <c r="AG238" s="90"/>
      <c r="AH238" s="90">
        <f t="shared" si="211"/>
        <v>0</v>
      </c>
      <c r="AI238" s="90"/>
      <c r="AJ238" s="90">
        <f t="shared" si="212"/>
        <v>0</v>
      </c>
      <c r="AK238" s="90">
        <f t="shared" ref="AK238:AK244" si="215">SUM(H238:AJ238)</f>
        <v>169306</v>
      </c>
      <c r="AL238" s="87" t="str">
        <f t="shared" si="214"/>
        <v>ok</v>
      </c>
    </row>
    <row r="239" spans="1:38" x14ac:dyDescent="0.5">
      <c r="A239" s="86">
        <v>568</v>
      </c>
      <c r="B239" s="86" t="s">
        <v>453</v>
      </c>
      <c r="C239" s="86" t="s">
        <v>1288</v>
      </c>
      <c r="D239" s="50" t="s">
        <v>713</v>
      </c>
      <c r="E239" s="50"/>
      <c r="F239" s="90">
        <f>'Jurisdictional Study'!F1049</f>
        <v>0</v>
      </c>
      <c r="G239" s="89"/>
      <c r="H239" s="90">
        <f t="shared" si="189"/>
        <v>0</v>
      </c>
      <c r="I239" s="90">
        <f t="shared" si="190"/>
        <v>0</v>
      </c>
      <c r="J239" s="90">
        <f t="shared" si="191"/>
        <v>0</v>
      </c>
      <c r="K239" s="90">
        <f t="shared" si="192"/>
        <v>0</v>
      </c>
      <c r="L239" s="90">
        <f t="shared" si="193"/>
        <v>0</v>
      </c>
      <c r="M239" s="90">
        <f t="shared" si="194"/>
        <v>0</v>
      </c>
      <c r="N239" s="90"/>
      <c r="O239" s="90">
        <f t="shared" si="195"/>
        <v>0</v>
      </c>
      <c r="P239" s="90">
        <f t="shared" si="196"/>
        <v>0</v>
      </c>
      <c r="Q239" s="90">
        <f t="shared" si="197"/>
        <v>0</v>
      </c>
      <c r="R239" s="90"/>
      <c r="S239" s="90">
        <f t="shared" si="198"/>
        <v>0</v>
      </c>
      <c r="T239" s="90">
        <f t="shared" si="199"/>
        <v>0</v>
      </c>
      <c r="U239" s="90">
        <f t="shared" si="200"/>
        <v>0</v>
      </c>
      <c r="V239" s="90">
        <f t="shared" si="201"/>
        <v>0</v>
      </c>
      <c r="W239" s="90">
        <f t="shared" si="202"/>
        <v>0</v>
      </c>
      <c r="X239" s="90">
        <f t="shared" si="203"/>
        <v>0</v>
      </c>
      <c r="Y239" s="90">
        <f t="shared" si="204"/>
        <v>0</v>
      </c>
      <c r="Z239" s="90">
        <f t="shared" si="205"/>
        <v>0</v>
      </c>
      <c r="AA239" s="90">
        <f t="shared" si="206"/>
        <v>0</v>
      </c>
      <c r="AB239" s="90">
        <f t="shared" si="207"/>
        <v>0</v>
      </c>
      <c r="AC239" s="90">
        <f t="shared" si="208"/>
        <v>0</v>
      </c>
      <c r="AD239" s="90">
        <f t="shared" si="209"/>
        <v>0</v>
      </c>
      <c r="AE239" s="90"/>
      <c r="AF239" s="90">
        <f t="shared" si="210"/>
        <v>0</v>
      </c>
      <c r="AG239" s="90"/>
      <c r="AH239" s="90">
        <f t="shared" si="211"/>
        <v>0</v>
      </c>
      <c r="AI239" s="90"/>
      <c r="AJ239" s="90">
        <f t="shared" si="212"/>
        <v>0</v>
      </c>
      <c r="AK239" s="90">
        <f t="shared" si="215"/>
        <v>0</v>
      </c>
      <c r="AL239" s="87" t="str">
        <f t="shared" si="214"/>
        <v>ok</v>
      </c>
    </row>
    <row r="240" spans="1:38" x14ac:dyDescent="0.5">
      <c r="A240" s="86">
        <v>569</v>
      </c>
      <c r="B240" s="86" t="s">
        <v>1542</v>
      </c>
      <c r="C240" s="86" t="s">
        <v>1543</v>
      </c>
      <c r="D240" s="50" t="s">
        <v>713</v>
      </c>
      <c r="E240" s="50"/>
      <c r="F240" s="90">
        <f>'Jurisdictional Study'!F1050</f>
        <v>0</v>
      </c>
      <c r="G240" s="89"/>
      <c r="H240" s="90">
        <f t="shared" si="189"/>
        <v>0</v>
      </c>
      <c r="I240" s="90">
        <f t="shared" si="190"/>
        <v>0</v>
      </c>
      <c r="J240" s="90">
        <f t="shared" si="191"/>
        <v>0</v>
      </c>
      <c r="K240" s="90">
        <f t="shared" si="192"/>
        <v>0</v>
      </c>
      <c r="L240" s="90">
        <f t="shared" si="193"/>
        <v>0</v>
      </c>
      <c r="M240" s="90">
        <f t="shared" si="194"/>
        <v>0</v>
      </c>
      <c r="N240" s="90"/>
      <c r="O240" s="90">
        <f t="shared" si="195"/>
        <v>0</v>
      </c>
      <c r="P240" s="90">
        <f t="shared" si="196"/>
        <v>0</v>
      </c>
      <c r="Q240" s="90">
        <f t="shared" si="197"/>
        <v>0</v>
      </c>
      <c r="R240" s="90"/>
      <c r="S240" s="90">
        <f t="shared" si="198"/>
        <v>0</v>
      </c>
      <c r="T240" s="90">
        <f t="shared" si="199"/>
        <v>0</v>
      </c>
      <c r="U240" s="90">
        <f t="shared" si="200"/>
        <v>0</v>
      </c>
      <c r="V240" s="90">
        <f t="shared" si="201"/>
        <v>0</v>
      </c>
      <c r="W240" s="90">
        <f t="shared" si="202"/>
        <v>0</v>
      </c>
      <c r="X240" s="90">
        <f t="shared" si="203"/>
        <v>0</v>
      </c>
      <c r="Y240" s="90">
        <f t="shared" si="204"/>
        <v>0</v>
      </c>
      <c r="Z240" s="90">
        <f t="shared" si="205"/>
        <v>0</v>
      </c>
      <c r="AA240" s="90">
        <f t="shared" si="206"/>
        <v>0</v>
      </c>
      <c r="AB240" s="90">
        <f t="shared" si="207"/>
        <v>0</v>
      </c>
      <c r="AC240" s="90">
        <f t="shared" si="208"/>
        <v>0</v>
      </c>
      <c r="AD240" s="90">
        <f t="shared" si="209"/>
        <v>0</v>
      </c>
      <c r="AE240" s="90"/>
      <c r="AF240" s="90">
        <f t="shared" si="210"/>
        <v>0</v>
      </c>
      <c r="AG240" s="90"/>
      <c r="AH240" s="90">
        <f t="shared" si="211"/>
        <v>0</v>
      </c>
      <c r="AI240" s="90"/>
      <c r="AJ240" s="90">
        <f t="shared" si="212"/>
        <v>0</v>
      </c>
      <c r="AK240" s="90">
        <f t="shared" si="215"/>
        <v>0</v>
      </c>
      <c r="AL240" s="87" t="str">
        <f t="shared" si="214"/>
        <v>ok</v>
      </c>
    </row>
    <row r="241" spans="1:39" x14ac:dyDescent="0.5">
      <c r="A241" s="86">
        <v>570</v>
      </c>
      <c r="B241" s="86" t="s">
        <v>455</v>
      </c>
      <c r="C241" s="86" t="s">
        <v>1289</v>
      </c>
      <c r="D241" s="50" t="s">
        <v>713</v>
      </c>
      <c r="E241" s="50"/>
      <c r="F241" s="90">
        <f>'Jurisdictional Study'!F1051</f>
        <v>1969589</v>
      </c>
      <c r="G241" s="89"/>
      <c r="H241" s="90">
        <f t="shared" si="189"/>
        <v>0</v>
      </c>
      <c r="I241" s="90">
        <f t="shared" si="190"/>
        <v>0</v>
      </c>
      <c r="J241" s="90">
        <f t="shared" si="191"/>
        <v>0</v>
      </c>
      <c r="K241" s="90">
        <f t="shared" si="192"/>
        <v>0</v>
      </c>
      <c r="L241" s="90">
        <f t="shared" si="193"/>
        <v>0</v>
      </c>
      <c r="M241" s="90">
        <f t="shared" si="194"/>
        <v>0</v>
      </c>
      <c r="N241" s="90"/>
      <c r="O241" s="90">
        <f t="shared" si="195"/>
        <v>1969589</v>
      </c>
      <c r="P241" s="90">
        <f t="shared" si="196"/>
        <v>0</v>
      </c>
      <c r="Q241" s="90">
        <f t="shared" si="197"/>
        <v>0</v>
      </c>
      <c r="R241" s="90"/>
      <c r="S241" s="90">
        <f t="shared" si="198"/>
        <v>0</v>
      </c>
      <c r="T241" s="90">
        <f t="shared" si="199"/>
        <v>0</v>
      </c>
      <c r="U241" s="90">
        <f t="shared" si="200"/>
        <v>0</v>
      </c>
      <c r="V241" s="90">
        <f t="shared" si="201"/>
        <v>0</v>
      </c>
      <c r="W241" s="90">
        <f t="shared" si="202"/>
        <v>0</v>
      </c>
      <c r="X241" s="90">
        <f t="shared" si="203"/>
        <v>0</v>
      </c>
      <c r="Y241" s="90">
        <f t="shared" si="204"/>
        <v>0</v>
      </c>
      <c r="Z241" s="90">
        <f t="shared" si="205"/>
        <v>0</v>
      </c>
      <c r="AA241" s="90">
        <f t="shared" si="206"/>
        <v>0</v>
      </c>
      <c r="AB241" s="90">
        <f t="shared" si="207"/>
        <v>0</v>
      </c>
      <c r="AC241" s="90">
        <f t="shared" si="208"/>
        <v>0</v>
      </c>
      <c r="AD241" s="90">
        <f t="shared" si="209"/>
        <v>0</v>
      </c>
      <c r="AE241" s="90"/>
      <c r="AF241" s="90">
        <f t="shared" si="210"/>
        <v>0</v>
      </c>
      <c r="AG241" s="90"/>
      <c r="AH241" s="90">
        <f t="shared" si="211"/>
        <v>0</v>
      </c>
      <c r="AI241" s="90"/>
      <c r="AJ241" s="90">
        <f t="shared" si="212"/>
        <v>0</v>
      </c>
      <c r="AK241" s="90">
        <f t="shared" si="215"/>
        <v>1969589</v>
      </c>
      <c r="AL241" s="87" t="str">
        <f t="shared" si="214"/>
        <v>ok</v>
      </c>
    </row>
    <row r="242" spans="1:39" x14ac:dyDescent="0.5">
      <c r="A242" s="86">
        <v>571</v>
      </c>
      <c r="B242" s="86" t="s">
        <v>456</v>
      </c>
      <c r="C242" s="86" t="s">
        <v>1290</v>
      </c>
      <c r="D242" s="50" t="s">
        <v>713</v>
      </c>
      <c r="E242" s="50"/>
      <c r="F242" s="90">
        <f>'Jurisdictional Study'!F1052</f>
        <v>10707630</v>
      </c>
      <c r="G242" s="89"/>
      <c r="H242" s="90">
        <f t="shared" si="189"/>
        <v>0</v>
      </c>
      <c r="I242" s="90">
        <f t="shared" si="190"/>
        <v>0</v>
      </c>
      <c r="J242" s="90">
        <f t="shared" si="191"/>
        <v>0</v>
      </c>
      <c r="K242" s="90">
        <f t="shared" si="192"/>
        <v>0</v>
      </c>
      <c r="L242" s="90">
        <f t="shared" si="193"/>
        <v>0</v>
      </c>
      <c r="M242" s="90">
        <f t="shared" si="194"/>
        <v>0</v>
      </c>
      <c r="N242" s="90"/>
      <c r="O242" s="90">
        <f t="shared" si="195"/>
        <v>10707630</v>
      </c>
      <c r="P242" s="90">
        <f t="shared" si="196"/>
        <v>0</v>
      </c>
      <c r="Q242" s="90">
        <f t="shared" si="197"/>
        <v>0</v>
      </c>
      <c r="R242" s="90"/>
      <c r="S242" s="90">
        <f t="shared" si="198"/>
        <v>0</v>
      </c>
      <c r="T242" s="90">
        <f t="shared" si="199"/>
        <v>0</v>
      </c>
      <c r="U242" s="90">
        <f t="shared" si="200"/>
        <v>0</v>
      </c>
      <c r="V242" s="90">
        <f t="shared" si="201"/>
        <v>0</v>
      </c>
      <c r="W242" s="90">
        <f t="shared" si="202"/>
        <v>0</v>
      </c>
      <c r="X242" s="90">
        <f t="shared" si="203"/>
        <v>0</v>
      </c>
      <c r="Y242" s="90">
        <f t="shared" si="204"/>
        <v>0</v>
      </c>
      <c r="Z242" s="90">
        <f t="shared" si="205"/>
        <v>0</v>
      </c>
      <c r="AA242" s="90">
        <f t="shared" si="206"/>
        <v>0</v>
      </c>
      <c r="AB242" s="90">
        <f t="shared" si="207"/>
        <v>0</v>
      </c>
      <c r="AC242" s="90">
        <f t="shared" si="208"/>
        <v>0</v>
      </c>
      <c r="AD242" s="90">
        <f t="shared" si="209"/>
        <v>0</v>
      </c>
      <c r="AE242" s="90"/>
      <c r="AF242" s="90">
        <f t="shared" si="210"/>
        <v>0</v>
      </c>
      <c r="AG242" s="90"/>
      <c r="AH242" s="90">
        <f t="shared" si="211"/>
        <v>0</v>
      </c>
      <c r="AI242" s="90"/>
      <c r="AJ242" s="90">
        <f t="shared" si="212"/>
        <v>0</v>
      </c>
      <c r="AK242" s="90">
        <f t="shared" si="215"/>
        <v>10707630</v>
      </c>
      <c r="AL242" s="87" t="str">
        <f t="shared" si="214"/>
        <v>ok</v>
      </c>
    </row>
    <row r="243" spans="1:39" x14ac:dyDescent="0.5">
      <c r="A243" s="86">
        <v>572</v>
      </c>
      <c r="B243" s="86" t="s">
        <v>1544</v>
      </c>
      <c r="C243" s="86" t="s">
        <v>1545</v>
      </c>
      <c r="D243" s="50" t="s">
        <v>713</v>
      </c>
      <c r="E243" s="50"/>
      <c r="F243" s="90">
        <f>'Jurisdictional Study'!F1053</f>
        <v>0</v>
      </c>
      <c r="G243" s="89"/>
      <c r="H243" s="90">
        <f t="shared" si="189"/>
        <v>0</v>
      </c>
      <c r="I243" s="90">
        <f t="shared" si="190"/>
        <v>0</v>
      </c>
      <c r="J243" s="90">
        <f t="shared" si="191"/>
        <v>0</v>
      </c>
      <c r="K243" s="90">
        <f t="shared" si="192"/>
        <v>0</v>
      </c>
      <c r="L243" s="90">
        <f t="shared" si="193"/>
        <v>0</v>
      </c>
      <c r="M243" s="90">
        <f t="shared" si="194"/>
        <v>0</v>
      </c>
      <c r="N243" s="90"/>
      <c r="O243" s="90">
        <f t="shared" si="195"/>
        <v>0</v>
      </c>
      <c r="P243" s="90">
        <f t="shared" si="196"/>
        <v>0</v>
      </c>
      <c r="Q243" s="90">
        <f t="shared" si="197"/>
        <v>0</v>
      </c>
      <c r="R243" s="90"/>
      <c r="S243" s="90">
        <f t="shared" si="198"/>
        <v>0</v>
      </c>
      <c r="T243" s="90">
        <f t="shared" si="199"/>
        <v>0</v>
      </c>
      <c r="U243" s="90">
        <f t="shared" si="200"/>
        <v>0</v>
      </c>
      <c r="V243" s="90">
        <f t="shared" si="201"/>
        <v>0</v>
      </c>
      <c r="W243" s="90">
        <f t="shared" si="202"/>
        <v>0</v>
      </c>
      <c r="X243" s="90">
        <f t="shared" si="203"/>
        <v>0</v>
      </c>
      <c r="Y243" s="90">
        <f t="shared" si="204"/>
        <v>0</v>
      </c>
      <c r="Z243" s="90">
        <f t="shared" si="205"/>
        <v>0</v>
      </c>
      <c r="AA243" s="90">
        <f t="shared" si="206"/>
        <v>0</v>
      </c>
      <c r="AB243" s="90">
        <f t="shared" si="207"/>
        <v>0</v>
      </c>
      <c r="AC243" s="90">
        <f t="shared" si="208"/>
        <v>0</v>
      </c>
      <c r="AD243" s="90">
        <f t="shared" si="209"/>
        <v>0</v>
      </c>
      <c r="AE243" s="90"/>
      <c r="AF243" s="90">
        <f t="shared" si="210"/>
        <v>0</v>
      </c>
      <c r="AG243" s="90"/>
      <c r="AH243" s="90">
        <f t="shared" si="211"/>
        <v>0</v>
      </c>
      <c r="AI243" s="90"/>
      <c r="AJ243" s="90">
        <f t="shared" si="212"/>
        <v>0</v>
      </c>
      <c r="AK243" s="90">
        <f t="shared" si="215"/>
        <v>0</v>
      </c>
      <c r="AL243" s="87" t="str">
        <f t="shared" si="214"/>
        <v>ok</v>
      </c>
    </row>
    <row r="244" spans="1:39" x14ac:dyDescent="0.5">
      <c r="A244" s="86">
        <v>573</v>
      </c>
      <c r="B244" s="86" t="s">
        <v>1546</v>
      </c>
      <c r="C244" s="86" t="s">
        <v>1547</v>
      </c>
      <c r="D244" s="50" t="s">
        <v>469</v>
      </c>
      <c r="E244" s="50"/>
      <c r="F244" s="90">
        <f>'Jurisdictional Study'!F1054</f>
        <v>217390</v>
      </c>
      <c r="G244" s="89"/>
      <c r="H244" s="90">
        <f t="shared" si="189"/>
        <v>0</v>
      </c>
      <c r="I244" s="90">
        <f t="shared" si="190"/>
        <v>0</v>
      </c>
      <c r="J244" s="90">
        <f t="shared" si="191"/>
        <v>0</v>
      </c>
      <c r="K244" s="90">
        <f t="shared" si="192"/>
        <v>0</v>
      </c>
      <c r="L244" s="90">
        <f t="shared" si="193"/>
        <v>0</v>
      </c>
      <c r="M244" s="90">
        <f t="shared" si="194"/>
        <v>0</v>
      </c>
      <c r="N244" s="90"/>
      <c r="O244" s="90">
        <f t="shared" si="195"/>
        <v>217390</v>
      </c>
      <c r="P244" s="90">
        <f t="shared" si="196"/>
        <v>0</v>
      </c>
      <c r="Q244" s="90">
        <f t="shared" si="197"/>
        <v>0</v>
      </c>
      <c r="R244" s="90"/>
      <c r="S244" s="90">
        <f t="shared" si="198"/>
        <v>0</v>
      </c>
      <c r="T244" s="90">
        <f t="shared" si="199"/>
        <v>0</v>
      </c>
      <c r="U244" s="90">
        <f t="shared" si="200"/>
        <v>0</v>
      </c>
      <c r="V244" s="90">
        <f t="shared" si="201"/>
        <v>0</v>
      </c>
      <c r="W244" s="90">
        <f t="shared" si="202"/>
        <v>0</v>
      </c>
      <c r="X244" s="90">
        <f t="shared" si="203"/>
        <v>0</v>
      </c>
      <c r="Y244" s="90">
        <f t="shared" si="204"/>
        <v>0</v>
      </c>
      <c r="Z244" s="90">
        <f t="shared" si="205"/>
        <v>0</v>
      </c>
      <c r="AA244" s="90">
        <f t="shared" si="206"/>
        <v>0</v>
      </c>
      <c r="AB244" s="90">
        <f t="shared" si="207"/>
        <v>0</v>
      </c>
      <c r="AC244" s="90">
        <f t="shared" si="208"/>
        <v>0</v>
      </c>
      <c r="AD244" s="90">
        <f t="shared" si="209"/>
        <v>0</v>
      </c>
      <c r="AE244" s="90"/>
      <c r="AF244" s="90">
        <f t="shared" si="210"/>
        <v>0</v>
      </c>
      <c r="AG244" s="90"/>
      <c r="AH244" s="90">
        <f t="shared" si="211"/>
        <v>0</v>
      </c>
      <c r="AI244" s="90"/>
      <c r="AJ244" s="90">
        <f t="shared" si="212"/>
        <v>0</v>
      </c>
      <c r="AK244" s="90">
        <f t="shared" si="215"/>
        <v>217390</v>
      </c>
      <c r="AL244" s="87" t="str">
        <f t="shared" si="214"/>
        <v>ok</v>
      </c>
    </row>
    <row r="245" spans="1:39" x14ac:dyDescent="0.5">
      <c r="A245" s="86">
        <v>575</v>
      </c>
      <c r="B245" s="86" t="s">
        <v>561</v>
      </c>
      <c r="C245" s="86" t="s">
        <v>736</v>
      </c>
      <c r="D245" s="50" t="s">
        <v>469</v>
      </c>
      <c r="E245" s="50"/>
      <c r="F245" s="90">
        <f>'Jurisdictional Study'!F1047</f>
        <v>0</v>
      </c>
      <c r="G245" s="89"/>
      <c r="H245" s="90">
        <f t="shared" si="189"/>
        <v>0</v>
      </c>
      <c r="I245" s="90">
        <f t="shared" si="190"/>
        <v>0</v>
      </c>
      <c r="J245" s="90">
        <f t="shared" si="191"/>
        <v>0</v>
      </c>
      <c r="K245" s="90">
        <f t="shared" si="192"/>
        <v>0</v>
      </c>
      <c r="L245" s="90">
        <f t="shared" si="193"/>
        <v>0</v>
      </c>
      <c r="M245" s="90">
        <f t="shared" si="194"/>
        <v>0</v>
      </c>
      <c r="N245" s="90"/>
      <c r="O245" s="90">
        <f t="shared" si="195"/>
        <v>0</v>
      </c>
      <c r="P245" s="90">
        <f t="shared" si="196"/>
        <v>0</v>
      </c>
      <c r="Q245" s="90">
        <f t="shared" si="197"/>
        <v>0</v>
      </c>
      <c r="R245" s="90"/>
      <c r="S245" s="90">
        <f t="shared" si="198"/>
        <v>0</v>
      </c>
      <c r="T245" s="90">
        <f t="shared" si="199"/>
        <v>0</v>
      </c>
      <c r="U245" s="90">
        <f t="shared" si="200"/>
        <v>0</v>
      </c>
      <c r="V245" s="90">
        <f t="shared" si="201"/>
        <v>0</v>
      </c>
      <c r="W245" s="90">
        <f t="shared" si="202"/>
        <v>0</v>
      </c>
      <c r="X245" s="90">
        <f t="shared" si="203"/>
        <v>0</v>
      </c>
      <c r="Y245" s="90">
        <f t="shared" si="204"/>
        <v>0</v>
      </c>
      <c r="Z245" s="90">
        <f t="shared" si="205"/>
        <v>0</v>
      </c>
      <c r="AA245" s="90">
        <f t="shared" si="206"/>
        <v>0</v>
      </c>
      <c r="AB245" s="90">
        <f t="shared" si="207"/>
        <v>0</v>
      </c>
      <c r="AC245" s="90">
        <f t="shared" si="208"/>
        <v>0</v>
      </c>
      <c r="AD245" s="90">
        <f t="shared" si="209"/>
        <v>0</v>
      </c>
      <c r="AE245" s="90"/>
      <c r="AF245" s="90">
        <f t="shared" si="210"/>
        <v>0</v>
      </c>
      <c r="AG245" s="90"/>
      <c r="AH245" s="90">
        <f t="shared" si="211"/>
        <v>0</v>
      </c>
      <c r="AI245" s="90"/>
      <c r="AJ245" s="90">
        <f t="shared" si="212"/>
        <v>0</v>
      </c>
      <c r="AK245" s="90">
        <f>SUM(H245:AJ245)</f>
        <v>0</v>
      </c>
      <c r="AL245" s="87" t="str">
        <f>IF(ABS(AK245-F245)&lt;1,"ok","err")</f>
        <v>ok</v>
      </c>
    </row>
    <row r="246" spans="1:39" x14ac:dyDescent="0.5">
      <c r="D246" s="50"/>
      <c r="E246" s="50"/>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90"/>
      <c r="AL246" s="87"/>
    </row>
    <row r="247" spans="1:39" x14ac:dyDescent="0.5">
      <c r="A247" s="86" t="s">
        <v>457</v>
      </c>
      <c r="D247" s="50"/>
      <c r="E247" s="50"/>
      <c r="F247" s="91">
        <f>SUM(F232:F245)</f>
        <v>48717334</v>
      </c>
      <c r="G247" s="91">
        <f>SUM(G232:G242)</f>
        <v>0</v>
      </c>
      <c r="H247" s="91">
        <f t="shared" ref="H247:M247" si="216">SUM(H232:H245)</f>
        <v>0</v>
      </c>
      <c r="I247" s="91">
        <f t="shared" si="216"/>
        <v>0</v>
      </c>
      <c r="J247" s="91">
        <f t="shared" si="216"/>
        <v>0</v>
      </c>
      <c r="K247" s="91">
        <f t="shared" si="216"/>
        <v>0</v>
      </c>
      <c r="L247" s="91">
        <f t="shared" si="216"/>
        <v>0</v>
      </c>
      <c r="M247" s="91">
        <f t="shared" si="216"/>
        <v>0</v>
      </c>
      <c r="N247" s="91"/>
      <c r="O247" s="91">
        <f>SUM(O232:O245)</f>
        <v>48717334</v>
      </c>
      <c r="P247" s="91">
        <f>SUM(P232:P245)</f>
        <v>0</v>
      </c>
      <c r="Q247" s="91">
        <f>SUM(Q232:Q245)</f>
        <v>0</v>
      </c>
      <c r="R247" s="91"/>
      <c r="S247" s="91">
        <f t="shared" ref="S247:AD247" si="217">SUM(S232:S245)</f>
        <v>0</v>
      </c>
      <c r="T247" s="91">
        <f t="shared" si="217"/>
        <v>0</v>
      </c>
      <c r="U247" s="91">
        <f t="shared" si="217"/>
        <v>0</v>
      </c>
      <c r="V247" s="91">
        <f t="shared" si="217"/>
        <v>0</v>
      </c>
      <c r="W247" s="91">
        <f t="shared" si="217"/>
        <v>0</v>
      </c>
      <c r="X247" s="91">
        <f t="shared" si="217"/>
        <v>0</v>
      </c>
      <c r="Y247" s="91">
        <f t="shared" si="217"/>
        <v>0</v>
      </c>
      <c r="Z247" s="91">
        <f t="shared" si="217"/>
        <v>0</v>
      </c>
      <c r="AA247" s="91">
        <f t="shared" si="217"/>
        <v>0</v>
      </c>
      <c r="AB247" s="91">
        <f t="shared" si="217"/>
        <v>0</v>
      </c>
      <c r="AC247" s="91">
        <f t="shared" si="217"/>
        <v>0</v>
      </c>
      <c r="AD247" s="91">
        <f t="shared" si="217"/>
        <v>0</v>
      </c>
      <c r="AE247" s="91"/>
      <c r="AF247" s="91">
        <f>SUM(AF232:AF245)</f>
        <v>0</v>
      </c>
      <c r="AG247" s="91"/>
      <c r="AH247" s="91">
        <f>SUM(AH232:AH245)</f>
        <v>0</v>
      </c>
      <c r="AI247" s="91"/>
      <c r="AJ247" s="91">
        <f>SUM(AJ232:AJ245)</f>
        <v>0</v>
      </c>
      <c r="AK247" s="89">
        <f>SUM(H247:AJ247)</f>
        <v>48717334</v>
      </c>
      <c r="AL247" s="87" t="str">
        <f>IF(ABS(AK247-F247)&lt;1,"ok","err")</f>
        <v>ok</v>
      </c>
      <c r="AM247" s="98"/>
    </row>
    <row r="248" spans="1:39" x14ac:dyDescent="0.5">
      <c r="D248" s="50"/>
      <c r="E248" s="50"/>
      <c r="Y248" s="86"/>
      <c r="AL248" s="87"/>
    </row>
    <row r="249" spans="1:39" x14ac:dyDescent="0.5">
      <c r="A249" s="23" t="s">
        <v>780</v>
      </c>
      <c r="D249" s="50"/>
      <c r="E249" s="50"/>
      <c r="Y249" s="86"/>
      <c r="AL249" s="87"/>
    </row>
    <row r="250" spans="1:39" x14ac:dyDescent="0.5">
      <c r="A250" s="86">
        <v>580</v>
      </c>
      <c r="B250" s="86" t="s">
        <v>781</v>
      </c>
      <c r="C250" s="86" t="s">
        <v>782</v>
      </c>
      <c r="D250" s="50" t="s">
        <v>980</v>
      </c>
      <c r="E250" s="50"/>
      <c r="F250" s="89">
        <f>'Jurisdictional Study'!F1060</f>
        <v>1911255</v>
      </c>
      <c r="H250" s="90">
        <f t="shared" ref="H250:H261" si="218">IF(VLOOKUP($D250,$C$5:$AJ$596,6,)=0,0,((VLOOKUP($D250,$C$5:$AJ$596,6,)/VLOOKUP($D250,$C$5:$AJ$596,4,))*$F250))</f>
        <v>0</v>
      </c>
      <c r="I250" s="90">
        <f t="shared" ref="I250:I261" si="219">IF(VLOOKUP($D250,$C$5:$AJ$596,7,)=0,0,((VLOOKUP($D250,$C$5:$AJ$596,7,)/VLOOKUP($D250,$C$5:$AJ$596,4,))*$F250))</f>
        <v>0</v>
      </c>
      <c r="J250" s="90">
        <f t="shared" ref="J250:J261" si="220">IF(VLOOKUP($D250,$C$5:$AJ$596,8,)=0,0,((VLOOKUP($D250,$C$5:$AJ$596,8,)/VLOOKUP($D250,$C$5:$AJ$596,4,))*$F250))</f>
        <v>0</v>
      </c>
      <c r="K250" s="90">
        <f t="shared" ref="K250:K261" si="221">IF(VLOOKUP($D250,$C$5:$AJ$596,9,)=0,0,((VLOOKUP($D250,$C$5:$AJ$596,9,)/VLOOKUP($D250,$C$5:$AJ$596,4,))*$F250))</f>
        <v>0</v>
      </c>
      <c r="L250" s="90">
        <f t="shared" ref="L250:L261" si="222">IF(VLOOKUP($D250,$C$5:$AJ$596,10,)=0,0,((VLOOKUP($D250,$C$5:$AJ$596,10,)/VLOOKUP($D250,$C$5:$AJ$596,4,))*$F250))</f>
        <v>0</v>
      </c>
      <c r="M250" s="90">
        <f t="shared" ref="M250:M261" si="223">IF(VLOOKUP($D250,$C$5:$AJ$596,11,)=0,0,((VLOOKUP($D250,$C$5:$AJ$596,11,)/VLOOKUP($D250,$C$5:$AJ$596,4,))*$F250))</f>
        <v>0</v>
      </c>
      <c r="N250" s="90"/>
      <c r="O250" s="90">
        <f t="shared" ref="O250:O261" si="224">IF(VLOOKUP($D250,$C$5:$AJ$596,13,)=0,0,((VLOOKUP($D250,$C$5:$AJ$596,13,)/VLOOKUP($D250,$C$5:$AJ$596,4,))*$F250))</f>
        <v>0</v>
      </c>
      <c r="P250" s="90">
        <f t="shared" ref="P250:P261" si="225">IF(VLOOKUP($D250,$C$5:$AJ$596,14,)=0,0,((VLOOKUP($D250,$C$5:$AJ$596,14,)/VLOOKUP($D250,$C$5:$AJ$596,4,))*$F250))</f>
        <v>0</v>
      </c>
      <c r="Q250" s="90">
        <f t="shared" ref="Q250:Q261" si="226">IF(VLOOKUP($D250,$C$5:$AJ$596,15,)=0,0,((VLOOKUP($D250,$C$5:$AJ$596,15,)/VLOOKUP($D250,$C$5:$AJ$596,4,))*$F250))</f>
        <v>0</v>
      </c>
      <c r="R250" s="90"/>
      <c r="S250" s="90">
        <f t="shared" ref="S250:S261" si="227">IF(VLOOKUP($D250,$C$5:$AJ$596,17,)=0,0,((VLOOKUP($D250,$C$5:$AJ$596,17,)/VLOOKUP($D250,$C$5:$AJ$596,4,))*$F250))</f>
        <v>0</v>
      </c>
      <c r="T250" s="90">
        <f t="shared" ref="T250:T261" si="228">IF(VLOOKUP($D250,$C$5:$AJ$596,18,)=0,0,((VLOOKUP($D250,$C$5:$AJ$596,18,)/VLOOKUP($D250,$C$5:$AJ$596,4,))*$F250))</f>
        <v>297680.04685133329</v>
      </c>
      <c r="U250" s="90">
        <f t="shared" ref="U250:U261" si="229">IF(VLOOKUP($D250,$C$5:$AJ$596,19,)=0,0,((VLOOKUP($D250,$C$5:$AJ$596,19,)/VLOOKUP($D250,$C$5:$AJ$596,4,))*$F250))</f>
        <v>0</v>
      </c>
      <c r="V250" s="90">
        <f t="shared" ref="V250:V261" si="230">IF(VLOOKUP($D250,$C$5:$AJ$596,20,)=0,0,((VLOOKUP($D250,$C$5:$AJ$596,20,)/VLOOKUP($D250,$C$5:$AJ$596,4,))*$F250))</f>
        <v>175894.89130567308</v>
      </c>
      <c r="W250" s="90">
        <f t="shared" ref="W250:W261" si="231">IF(VLOOKUP($D250,$C$5:$AJ$596,21,)=0,0,((VLOOKUP($D250,$C$5:$AJ$596,21,)/VLOOKUP($D250,$C$5:$AJ$596,4,))*$F250))</f>
        <v>322939.88095024548</v>
      </c>
      <c r="X250" s="90">
        <f t="shared" ref="X250:X261" si="232">IF(VLOOKUP($D250,$C$5:$AJ$596,22,)=0,0,((VLOOKUP($D250,$C$5:$AJ$596,22,)/VLOOKUP($D250,$C$5:$AJ$596,4,))*$F250))</f>
        <v>75484.720587236661</v>
      </c>
      <c r="Y250" s="90">
        <f t="shared" ref="Y250:Y261" si="233">IF(VLOOKUP($D250,$C$5:$AJ$596,23,)=0,0,((VLOOKUP($D250,$C$5:$AJ$596,23,)/VLOOKUP($D250,$C$5:$AJ$596,4,))*$F250))</f>
        <v>140906.80123600597</v>
      </c>
      <c r="Z250" s="90">
        <f t="shared" ref="Z250:Z261" si="234">IF(VLOOKUP($D250,$C$5:$AJ$596,24,)=0,0,((VLOOKUP($D250,$C$5:$AJ$596,24,)/VLOOKUP($D250,$C$5:$AJ$596,4,))*$F250))</f>
        <v>37666.017064767351</v>
      </c>
      <c r="AA250" s="90">
        <f t="shared" ref="AA250:AA261" si="235">IF(VLOOKUP($D250,$C$5:$AJ$596,25,)=0,0,((VLOOKUP($D250,$C$5:$AJ$596,25,)/VLOOKUP($D250,$C$5:$AJ$596,4,))*$F250))</f>
        <v>31293.944011312313</v>
      </c>
      <c r="AB250" s="90">
        <f t="shared" ref="AB250:AB261" si="236">IF(VLOOKUP($D250,$C$5:$AJ$596,26,)=0,0,((VLOOKUP($D250,$C$5:$AJ$596,26,)/VLOOKUP($D250,$C$5:$AJ$596,4,))*$F250))</f>
        <v>26384.773822050527</v>
      </c>
      <c r="AC250" s="90">
        <f t="shared" ref="AC250:AC261" si="237">IF(VLOOKUP($D250,$C$5:$AJ$596,27,)=0,0,((VLOOKUP($D250,$C$5:$AJ$596,27,)/VLOOKUP($D250,$C$5:$AJ$596,4,))*$F250))</f>
        <v>772787.91750144889</v>
      </c>
      <c r="AD250" s="90">
        <f t="shared" ref="AD250:AD261" si="238">IF(VLOOKUP($D250,$C$5:$AJ$596,28,)=0,0,((VLOOKUP($D250,$C$5:$AJ$596,28,)/VLOOKUP($D250,$C$5:$AJ$596,4,))*$F250))</f>
        <v>30216.006669926537</v>
      </c>
      <c r="AE250" s="90"/>
      <c r="AF250" s="90">
        <f t="shared" ref="AF250:AF261" si="239">IF(VLOOKUP($D250,$C$5:$AJ$596,30,)=0,0,((VLOOKUP($D250,$C$5:$AJ$596,30,)/VLOOKUP($D250,$C$5:$AJ$596,4,))*$F250))</f>
        <v>0</v>
      </c>
      <c r="AG250" s="90"/>
      <c r="AH250" s="90">
        <f t="shared" ref="AH250:AH261" si="240">IF(VLOOKUP($D250,$C$5:$AJ$596,32,)=0,0,((VLOOKUP($D250,$C$5:$AJ$596,32,)/VLOOKUP($D250,$C$5:$AJ$596,4,))*$F250))</f>
        <v>0</v>
      </c>
      <c r="AI250" s="90"/>
      <c r="AJ250" s="90">
        <f t="shared" ref="AJ250:AJ261" si="241">IF(VLOOKUP($D250,$C$5:$AJ$596,34,)=0,0,((VLOOKUP($D250,$C$5:$AJ$596,34,)/VLOOKUP($D250,$C$5:$AJ$596,4,))*$F250))</f>
        <v>0</v>
      </c>
      <c r="AK250" s="90">
        <f t="shared" ref="AK250:AK261" si="242">SUM(H250:AJ250)</f>
        <v>1911255</v>
      </c>
      <c r="AL250" s="87" t="str">
        <f t="shared" ref="AL250:AL261" si="243">IF(ABS(AK250-F250)&lt;1,"ok","err")</f>
        <v>ok</v>
      </c>
    </row>
    <row r="251" spans="1:39" x14ac:dyDescent="0.5">
      <c r="A251" s="86">
        <v>581</v>
      </c>
      <c r="B251" s="86" t="s">
        <v>783</v>
      </c>
      <c r="C251" s="86" t="s">
        <v>784</v>
      </c>
      <c r="D251" s="50" t="s">
        <v>113</v>
      </c>
      <c r="E251" s="50"/>
      <c r="F251" s="90">
        <f>'Jurisdictional Study'!F1061</f>
        <v>438256</v>
      </c>
      <c r="H251" s="90">
        <f t="shared" si="218"/>
        <v>0</v>
      </c>
      <c r="I251" s="90">
        <f t="shared" si="219"/>
        <v>0</v>
      </c>
      <c r="J251" s="90">
        <f t="shared" si="220"/>
        <v>0</v>
      </c>
      <c r="K251" s="90">
        <f t="shared" si="221"/>
        <v>0</v>
      </c>
      <c r="L251" s="90">
        <f t="shared" si="222"/>
        <v>0</v>
      </c>
      <c r="M251" s="90">
        <f t="shared" si="223"/>
        <v>0</v>
      </c>
      <c r="N251" s="90"/>
      <c r="O251" s="90">
        <f t="shared" si="224"/>
        <v>0</v>
      </c>
      <c r="P251" s="90">
        <f t="shared" si="225"/>
        <v>0</v>
      </c>
      <c r="Q251" s="90">
        <f t="shared" si="226"/>
        <v>0</v>
      </c>
      <c r="R251" s="90"/>
      <c r="S251" s="90">
        <f t="shared" si="227"/>
        <v>0</v>
      </c>
      <c r="T251" s="90">
        <f t="shared" si="228"/>
        <v>438256</v>
      </c>
      <c r="U251" s="90">
        <f t="shared" si="229"/>
        <v>0</v>
      </c>
      <c r="V251" s="90">
        <f t="shared" si="230"/>
        <v>0</v>
      </c>
      <c r="W251" s="90">
        <f t="shared" si="231"/>
        <v>0</v>
      </c>
      <c r="X251" s="90">
        <f t="shared" si="232"/>
        <v>0</v>
      </c>
      <c r="Y251" s="90">
        <f t="shared" si="233"/>
        <v>0</v>
      </c>
      <c r="Z251" s="90">
        <f t="shared" si="234"/>
        <v>0</v>
      </c>
      <c r="AA251" s="90">
        <f t="shared" si="235"/>
        <v>0</v>
      </c>
      <c r="AB251" s="90">
        <f t="shared" si="236"/>
        <v>0</v>
      </c>
      <c r="AC251" s="90">
        <f t="shared" si="237"/>
        <v>0</v>
      </c>
      <c r="AD251" s="90">
        <f t="shared" si="238"/>
        <v>0</v>
      </c>
      <c r="AE251" s="90"/>
      <c r="AF251" s="90">
        <f t="shared" si="239"/>
        <v>0</v>
      </c>
      <c r="AG251" s="90"/>
      <c r="AH251" s="90">
        <f t="shared" si="240"/>
        <v>0</v>
      </c>
      <c r="AI251" s="90"/>
      <c r="AJ251" s="90">
        <f t="shared" si="241"/>
        <v>0</v>
      </c>
      <c r="AK251" s="90">
        <f t="shared" si="242"/>
        <v>438256</v>
      </c>
      <c r="AL251" s="87" t="str">
        <f t="shared" si="243"/>
        <v>ok</v>
      </c>
    </row>
    <row r="252" spans="1:39" x14ac:dyDescent="0.5">
      <c r="A252" s="86">
        <v>582</v>
      </c>
      <c r="B252" s="86" t="s">
        <v>452</v>
      </c>
      <c r="C252" s="86" t="s">
        <v>458</v>
      </c>
      <c r="D252" s="50" t="s">
        <v>113</v>
      </c>
      <c r="E252" s="50"/>
      <c r="F252" s="90">
        <f>'Jurisdictional Study'!F1062</f>
        <v>2231084</v>
      </c>
      <c r="H252" s="90">
        <f t="shared" si="218"/>
        <v>0</v>
      </c>
      <c r="I252" s="90">
        <f t="shared" si="219"/>
        <v>0</v>
      </c>
      <c r="J252" s="90">
        <f t="shared" si="220"/>
        <v>0</v>
      </c>
      <c r="K252" s="90">
        <f t="shared" si="221"/>
        <v>0</v>
      </c>
      <c r="L252" s="90">
        <f t="shared" si="222"/>
        <v>0</v>
      </c>
      <c r="M252" s="90">
        <f t="shared" si="223"/>
        <v>0</v>
      </c>
      <c r="N252" s="90"/>
      <c r="O252" s="90">
        <f t="shared" si="224"/>
        <v>0</v>
      </c>
      <c r="P252" s="90">
        <f t="shared" si="225"/>
        <v>0</v>
      </c>
      <c r="Q252" s="90">
        <f t="shared" si="226"/>
        <v>0</v>
      </c>
      <c r="R252" s="90"/>
      <c r="S252" s="90">
        <f t="shared" si="227"/>
        <v>0</v>
      </c>
      <c r="T252" s="90">
        <f t="shared" si="228"/>
        <v>2231084</v>
      </c>
      <c r="U252" s="90">
        <f t="shared" si="229"/>
        <v>0</v>
      </c>
      <c r="V252" s="90">
        <f t="shared" si="230"/>
        <v>0</v>
      </c>
      <c r="W252" s="90">
        <f t="shared" si="231"/>
        <v>0</v>
      </c>
      <c r="X252" s="90">
        <f t="shared" si="232"/>
        <v>0</v>
      </c>
      <c r="Y252" s="90">
        <f t="shared" si="233"/>
        <v>0</v>
      </c>
      <c r="Z252" s="90">
        <f t="shared" si="234"/>
        <v>0</v>
      </c>
      <c r="AA252" s="90">
        <f t="shared" si="235"/>
        <v>0</v>
      </c>
      <c r="AB252" s="90">
        <f t="shared" si="236"/>
        <v>0</v>
      </c>
      <c r="AC252" s="90">
        <f t="shared" si="237"/>
        <v>0</v>
      </c>
      <c r="AD252" s="90">
        <f t="shared" si="238"/>
        <v>0</v>
      </c>
      <c r="AE252" s="90"/>
      <c r="AF252" s="90">
        <f t="shared" si="239"/>
        <v>0</v>
      </c>
      <c r="AG252" s="90"/>
      <c r="AH252" s="90">
        <f t="shared" si="240"/>
        <v>0</v>
      </c>
      <c r="AI252" s="90"/>
      <c r="AJ252" s="90">
        <f t="shared" si="241"/>
        <v>0</v>
      </c>
      <c r="AK252" s="90">
        <f t="shared" si="242"/>
        <v>2231084</v>
      </c>
      <c r="AL252" s="87" t="str">
        <f t="shared" si="243"/>
        <v>ok</v>
      </c>
    </row>
    <row r="253" spans="1:39" x14ac:dyDescent="0.5">
      <c r="A253" s="86">
        <v>583</v>
      </c>
      <c r="B253" s="86" t="s">
        <v>785</v>
      </c>
      <c r="C253" s="86" t="s">
        <v>786</v>
      </c>
      <c r="D253" s="50" t="s">
        <v>116</v>
      </c>
      <c r="E253" s="50"/>
      <c r="F253" s="90">
        <f>'Jurisdictional Study'!F1063</f>
        <v>6598429</v>
      </c>
      <c r="H253" s="90">
        <f t="shared" si="218"/>
        <v>0</v>
      </c>
      <c r="I253" s="90">
        <f t="shared" si="219"/>
        <v>0</v>
      </c>
      <c r="J253" s="90">
        <f t="shared" si="220"/>
        <v>0</v>
      </c>
      <c r="K253" s="90">
        <f t="shared" si="221"/>
        <v>0</v>
      </c>
      <c r="L253" s="90">
        <f t="shared" si="222"/>
        <v>0</v>
      </c>
      <c r="M253" s="90">
        <f t="shared" si="223"/>
        <v>0</v>
      </c>
      <c r="N253" s="90"/>
      <c r="O253" s="90">
        <f t="shared" si="224"/>
        <v>0</v>
      </c>
      <c r="P253" s="90">
        <f t="shared" si="225"/>
        <v>0</v>
      </c>
      <c r="Q253" s="90">
        <f t="shared" si="226"/>
        <v>0</v>
      </c>
      <c r="R253" s="90"/>
      <c r="S253" s="90">
        <f t="shared" si="227"/>
        <v>0</v>
      </c>
      <c r="T253" s="90">
        <f t="shared" si="228"/>
        <v>0</v>
      </c>
      <c r="U253" s="90">
        <f t="shared" si="229"/>
        <v>0</v>
      </c>
      <c r="V253" s="90">
        <f t="shared" si="230"/>
        <v>1676096.90715766</v>
      </c>
      <c r="W253" s="90">
        <f t="shared" si="231"/>
        <v>2978434.90944234</v>
      </c>
      <c r="X253" s="90">
        <f t="shared" si="232"/>
        <v>699997.37574233988</v>
      </c>
      <c r="Y253" s="90">
        <f t="shared" si="233"/>
        <v>1243899.80765766</v>
      </c>
      <c r="Z253" s="90">
        <f t="shared" si="234"/>
        <v>0</v>
      </c>
      <c r="AA253" s="90">
        <f t="shared" si="235"/>
        <v>0</v>
      </c>
      <c r="AB253" s="90">
        <f t="shared" si="236"/>
        <v>0</v>
      </c>
      <c r="AC253" s="90">
        <f t="shared" si="237"/>
        <v>0</v>
      </c>
      <c r="AD253" s="90">
        <f t="shared" si="238"/>
        <v>0</v>
      </c>
      <c r="AE253" s="90"/>
      <c r="AF253" s="90">
        <f t="shared" si="239"/>
        <v>0</v>
      </c>
      <c r="AG253" s="90"/>
      <c r="AH253" s="90">
        <f t="shared" si="240"/>
        <v>0</v>
      </c>
      <c r="AI253" s="90"/>
      <c r="AJ253" s="90">
        <f t="shared" si="241"/>
        <v>0</v>
      </c>
      <c r="AK253" s="90">
        <f t="shared" si="242"/>
        <v>6598429</v>
      </c>
      <c r="AL253" s="87" t="str">
        <f t="shared" si="243"/>
        <v>ok</v>
      </c>
    </row>
    <row r="254" spans="1:39" x14ac:dyDescent="0.5">
      <c r="A254" s="86">
        <v>584</v>
      </c>
      <c r="B254" s="86" t="s">
        <v>787</v>
      </c>
      <c r="C254" s="86" t="s">
        <v>788</v>
      </c>
      <c r="D254" s="50" t="s">
        <v>119</v>
      </c>
      <c r="E254" s="50"/>
      <c r="F254" s="90">
        <f>'Jurisdictional Study'!F1064</f>
        <v>41724</v>
      </c>
      <c r="H254" s="90">
        <f t="shared" si="218"/>
        <v>0</v>
      </c>
      <c r="I254" s="90">
        <f t="shared" si="219"/>
        <v>0</v>
      </c>
      <c r="J254" s="90">
        <f t="shared" si="220"/>
        <v>0</v>
      </c>
      <c r="K254" s="90">
        <f t="shared" si="221"/>
        <v>0</v>
      </c>
      <c r="L254" s="90">
        <f t="shared" si="222"/>
        <v>0</v>
      </c>
      <c r="M254" s="90">
        <f t="shared" si="223"/>
        <v>0</v>
      </c>
      <c r="N254" s="90"/>
      <c r="O254" s="90">
        <f t="shared" si="224"/>
        <v>0</v>
      </c>
      <c r="P254" s="90">
        <f t="shared" si="225"/>
        <v>0</v>
      </c>
      <c r="Q254" s="90">
        <f t="shared" si="226"/>
        <v>0</v>
      </c>
      <c r="R254" s="90"/>
      <c r="S254" s="90">
        <f t="shared" si="227"/>
        <v>0</v>
      </c>
      <c r="T254" s="90">
        <f t="shared" si="228"/>
        <v>0</v>
      </c>
      <c r="U254" s="90">
        <f t="shared" si="229"/>
        <v>0</v>
      </c>
      <c r="V254" s="90">
        <f t="shared" si="230"/>
        <v>6342.0947308799996</v>
      </c>
      <c r="W254" s="90">
        <f t="shared" si="231"/>
        <v>18905.097669120001</v>
      </c>
      <c r="X254" s="90">
        <f t="shared" si="232"/>
        <v>4138.9740691199995</v>
      </c>
      <c r="Y254" s="90">
        <f t="shared" si="233"/>
        <v>12337.83353088</v>
      </c>
      <c r="Z254" s="90">
        <f t="shared" si="234"/>
        <v>0</v>
      </c>
      <c r="AA254" s="90">
        <f t="shared" si="235"/>
        <v>0</v>
      </c>
      <c r="AB254" s="90">
        <f t="shared" si="236"/>
        <v>0</v>
      </c>
      <c r="AC254" s="90">
        <f t="shared" si="237"/>
        <v>0</v>
      </c>
      <c r="AD254" s="90">
        <f t="shared" si="238"/>
        <v>0</v>
      </c>
      <c r="AE254" s="90"/>
      <c r="AF254" s="90">
        <f t="shared" si="239"/>
        <v>0</v>
      </c>
      <c r="AG254" s="90"/>
      <c r="AH254" s="90">
        <f t="shared" si="240"/>
        <v>0</v>
      </c>
      <c r="AI254" s="90"/>
      <c r="AJ254" s="90">
        <f t="shared" si="241"/>
        <v>0</v>
      </c>
      <c r="AK254" s="90">
        <f t="shared" si="242"/>
        <v>41724</v>
      </c>
      <c r="AL254" s="87" t="str">
        <f t="shared" si="243"/>
        <v>ok</v>
      </c>
    </row>
    <row r="255" spans="1:39" x14ac:dyDescent="0.5">
      <c r="A255" s="86">
        <v>585</v>
      </c>
      <c r="B255" s="86" t="s">
        <v>789</v>
      </c>
      <c r="C255" s="86" t="s">
        <v>346</v>
      </c>
      <c r="D255" s="50" t="s">
        <v>169</v>
      </c>
      <c r="E255" s="50"/>
      <c r="F255" s="90">
        <f>'Jurisdictional Study'!F1065</f>
        <v>0</v>
      </c>
      <c r="H255" s="90">
        <f t="shared" si="218"/>
        <v>0</v>
      </c>
      <c r="I255" s="90">
        <f t="shared" si="219"/>
        <v>0</v>
      </c>
      <c r="J255" s="90">
        <f t="shared" si="220"/>
        <v>0</v>
      </c>
      <c r="K255" s="90">
        <f t="shared" si="221"/>
        <v>0</v>
      </c>
      <c r="L255" s="90">
        <f t="shared" si="222"/>
        <v>0</v>
      </c>
      <c r="M255" s="90">
        <f t="shared" si="223"/>
        <v>0</v>
      </c>
      <c r="N255" s="90"/>
      <c r="O255" s="90">
        <f t="shared" si="224"/>
        <v>0</v>
      </c>
      <c r="P255" s="90">
        <f t="shared" si="225"/>
        <v>0</v>
      </c>
      <c r="Q255" s="90">
        <f t="shared" si="226"/>
        <v>0</v>
      </c>
      <c r="R255" s="90"/>
      <c r="S255" s="90">
        <f t="shared" si="227"/>
        <v>0</v>
      </c>
      <c r="T255" s="90">
        <f t="shared" si="228"/>
        <v>0</v>
      </c>
      <c r="U255" s="90">
        <f t="shared" si="229"/>
        <v>0</v>
      </c>
      <c r="V255" s="90">
        <f t="shared" si="230"/>
        <v>0</v>
      </c>
      <c r="W255" s="90">
        <f t="shared" si="231"/>
        <v>0</v>
      </c>
      <c r="X255" s="90">
        <f t="shared" si="232"/>
        <v>0</v>
      </c>
      <c r="Y255" s="90">
        <f t="shared" si="233"/>
        <v>0</v>
      </c>
      <c r="Z255" s="90">
        <f t="shared" si="234"/>
        <v>0</v>
      </c>
      <c r="AA255" s="90">
        <f t="shared" si="235"/>
        <v>0</v>
      </c>
      <c r="AB255" s="90">
        <f t="shared" si="236"/>
        <v>0</v>
      </c>
      <c r="AC255" s="90">
        <f t="shared" si="237"/>
        <v>0</v>
      </c>
      <c r="AD255" s="90">
        <f t="shared" si="238"/>
        <v>0</v>
      </c>
      <c r="AE255" s="90"/>
      <c r="AF255" s="90">
        <f t="shared" si="239"/>
        <v>0</v>
      </c>
      <c r="AG255" s="90"/>
      <c r="AH255" s="90">
        <f t="shared" si="240"/>
        <v>0</v>
      </c>
      <c r="AI255" s="90"/>
      <c r="AJ255" s="90">
        <f t="shared" si="241"/>
        <v>0</v>
      </c>
      <c r="AK255" s="90">
        <f t="shared" si="242"/>
        <v>0</v>
      </c>
      <c r="AL255" s="87" t="str">
        <f t="shared" si="243"/>
        <v>ok</v>
      </c>
    </row>
    <row r="256" spans="1:39" x14ac:dyDescent="0.5">
      <c r="A256" s="86">
        <v>586</v>
      </c>
      <c r="B256" s="86" t="s">
        <v>347</v>
      </c>
      <c r="C256" s="86" t="s">
        <v>348</v>
      </c>
      <c r="D256" s="50" t="s">
        <v>166</v>
      </c>
      <c r="E256" s="50"/>
      <c r="F256" s="90">
        <f>'Jurisdictional Study'!F1066</f>
        <v>9700980</v>
      </c>
      <c r="H256" s="90">
        <f t="shared" si="218"/>
        <v>0</v>
      </c>
      <c r="I256" s="90">
        <f t="shared" si="219"/>
        <v>0</v>
      </c>
      <c r="J256" s="90">
        <f t="shared" si="220"/>
        <v>0</v>
      </c>
      <c r="K256" s="90">
        <f t="shared" si="221"/>
        <v>0</v>
      </c>
      <c r="L256" s="90">
        <f t="shared" si="222"/>
        <v>0</v>
      </c>
      <c r="M256" s="90">
        <f t="shared" si="223"/>
        <v>0</v>
      </c>
      <c r="N256" s="90"/>
      <c r="O256" s="90">
        <f t="shared" si="224"/>
        <v>0</v>
      </c>
      <c r="P256" s="90">
        <f t="shared" si="225"/>
        <v>0</v>
      </c>
      <c r="Q256" s="90">
        <f t="shared" si="226"/>
        <v>0</v>
      </c>
      <c r="R256" s="90"/>
      <c r="S256" s="90">
        <f t="shared" si="227"/>
        <v>0</v>
      </c>
      <c r="T256" s="90">
        <f t="shared" si="228"/>
        <v>0</v>
      </c>
      <c r="U256" s="90">
        <f t="shared" si="229"/>
        <v>0</v>
      </c>
      <c r="V256" s="90">
        <f t="shared" si="230"/>
        <v>0</v>
      </c>
      <c r="W256" s="90">
        <f t="shared" si="231"/>
        <v>0</v>
      </c>
      <c r="X256" s="90">
        <f t="shared" si="232"/>
        <v>0</v>
      </c>
      <c r="Y256" s="90">
        <f t="shared" si="233"/>
        <v>0</v>
      </c>
      <c r="Z256" s="90">
        <f t="shared" si="234"/>
        <v>0</v>
      </c>
      <c r="AA256" s="90">
        <f t="shared" si="235"/>
        <v>0</v>
      </c>
      <c r="AB256" s="90">
        <f t="shared" si="236"/>
        <v>0</v>
      </c>
      <c r="AC256" s="90">
        <f t="shared" si="237"/>
        <v>9700980</v>
      </c>
      <c r="AD256" s="90">
        <f t="shared" si="238"/>
        <v>0</v>
      </c>
      <c r="AE256" s="90"/>
      <c r="AF256" s="90">
        <f t="shared" si="239"/>
        <v>0</v>
      </c>
      <c r="AG256" s="90"/>
      <c r="AH256" s="90">
        <f t="shared" si="240"/>
        <v>0</v>
      </c>
      <c r="AI256" s="90"/>
      <c r="AJ256" s="90">
        <f t="shared" si="241"/>
        <v>0</v>
      </c>
      <c r="AK256" s="90">
        <f t="shared" si="242"/>
        <v>9700980</v>
      </c>
      <c r="AL256" s="87" t="str">
        <f t="shared" si="243"/>
        <v>ok</v>
      </c>
    </row>
    <row r="257" spans="1:38" x14ac:dyDescent="0.5">
      <c r="A257" s="86">
        <v>586</v>
      </c>
      <c r="B257" s="86" t="s">
        <v>1304</v>
      </c>
      <c r="C257" s="86" t="s">
        <v>1305</v>
      </c>
      <c r="D257" s="50" t="s">
        <v>958</v>
      </c>
      <c r="E257" s="50"/>
      <c r="F257" s="90">
        <v>0</v>
      </c>
      <c r="H257" s="90">
        <f t="shared" si="218"/>
        <v>0</v>
      </c>
      <c r="I257" s="90">
        <f t="shared" si="219"/>
        <v>0</v>
      </c>
      <c r="J257" s="90">
        <f t="shared" si="220"/>
        <v>0</v>
      </c>
      <c r="K257" s="90">
        <f t="shared" si="221"/>
        <v>0</v>
      </c>
      <c r="L257" s="90">
        <f t="shared" si="222"/>
        <v>0</v>
      </c>
      <c r="M257" s="90">
        <f t="shared" si="223"/>
        <v>0</v>
      </c>
      <c r="N257" s="90"/>
      <c r="O257" s="90">
        <f t="shared" si="224"/>
        <v>0</v>
      </c>
      <c r="P257" s="90">
        <f t="shared" si="225"/>
        <v>0</v>
      </c>
      <c r="Q257" s="90">
        <f t="shared" si="226"/>
        <v>0</v>
      </c>
      <c r="R257" s="90"/>
      <c r="S257" s="90">
        <f t="shared" si="227"/>
        <v>0</v>
      </c>
      <c r="T257" s="90">
        <f t="shared" si="228"/>
        <v>0</v>
      </c>
      <c r="U257" s="90">
        <f t="shared" si="229"/>
        <v>0</v>
      </c>
      <c r="V257" s="90">
        <f t="shared" si="230"/>
        <v>0</v>
      </c>
      <c r="W257" s="90">
        <f t="shared" si="231"/>
        <v>0</v>
      </c>
      <c r="X257" s="90">
        <f t="shared" si="232"/>
        <v>0</v>
      </c>
      <c r="Y257" s="90">
        <f t="shared" si="233"/>
        <v>0</v>
      </c>
      <c r="Z257" s="90">
        <f t="shared" si="234"/>
        <v>0</v>
      </c>
      <c r="AA257" s="90">
        <f t="shared" si="235"/>
        <v>0</v>
      </c>
      <c r="AB257" s="90">
        <f t="shared" si="236"/>
        <v>0</v>
      </c>
      <c r="AC257" s="90">
        <f t="shared" si="237"/>
        <v>0</v>
      </c>
      <c r="AD257" s="90">
        <f t="shared" si="238"/>
        <v>0</v>
      </c>
      <c r="AE257" s="90"/>
      <c r="AF257" s="90">
        <f t="shared" si="239"/>
        <v>0</v>
      </c>
      <c r="AG257" s="90"/>
      <c r="AH257" s="90">
        <f t="shared" si="240"/>
        <v>0</v>
      </c>
      <c r="AI257" s="90"/>
      <c r="AJ257" s="90">
        <f t="shared" si="241"/>
        <v>0</v>
      </c>
      <c r="AK257" s="90">
        <f t="shared" si="242"/>
        <v>0</v>
      </c>
      <c r="AL257" s="87" t="str">
        <f>IF(ABS(AK257-F257)&lt;1,"ok","err")</f>
        <v>ok</v>
      </c>
    </row>
    <row r="258" spans="1:38" x14ac:dyDescent="0.5">
      <c r="A258" s="86">
        <v>587</v>
      </c>
      <c r="B258" s="86" t="s">
        <v>349</v>
      </c>
      <c r="C258" s="86" t="s">
        <v>350</v>
      </c>
      <c r="D258" s="50" t="s">
        <v>168</v>
      </c>
      <c r="E258" s="50"/>
      <c r="F258" s="90">
        <f>'Jurisdictional Study'!F1067</f>
        <v>0</v>
      </c>
      <c r="H258" s="90">
        <f t="shared" si="218"/>
        <v>0</v>
      </c>
      <c r="I258" s="90">
        <f t="shared" si="219"/>
        <v>0</v>
      </c>
      <c r="J258" s="90">
        <f t="shared" si="220"/>
        <v>0</v>
      </c>
      <c r="K258" s="90">
        <f t="shared" si="221"/>
        <v>0</v>
      </c>
      <c r="L258" s="90">
        <f t="shared" si="222"/>
        <v>0</v>
      </c>
      <c r="M258" s="90">
        <f t="shared" si="223"/>
        <v>0</v>
      </c>
      <c r="N258" s="90"/>
      <c r="O258" s="90">
        <f t="shared" si="224"/>
        <v>0</v>
      </c>
      <c r="P258" s="90">
        <f t="shared" si="225"/>
        <v>0</v>
      </c>
      <c r="Q258" s="90">
        <f t="shared" si="226"/>
        <v>0</v>
      </c>
      <c r="R258" s="90"/>
      <c r="S258" s="90">
        <f t="shared" si="227"/>
        <v>0</v>
      </c>
      <c r="T258" s="90">
        <f t="shared" si="228"/>
        <v>0</v>
      </c>
      <c r="U258" s="90">
        <f t="shared" si="229"/>
        <v>0</v>
      </c>
      <c r="V258" s="90">
        <f t="shared" si="230"/>
        <v>0</v>
      </c>
      <c r="W258" s="90">
        <f t="shared" si="231"/>
        <v>0</v>
      </c>
      <c r="X258" s="90">
        <f t="shared" si="232"/>
        <v>0</v>
      </c>
      <c r="Y258" s="90">
        <f t="shared" si="233"/>
        <v>0</v>
      </c>
      <c r="Z258" s="90">
        <f t="shared" si="234"/>
        <v>0</v>
      </c>
      <c r="AA258" s="90">
        <f t="shared" si="235"/>
        <v>0</v>
      </c>
      <c r="AB258" s="90">
        <f t="shared" si="236"/>
        <v>0</v>
      </c>
      <c r="AC258" s="90">
        <f t="shared" si="237"/>
        <v>0</v>
      </c>
      <c r="AD258" s="90">
        <f t="shared" si="238"/>
        <v>0</v>
      </c>
      <c r="AE258" s="90"/>
      <c r="AF258" s="90">
        <f t="shared" si="239"/>
        <v>0</v>
      </c>
      <c r="AG258" s="90"/>
      <c r="AH258" s="90">
        <f t="shared" si="240"/>
        <v>0</v>
      </c>
      <c r="AI258" s="90"/>
      <c r="AJ258" s="90">
        <f t="shared" si="241"/>
        <v>0</v>
      </c>
      <c r="AK258" s="90">
        <f t="shared" si="242"/>
        <v>0</v>
      </c>
      <c r="AL258" s="87" t="str">
        <f>IF(ABS(AK258-F258)&lt;1,"ok","err")</f>
        <v>ok</v>
      </c>
    </row>
    <row r="259" spans="1:38" x14ac:dyDescent="0.5">
      <c r="A259" s="86">
        <v>588</v>
      </c>
      <c r="B259" s="86" t="s">
        <v>351</v>
      </c>
      <c r="C259" s="86" t="s">
        <v>352</v>
      </c>
      <c r="D259" s="371" t="s">
        <v>109</v>
      </c>
      <c r="E259" s="71"/>
      <c r="F259" s="90">
        <f>'Jurisdictional Study'!F1068</f>
        <v>8491579</v>
      </c>
      <c r="H259" s="90">
        <f t="shared" si="218"/>
        <v>0</v>
      </c>
      <c r="I259" s="90">
        <f t="shared" si="219"/>
        <v>0</v>
      </c>
      <c r="J259" s="90">
        <f t="shared" si="220"/>
        <v>0</v>
      </c>
      <c r="K259" s="90">
        <f t="shared" si="221"/>
        <v>0</v>
      </c>
      <c r="L259" s="90">
        <f t="shared" si="222"/>
        <v>0</v>
      </c>
      <c r="M259" s="90">
        <f t="shared" si="223"/>
        <v>0</v>
      </c>
      <c r="N259" s="90"/>
      <c r="O259" s="90">
        <f t="shared" si="224"/>
        <v>0</v>
      </c>
      <c r="P259" s="90">
        <f t="shared" si="225"/>
        <v>0</v>
      </c>
      <c r="Q259" s="90">
        <f t="shared" si="226"/>
        <v>0</v>
      </c>
      <c r="R259" s="90"/>
      <c r="S259" s="90">
        <f t="shared" si="227"/>
        <v>0</v>
      </c>
      <c r="T259" s="90">
        <f t="shared" si="228"/>
        <v>1331051.6257322645</v>
      </c>
      <c r="U259" s="90">
        <f t="shared" si="229"/>
        <v>0</v>
      </c>
      <c r="V259" s="90">
        <f t="shared" si="230"/>
        <v>1058656.3385764973</v>
      </c>
      <c r="W259" s="90">
        <f t="shared" si="231"/>
        <v>2057779.3031810448</v>
      </c>
      <c r="X259" s="90">
        <f t="shared" si="232"/>
        <v>476590.88758467045</v>
      </c>
      <c r="Y259" s="90">
        <f t="shared" si="233"/>
        <v>962118.62911175343</v>
      </c>
      <c r="Z259" s="90">
        <f t="shared" si="234"/>
        <v>694742.88453625445</v>
      </c>
      <c r="AA259" s="90">
        <f t="shared" si="235"/>
        <v>577211.14747945673</v>
      </c>
      <c r="AB259" s="90">
        <f t="shared" si="236"/>
        <v>486662.38964019489</v>
      </c>
      <c r="AC259" s="90">
        <f t="shared" si="237"/>
        <v>289437.00632944069</v>
      </c>
      <c r="AD259" s="90">
        <f t="shared" si="238"/>
        <v>557328.78782842262</v>
      </c>
      <c r="AE259" s="90"/>
      <c r="AF259" s="90">
        <f t="shared" si="239"/>
        <v>0</v>
      </c>
      <c r="AG259" s="90"/>
      <c r="AH259" s="90">
        <f t="shared" si="240"/>
        <v>0</v>
      </c>
      <c r="AI259" s="90"/>
      <c r="AJ259" s="90">
        <f t="shared" si="241"/>
        <v>0</v>
      </c>
      <c r="AK259" s="90">
        <f t="shared" si="242"/>
        <v>8491579</v>
      </c>
      <c r="AL259" s="87" t="str">
        <f t="shared" si="243"/>
        <v>ok</v>
      </c>
    </row>
    <row r="260" spans="1:38" x14ac:dyDescent="0.5">
      <c r="A260" s="86">
        <v>588</v>
      </c>
      <c r="B260" s="86" t="s">
        <v>932</v>
      </c>
      <c r="C260" s="86" t="s">
        <v>1033</v>
      </c>
      <c r="D260" s="371" t="s">
        <v>109</v>
      </c>
      <c r="E260" s="71"/>
      <c r="F260" s="90">
        <v>0</v>
      </c>
      <c r="H260" s="90">
        <f t="shared" si="218"/>
        <v>0</v>
      </c>
      <c r="I260" s="90">
        <f t="shared" si="219"/>
        <v>0</v>
      </c>
      <c r="J260" s="90">
        <f t="shared" si="220"/>
        <v>0</v>
      </c>
      <c r="K260" s="90">
        <f t="shared" si="221"/>
        <v>0</v>
      </c>
      <c r="L260" s="90">
        <f t="shared" si="222"/>
        <v>0</v>
      </c>
      <c r="M260" s="90">
        <f t="shared" si="223"/>
        <v>0</v>
      </c>
      <c r="N260" s="90"/>
      <c r="O260" s="90">
        <f t="shared" si="224"/>
        <v>0</v>
      </c>
      <c r="P260" s="90">
        <f t="shared" si="225"/>
        <v>0</v>
      </c>
      <c r="Q260" s="90">
        <f t="shared" si="226"/>
        <v>0</v>
      </c>
      <c r="R260" s="90"/>
      <c r="S260" s="90">
        <f t="shared" si="227"/>
        <v>0</v>
      </c>
      <c r="T260" s="90">
        <f t="shared" si="228"/>
        <v>0</v>
      </c>
      <c r="U260" s="90">
        <f t="shared" si="229"/>
        <v>0</v>
      </c>
      <c r="V260" s="90">
        <f t="shared" si="230"/>
        <v>0</v>
      </c>
      <c r="W260" s="90">
        <f t="shared" si="231"/>
        <v>0</v>
      </c>
      <c r="X260" s="90">
        <f t="shared" si="232"/>
        <v>0</v>
      </c>
      <c r="Y260" s="90">
        <f t="shared" si="233"/>
        <v>0</v>
      </c>
      <c r="Z260" s="90">
        <f t="shared" si="234"/>
        <v>0</v>
      </c>
      <c r="AA260" s="90">
        <f t="shared" si="235"/>
        <v>0</v>
      </c>
      <c r="AB260" s="90">
        <f t="shared" si="236"/>
        <v>0</v>
      </c>
      <c r="AC260" s="90">
        <f t="shared" si="237"/>
        <v>0</v>
      </c>
      <c r="AD260" s="90">
        <f t="shared" si="238"/>
        <v>0</v>
      </c>
      <c r="AE260" s="90"/>
      <c r="AF260" s="90">
        <f t="shared" si="239"/>
        <v>0</v>
      </c>
      <c r="AG260" s="90"/>
      <c r="AH260" s="90">
        <f t="shared" si="240"/>
        <v>0</v>
      </c>
      <c r="AI260" s="90"/>
      <c r="AJ260" s="90">
        <f t="shared" si="241"/>
        <v>0</v>
      </c>
      <c r="AK260" s="90">
        <f t="shared" si="242"/>
        <v>0</v>
      </c>
      <c r="AL260" s="87" t="str">
        <f t="shared" si="243"/>
        <v>ok</v>
      </c>
    </row>
    <row r="261" spans="1:38" x14ac:dyDescent="0.5">
      <c r="A261" s="86">
        <v>589</v>
      </c>
      <c r="B261" s="86" t="s">
        <v>353</v>
      </c>
      <c r="C261" s="86" t="s">
        <v>354</v>
      </c>
      <c r="D261" s="371" t="s">
        <v>109</v>
      </c>
      <c r="E261" s="71"/>
      <c r="F261" s="90">
        <f>'Jurisdictional Study'!F1069</f>
        <v>0</v>
      </c>
      <c r="H261" s="90">
        <f t="shared" si="218"/>
        <v>0</v>
      </c>
      <c r="I261" s="90">
        <f t="shared" si="219"/>
        <v>0</v>
      </c>
      <c r="J261" s="90">
        <f t="shared" si="220"/>
        <v>0</v>
      </c>
      <c r="K261" s="90">
        <f t="shared" si="221"/>
        <v>0</v>
      </c>
      <c r="L261" s="90">
        <f t="shared" si="222"/>
        <v>0</v>
      </c>
      <c r="M261" s="90">
        <f t="shared" si="223"/>
        <v>0</v>
      </c>
      <c r="N261" s="90"/>
      <c r="O261" s="90">
        <f t="shared" si="224"/>
        <v>0</v>
      </c>
      <c r="P261" s="90">
        <f t="shared" si="225"/>
        <v>0</v>
      </c>
      <c r="Q261" s="90">
        <f t="shared" si="226"/>
        <v>0</v>
      </c>
      <c r="R261" s="90"/>
      <c r="S261" s="90">
        <f t="shared" si="227"/>
        <v>0</v>
      </c>
      <c r="T261" s="90">
        <f t="shared" si="228"/>
        <v>0</v>
      </c>
      <c r="U261" s="90">
        <f t="shared" si="229"/>
        <v>0</v>
      </c>
      <c r="V261" s="90">
        <f t="shared" si="230"/>
        <v>0</v>
      </c>
      <c r="W261" s="90">
        <f t="shared" si="231"/>
        <v>0</v>
      </c>
      <c r="X261" s="90">
        <f t="shared" si="232"/>
        <v>0</v>
      </c>
      <c r="Y261" s="90">
        <f t="shared" si="233"/>
        <v>0</v>
      </c>
      <c r="Z261" s="90">
        <f t="shared" si="234"/>
        <v>0</v>
      </c>
      <c r="AA261" s="90">
        <f t="shared" si="235"/>
        <v>0</v>
      </c>
      <c r="AB261" s="90">
        <f t="shared" si="236"/>
        <v>0</v>
      </c>
      <c r="AC261" s="90">
        <f t="shared" si="237"/>
        <v>0</v>
      </c>
      <c r="AD261" s="90">
        <f t="shared" si="238"/>
        <v>0</v>
      </c>
      <c r="AE261" s="90"/>
      <c r="AF261" s="90">
        <f t="shared" si="239"/>
        <v>0</v>
      </c>
      <c r="AG261" s="90"/>
      <c r="AH261" s="90">
        <f t="shared" si="240"/>
        <v>0</v>
      </c>
      <c r="AI261" s="90"/>
      <c r="AJ261" s="90">
        <f t="shared" si="241"/>
        <v>0</v>
      </c>
      <c r="AK261" s="90">
        <f t="shared" si="242"/>
        <v>0</v>
      </c>
      <c r="AL261" s="87" t="str">
        <f t="shared" si="243"/>
        <v>ok</v>
      </c>
    </row>
    <row r="262" spans="1:38" x14ac:dyDescent="0.5">
      <c r="D262" s="371"/>
      <c r="E262" s="71"/>
      <c r="F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L262" s="87"/>
    </row>
    <row r="263" spans="1:38" x14ac:dyDescent="0.5">
      <c r="A263" s="86" t="s">
        <v>355</v>
      </c>
      <c r="C263" s="86" t="s">
        <v>356</v>
      </c>
      <c r="D263" s="371"/>
      <c r="E263" s="71"/>
      <c r="F263" s="89">
        <f t="shared" ref="F263:M263" si="244">SUM(F250:F262)</f>
        <v>29413307</v>
      </c>
      <c r="G263" s="89">
        <f t="shared" si="244"/>
        <v>0</v>
      </c>
      <c r="H263" s="89">
        <f t="shared" si="244"/>
        <v>0</v>
      </c>
      <c r="I263" s="89">
        <f t="shared" si="244"/>
        <v>0</v>
      </c>
      <c r="J263" s="89">
        <f t="shared" si="244"/>
        <v>0</v>
      </c>
      <c r="K263" s="89">
        <f t="shared" si="244"/>
        <v>0</v>
      </c>
      <c r="L263" s="89">
        <f t="shared" si="244"/>
        <v>0</v>
      </c>
      <c r="M263" s="89">
        <f t="shared" si="244"/>
        <v>0</v>
      </c>
      <c r="N263" s="89"/>
      <c r="O263" s="89">
        <f>SUM(O250:O262)</f>
        <v>0</v>
      </c>
      <c r="P263" s="89">
        <f>SUM(P250:P262)</f>
        <v>0</v>
      </c>
      <c r="Q263" s="89">
        <f>SUM(Q250:Q262)</f>
        <v>0</v>
      </c>
      <c r="R263" s="89"/>
      <c r="S263" s="89">
        <f t="shared" ref="S263:AD263" si="245">SUM(S250:S262)</f>
        <v>0</v>
      </c>
      <c r="T263" s="89">
        <f t="shared" si="245"/>
        <v>4298071.6725835977</v>
      </c>
      <c r="U263" s="89">
        <f t="shared" si="245"/>
        <v>0</v>
      </c>
      <c r="V263" s="89">
        <f t="shared" si="245"/>
        <v>2916990.2317707106</v>
      </c>
      <c r="W263" s="89">
        <f t="shared" si="245"/>
        <v>5378059.1912427507</v>
      </c>
      <c r="X263" s="89">
        <f t="shared" si="245"/>
        <v>1256211.9579833671</v>
      </c>
      <c r="Y263" s="89">
        <f t="shared" si="245"/>
        <v>2359263.0715362993</v>
      </c>
      <c r="Z263" s="89">
        <f t="shared" si="245"/>
        <v>732408.90160102176</v>
      </c>
      <c r="AA263" s="89">
        <f t="shared" si="245"/>
        <v>608505.09149076906</v>
      </c>
      <c r="AB263" s="89">
        <f t="shared" si="245"/>
        <v>513047.16346224543</v>
      </c>
      <c r="AC263" s="89">
        <f t="shared" si="245"/>
        <v>10763204.923830891</v>
      </c>
      <c r="AD263" s="89">
        <f t="shared" si="245"/>
        <v>587544.79449834919</v>
      </c>
      <c r="AE263" s="89"/>
      <c r="AF263" s="89">
        <f>SUM(AF250:AF262)</f>
        <v>0</v>
      </c>
      <c r="AG263" s="89"/>
      <c r="AH263" s="89">
        <f>SUM(AH250:AH262)</f>
        <v>0</v>
      </c>
      <c r="AI263" s="89"/>
      <c r="AJ263" s="89">
        <f>SUM(AJ250:AJ262)</f>
        <v>0</v>
      </c>
      <c r="AK263" s="90">
        <f>SUM(H263:AJ263)</f>
        <v>29413306.999999996</v>
      </c>
      <c r="AL263" s="87" t="str">
        <f>IF(ABS(AK263-F263)&lt;1,"ok","err")</f>
        <v>ok</v>
      </c>
    </row>
    <row r="264" spans="1:38" x14ac:dyDescent="0.5">
      <c r="D264" s="371"/>
      <c r="E264" s="71"/>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90"/>
      <c r="AL264" s="87"/>
    </row>
    <row r="265" spans="1:38" x14ac:dyDescent="0.5">
      <c r="A265" s="22" t="s">
        <v>290</v>
      </c>
      <c r="D265" s="371"/>
      <c r="E265" s="71"/>
      <c r="F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L265" s="87"/>
    </row>
    <row r="266" spans="1:38" x14ac:dyDescent="0.5">
      <c r="D266" s="371"/>
      <c r="E266" s="71"/>
      <c r="F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L266" s="87"/>
    </row>
    <row r="267" spans="1:38" x14ac:dyDescent="0.5">
      <c r="A267" s="23" t="s">
        <v>357</v>
      </c>
      <c r="D267" s="371"/>
      <c r="E267" s="71"/>
      <c r="F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L267" s="87"/>
    </row>
    <row r="268" spans="1:38" x14ac:dyDescent="0.5">
      <c r="A268" s="86">
        <v>590</v>
      </c>
      <c r="B268" s="86" t="s">
        <v>358</v>
      </c>
      <c r="C268" s="86" t="s">
        <v>359</v>
      </c>
      <c r="D268" s="348" t="s">
        <v>989</v>
      </c>
      <c r="E268" s="50"/>
      <c r="F268" s="89">
        <f>'Jurisdictional Study'!F1071</f>
        <v>50915</v>
      </c>
      <c r="H268" s="90">
        <f t="shared" ref="H268:H276" si="246">IF(VLOOKUP($D268,$C$5:$AJ$596,6,)=0,0,((VLOOKUP($D268,$C$5:$AJ$596,6,)/VLOOKUP($D268,$C$5:$AJ$596,4,))*$F268))</f>
        <v>0</v>
      </c>
      <c r="I268" s="90">
        <f t="shared" ref="I268:I276" si="247">IF(VLOOKUP($D268,$C$5:$AJ$596,7,)=0,0,((VLOOKUP($D268,$C$5:$AJ$596,7,)/VLOOKUP($D268,$C$5:$AJ$596,4,))*$F268))</f>
        <v>0</v>
      </c>
      <c r="J268" s="90">
        <f t="shared" ref="J268:J276" si="248">IF(VLOOKUP($D268,$C$5:$AJ$596,8,)=0,0,((VLOOKUP($D268,$C$5:$AJ$596,8,)/VLOOKUP($D268,$C$5:$AJ$596,4,))*$F268))</f>
        <v>0</v>
      </c>
      <c r="K268" s="90">
        <f t="shared" ref="K268:K276" si="249">IF(VLOOKUP($D268,$C$5:$AJ$596,9,)=0,0,((VLOOKUP($D268,$C$5:$AJ$596,9,)/VLOOKUP($D268,$C$5:$AJ$596,4,))*$F268))</f>
        <v>0</v>
      </c>
      <c r="L268" s="90">
        <f t="shared" ref="L268:L276" si="250">IF(VLOOKUP($D268,$C$5:$AJ$596,10,)=0,0,((VLOOKUP($D268,$C$5:$AJ$596,10,)/VLOOKUP($D268,$C$5:$AJ$596,4,))*$F268))</f>
        <v>0</v>
      </c>
      <c r="M268" s="90">
        <f t="shared" ref="M268:M276" si="251">IF(VLOOKUP($D268,$C$5:$AJ$596,11,)=0,0,((VLOOKUP($D268,$C$5:$AJ$596,11,)/VLOOKUP($D268,$C$5:$AJ$596,4,))*$F268))</f>
        <v>0</v>
      </c>
      <c r="N268" s="90"/>
      <c r="O268" s="90">
        <f t="shared" ref="O268:O276" si="252">IF(VLOOKUP($D268,$C$5:$AJ$596,13,)=0,0,((VLOOKUP($D268,$C$5:$AJ$596,13,)/VLOOKUP($D268,$C$5:$AJ$596,4,))*$F268))</f>
        <v>0</v>
      </c>
      <c r="P268" s="90">
        <f t="shared" ref="P268:P276" si="253">IF(VLOOKUP($D268,$C$5:$AJ$596,14,)=0,0,((VLOOKUP($D268,$C$5:$AJ$596,14,)/VLOOKUP($D268,$C$5:$AJ$596,4,))*$F268))</f>
        <v>0</v>
      </c>
      <c r="Q268" s="90">
        <f t="shared" ref="Q268:Q276" si="254">IF(VLOOKUP($D268,$C$5:$AJ$596,15,)=0,0,((VLOOKUP($D268,$C$5:$AJ$596,15,)/VLOOKUP($D268,$C$5:$AJ$596,4,))*$F268))</f>
        <v>0</v>
      </c>
      <c r="R268" s="90"/>
      <c r="S268" s="90">
        <f t="shared" ref="S268:S276" si="255">IF(VLOOKUP($D268,$C$5:$AJ$596,17,)=0,0,((VLOOKUP($D268,$C$5:$AJ$596,17,)/VLOOKUP($D268,$C$5:$AJ$596,4,))*$F268))</f>
        <v>0</v>
      </c>
      <c r="T268" s="90">
        <f t="shared" ref="T268:T276" si="256">IF(VLOOKUP($D268,$C$5:$AJ$596,18,)=0,0,((VLOOKUP($D268,$C$5:$AJ$596,18,)/VLOOKUP($D268,$C$5:$AJ$596,4,))*$F268))</f>
        <v>4280.0779676590819</v>
      </c>
      <c r="U268" s="90">
        <f t="shared" ref="U268:U276" si="257">IF(VLOOKUP($D268,$C$5:$AJ$596,19,)=0,0,((VLOOKUP($D268,$C$5:$AJ$596,19,)/VLOOKUP($D268,$C$5:$AJ$596,4,))*$F268))</f>
        <v>0</v>
      </c>
      <c r="V268" s="90">
        <f t="shared" ref="V268:V276" si="258">IF(VLOOKUP($D268,$C$5:$AJ$596,20,)=0,0,((VLOOKUP($D268,$C$5:$AJ$596,20,)/VLOOKUP($D268,$C$5:$AJ$596,4,))*$F268))</f>
        <v>11576.089632192994</v>
      </c>
      <c r="W268" s="90">
        <f t="shared" ref="W268:W276" si="259">IF(VLOOKUP($D268,$C$5:$AJ$596,21,)=0,0,((VLOOKUP($D268,$C$5:$AJ$596,21,)/VLOOKUP($D268,$C$5:$AJ$596,4,))*$F268))</f>
        <v>20884.244441886534</v>
      </c>
      <c r="X268" s="90">
        <f t="shared" ref="X268:X276" si="260">IF(VLOOKUP($D268,$C$5:$AJ$596,22,)=0,0,((VLOOKUP($D268,$C$5:$AJ$596,22,)/VLOOKUP($D268,$C$5:$AJ$596,4,))*$F268))</f>
        <v>4895.7681328706758</v>
      </c>
      <c r="Y268" s="90">
        <f t="shared" ref="Y268:Y276" si="261">IF(VLOOKUP($D268,$C$5:$AJ$596,23,)=0,0,((VLOOKUP($D268,$C$5:$AJ$596,23,)/VLOOKUP($D268,$C$5:$AJ$596,4,))*$F268))</f>
        <v>8904.3808155776496</v>
      </c>
      <c r="Z268" s="90">
        <f t="shared" ref="Z268:Z276" si="262">IF(VLOOKUP($D268,$C$5:$AJ$596,24,)=0,0,((VLOOKUP($D268,$C$5:$AJ$596,24,)/VLOOKUP($D268,$C$5:$AJ$596,4,))*$F268))</f>
        <v>202.43218012884839</v>
      </c>
      <c r="AA268" s="90">
        <f t="shared" ref="AA268:AA276" si="263">IF(VLOOKUP($D268,$C$5:$AJ$596,25,)=0,0,((VLOOKUP($D268,$C$5:$AJ$596,25,)/VLOOKUP($D268,$C$5:$AJ$596,4,))*$F268))</f>
        <v>168.18612119638507</v>
      </c>
      <c r="AB268" s="90">
        <f t="shared" ref="AB268:AB276" si="264">IF(VLOOKUP($D268,$C$5:$AJ$596,26,)=0,0,((VLOOKUP($D268,$C$5:$AJ$596,26,)/VLOOKUP($D268,$C$5:$AJ$596,4,))*$F268))</f>
        <v>1.3944471441343769</v>
      </c>
      <c r="AC268" s="90">
        <f t="shared" ref="AC268:AC276" si="265">IF(VLOOKUP($D268,$C$5:$AJ$596,27,)=0,0,((VLOOKUP($D268,$C$5:$AJ$596,27,)/VLOOKUP($D268,$C$5:$AJ$596,4,))*$F268))</f>
        <v>0.82933182319942567</v>
      </c>
      <c r="AD268" s="90">
        <f t="shared" ref="AD268:AD276" si="266">IF(VLOOKUP($D268,$C$5:$AJ$596,28,)=0,0,((VLOOKUP($D268,$C$5:$AJ$596,28,)/VLOOKUP($D268,$C$5:$AJ$596,4,))*$F268))</f>
        <v>1.5969295204953093</v>
      </c>
      <c r="AE268" s="90"/>
      <c r="AF268" s="90">
        <f t="shared" ref="AF268:AF276" si="267">IF(VLOOKUP($D268,$C$5:$AJ$596,30,)=0,0,((VLOOKUP($D268,$C$5:$AJ$596,30,)/VLOOKUP($D268,$C$5:$AJ$596,4,))*$F268))</f>
        <v>0</v>
      </c>
      <c r="AG268" s="90"/>
      <c r="AH268" s="90">
        <f t="shared" ref="AH268:AH276" si="268">IF(VLOOKUP($D268,$C$5:$AJ$596,32,)=0,0,((VLOOKUP($D268,$C$5:$AJ$596,32,)/VLOOKUP($D268,$C$5:$AJ$596,4,))*$F268))</f>
        <v>0</v>
      </c>
      <c r="AI268" s="90"/>
      <c r="AJ268" s="90">
        <f t="shared" ref="AJ268:AJ276" si="269">IF(VLOOKUP($D268,$C$5:$AJ$596,34,)=0,0,((VLOOKUP($D268,$C$5:$AJ$596,34,)/VLOOKUP($D268,$C$5:$AJ$596,4,))*$F268))</f>
        <v>0</v>
      </c>
      <c r="AK268" s="90">
        <f t="shared" ref="AK268:AK276" si="270">SUM(H268:AJ268)</f>
        <v>50915</v>
      </c>
      <c r="AL268" s="87" t="str">
        <f>IF(ABS(AK268-F268)&lt;1,"ok","err")</f>
        <v>ok</v>
      </c>
    </row>
    <row r="269" spans="1:38" x14ac:dyDescent="0.5">
      <c r="A269" s="86">
        <v>591</v>
      </c>
      <c r="B269" s="86" t="s">
        <v>1542</v>
      </c>
      <c r="C269" s="86" t="s">
        <v>1548</v>
      </c>
      <c r="D269" s="348" t="s">
        <v>113</v>
      </c>
      <c r="E269" s="50"/>
      <c r="F269" s="90">
        <f>'Jurisdictional Study'!F1072</f>
        <v>0</v>
      </c>
      <c r="H269" s="90">
        <f t="shared" si="246"/>
        <v>0</v>
      </c>
      <c r="I269" s="90">
        <f t="shared" si="247"/>
        <v>0</v>
      </c>
      <c r="J269" s="90">
        <f t="shared" si="248"/>
        <v>0</v>
      </c>
      <c r="K269" s="90">
        <f t="shared" si="249"/>
        <v>0</v>
      </c>
      <c r="L269" s="90">
        <f t="shared" si="250"/>
        <v>0</v>
      </c>
      <c r="M269" s="90">
        <f t="shared" si="251"/>
        <v>0</v>
      </c>
      <c r="N269" s="90"/>
      <c r="O269" s="90">
        <f t="shared" si="252"/>
        <v>0</v>
      </c>
      <c r="P269" s="90">
        <f t="shared" si="253"/>
        <v>0</v>
      </c>
      <c r="Q269" s="90">
        <f t="shared" si="254"/>
        <v>0</v>
      </c>
      <c r="R269" s="90"/>
      <c r="S269" s="90">
        <f t="shared" si="255"/>
        <v>0</v>
      </c>
      <c r="T269" s="90">
        <f t="shared" si="256"/>
        <v>0</v>
      </c>
      <c r="U269" s="90">
        <f t="shared" si="257"/>
        <v>0</v>
      </c>
      <c r="V269" s="90">
        <f t="shared" si="258"/>
        <v>0</v>
      </c>
      <c r="W269" s="90">
        <f t="shared" si="259"/>
        <v>0</v>
      </c>
      <c r="X269" s="90">
        <f t="shared" si="260"/>
        <v>0</v>
      </c>
      <c r="Y269" s="90">
        <f t="shared" si="261"/>
        <v>0</v>
      </c>
      <c r="Z269" s="90">
        <f t="shared" si="262"/>
        <v>0</v>
      </c>
      <c r="AA269" s="90">
        <f t="shared" si="263"/>
        <v>0</v>
      </c>
      <c r="AB269" s="90">
        <f t="shared" si="264"/>
        <v>0</v>
      </c>
      <c r="AC269" s="90">
        <f t="shared" si="265"/>
        <v>0</v>
      </c>
      <c r="AD269" s="90">
        <f t="shared" si="266"/>
        <v>0</v>
      </c>
      <c r="AE269" s="90"/>
      <c r="AF269" s="90">
        <f t="shared" si="267"/>
        <v>0</v>
      </c>
      <c r="AG269" s="90"/>
      <c r="AH269" s="90">
        <f t="shared" si="268"/>
        <v>0</v>
      </c>
      <c r="AI269" s="90"/>
      <c r="AJ269" s="90">
        <f t="shared" si="269"/>
        <v>0</v>
      </c>
      <c r="AK269" s="90"/>
      <c r="AL269" s="87"/>
    </row>
    <row r="270" spans="1:38" x14ac:dyDescent="0.5">
      <c r="A270" s="86">
        <v>592</v>
      </c>
      <c r="B270" s="86" t="s">
        <v>360</v>
      </c>
      <c r="C270" s="86" t="s">
        <v>361</v>
      </c>
      <c r="D270" s="315" t="s">
        <v>113</v>
      </c>
      <c r="E270" s="312"/>
      <c r="F270" s="90">
        <f>'Jurisdictional Study'!F1073</f>
        <v>1421212</v>
      </c>
      <c r="H270" s="90">
        <f t="shared" si="246"/>
        <v>0</v>
      </c>
      <c r="I270" s="90">
        <f t="shared" si="247"/>
        <v>0</v>
      </c>
      <c r="J270" s="90">
        <f t="shared" si="248"/>
        <v>0</v>
      </c>
      <c r="K270" s="90">
        <f t="shared" si="249"/>
        <v>0</v>
      </c>
      <c r="L270" s="90">
        <f t="shared" si="250"/>
        <v>0</v>
      </c>
      <c r="M270" s="90">
        <f t="shared" si="251"/>
        <v>0</v>
      </c>
      <c r="N270" s="90"/>
      <c r="O270" s="90">
        <f t="shared" si="252"/>
        <v>0</v>
      </c>
      <c r="P270" s="90">
        <f t="shared" si="253"/>
        <v>0</v>
      </c>
      <c r="Q270" s="90">
        <f t="shared" si="254"/>
        <v>0</v>
      </c>
      <c r="R270" s="90"/>
      <c r="S270" s="90">
        <f t="shared" si="255"/>
        <v>0</v>
      </c>
      <c r="T270" s="90">
        <f t="shared" si="256"/>
        <v>1421212</v>
      </c>
      <c r="U270" s="90">
        <f t="shared" si="257"/>
        <v>0</v>
      </c>
      <c r="V270" s="90">
        <f t="shared" si="258"/>
        <v>0</v>
      </c>
      <c r="W270" s="90">
        <f t="shared" si="259"/>
        <v>0</v>
      </c>
      <c r="X270" s="90">
        <f t="shared" si="260"/>
        <v>0</v>
      </c>
      <c r="Y270" s="90">
        <f t="shared" si="261"/>
        <v>0</v>
      </c>
      <c r="Z270" s="90">
        <f t="shared" si="262"/>
        <v>0</v>
      </c>
      <c r="AA270" s="90">
        <f t="shared" si="263"/>
        <v>0</v>
      </c>
      <c r="AB270" s="90">
        <f t="shared" si="264"/>
        <v>0</v>
      </c>
      <c r="AC270" s="90">
        <f t="shared" si="265"/>
        <v>0</v>
      </c>
      <c r="AD270" s="90">
        <f t="shared" si="266"/>
        <v>0</v>
      </c>
      <c r="AE270" s="90"/>
      <c r="AF270" s="90">
        <f t="shared" si="267"/>
        <v>0</v>
      </c>
      <c r="AG270" s="90"/>
      <c r="AH270" s="90">
        <f t="shared" si="268"/>
        <v>0</v>
      </c>
      <c r="AI270" s="90"/>
      <c r="AJ270" s="90">
        <f t="shared" si="269"/>
        <v>0</v>
      </c>
      <c r="AK270" s="90">
        <f t="shared" si="270"/>
        <v>1421212</v>
      </c>
      <c r="AL270" s="87" t="str">
        <f t="shared" ref="AL270:AL276" si="271">IF(ABS(AK270-F270)&lt;1,"ok","err")</f>
        <v>ok</v>
      </c>
    </row>
    <row r="271" spans="1:38" x14ac:dyDescent="0.5">
      <c r="A271" s="86">
        <v>593</v>
      </c>
      <c r="B271" s="86" t="s">
        <v>362</v>
      </c>
      <c r="C271" s="86" t="s">
        <v>363</v>
      </c>
      <c r="D271" s="315" t="s">
        <v>116</v>
      </c>
      <c r="E271" s="312"/>
      <c r="F271" s="90">
        <f>'Jurisdictional Study'!F1074</f>
        <v>28071515</v>
      </c>
      <c r="H271" s="90">
        <f t="shared" si="246"/>
        <v>0</v>
      </c>
      <c r="I271" s="90">
        <f t="shared" si="247"/>
        <v>0</v>
      </c>
      <c r="J271" s="90">
        <f t="shared" si="248"/>
        <v>0</v>
      </c>
      <c r="K271" s="90">
        <f t="shared" si="249"/>
        <v>0</v>
      </c>
      <c r="L271" s="90">
        <f t="shared" si="250"/>
        <v>0</v>
      </c>
      <c r="M271" s="90">
        <f t="shared" si="251"/>
        <v>0</v>
      </c>
      <c r="N271" s="90"/>
      <c r="O271" s="90">
        <f t="shared" si="252"/>
        <v>0</v>
      </c>
      <c r="P271" s="90">
        <f t="shared" si="253"/>
        <v>0</v>
      </c>
      <c r="Q271" s="90">
        <f t="shared" si="254"/>
        <v>0</v>
      </c>
      <c r="R271" s="90"/>
      <c r="S271" s="90">
        <f t="shared" si="255"/>
        <v>0</v>
      </c>
      <c r="T271" s="90">
        <f t="shared" si="256"/>
        <v>0</v>
      </c>
      <c r="U271" s="90">
        <f t="shared" si="257"/>
        <v>0</v>
      </c>
      <c r="V271" s="90">
        <f t="shared" si="258"/>
        <v>7130572.9698280999</v>
      </c>
      <c r="W271" s="90">
        <f t="shared" si="259"/>
        <v>12671073.711171901</v>
      </c>
      <c r="X271" s="90">
        <f t="shared" si="260"/>
        <v>2977979.5816718992</v>
      </c>
      <c r="Y271" s="90">
        <f t="shared" si="261"/>
        <v>5291888.7373280991</v>
      </c>
      <c r="Z271" s="90">
        <f t="shared" si="262"/>
        <v>0</v>
      </c>
      <c r="AA271" s="90">
        <f t="shared" si="263"/>
        <v>0</v>
      </c>
      <c r="AB271" s="90">
        <f t="shared" si="264"/>
        <v>0</v>
      </c>
      <c r="AC271" s="90">
        <f t="shared" si="265"/>
        <v>0</v>
      </c>
      <c r="AD271" s="90">
        <f t="shared" si="266"/>
        <v>0</v>
      </c>
      <c r="AE271" s="90"/>
      <c r="AF271" s="90">
        <f t="shared" si="267"/>
        <v>0</v>
      </c>
      <c r="AG271" s="90"/>
      <c r="AH271" s="90">
        <f t="shared" si="268"/>
        <v>0</v>
      </c>
      <c r="AI271" s="90"/>
      <c r="AJ271" s="90">
        <f t="shared" si="269"/>
        <v>0</v>
      </c>
      <c r="AK271" s="90">
        <f t="shared" si="270"/>
        <v>28071515</v>
      </c>
      <c r="AL271" s="87" t="str">
        <f t="shared" si="271"/>
        <v>ok</v>
      </c>
    </row>
    <row r="272" spans="1:38" x14ac:dyDescent="0.5">
      <c r="A272" s="86">
        <v>594</v>
      </c>
      <c r="B272" s="86" t="s">
        <v>364</v>
      </c>
      <c r="C272" s="86" t="s">
        <v>365</v>
      </c>
      <c r="D272" s="45" t="s">
        <v>119</v>
      </c>
      <c r="E272" s="45"/>
      <c r="F272" s="90">
        <f>'Jurisdictional Study'!F1075</f>
        <v>483282</v>
      </c>
      <c r="H272" s="90">
        <f t="shared" si="246"/>
        <v>0</v>
      </c>
      <c r="I272" s="90">
        <f t="shared" si="247"/>
        <v>0</v>
      </c>
      <c r="J272" s="90">
        <f t="shared" si="248"/>
        <v>0</v>
      </c>
      <c r="K272" s="90">
        <f t="shared" si="249"/>
        <v>0</v>
      </c>
      <c r="L272" s="90">
        <f t="shared" si="250"/>
        <v>0</v>
      </c>
      <c r="M272" s="90">
        <f t="shared" si="251"/>
        <v>0</v>
      </c>
      <c r="N272" s="90"/>
      <c r="O272" s="90">
        <f t="shared" si="252"/>
        <v>0</v>
      </c>
      <c r="P272" s="90">
        <f t="shared" si="253"/>
        <v>0</v>
      </c>
      <c r="Q272" s="90">
        <f t="shared" si="254"/>
        <v>0</v>
      </c>
      <c r="R272" s="90"/>
      <c r="S272" s="90">
        <f t="shared" si="255"/>
        <v>0</v>
      </c>
      <c r="T272" s="90">
        <f t="shared" si="256"/>
        <v>0</v>
      </c>
      <c r="U272" s="90">
        <f t="shared" si="257"/>
        <v>0</v>
      </c>
      <c r="V272" s="90">
        <f t="shared" si="258"/>
        <v>73459.405275839992</v>
      </c>
      <c r="W272" s="90">
        <f t="shared" si="259"/>
        <v>218974.53292416001</v>
      </c>
      <c r="X272" s="90">
        <f t="shared" si="260"/>
        <v>47941.033124159992</v>
      </c>
      <c r="Y272" s="90">
        <f t="shared" si="261"/>
        <v>142907.02867584</v>
      </c>
      <c r="Z272" s="90">
        <f t="shared" si="262"/>
        <v>0</v>
      </c>
      <c r="AA272" s="90">
        <f t="shared" si="263"/>
        <v>0</v>
      </c>
      <c r="AB272" s="90">
        <f t="shared" si="264"/>
        <v>0</v>
      </c>
      <c r="AC272" s="90">
        <f t="shared" si="265"/>
        <v>0</v>
      </c>
      <c r="AD272" s="90">
        <f t="shared" si="266"/>
        <v>0</v>
      </c>
      <c r="AE272" s="90"/>
      <c r="AF272" s="90">
        <f t="shared" si="267"/>
        <v>0</v>
      </c>
      <c r="AG272" s="90"/>
      <c r="AH272" s="90">
        <f t="shared" si="268"/>
        <v>0</v>
      </c>
      <c r="AI272" s="90"/>
      <c r="AJ272" s="90">
        <f t="shared" si="269"/>
        <v>0</v>
      </c>
      <c r="AK272" s="90">
        <f t="shared" si="270"/>
        <v>483282</v>
      </c>
      <c r="AL272" s="87" t="str">
        <f t="shared" si="271"/>
        <v>ok</v>
      </c>
    </row>
    <row r="273" spans="1:38" x14ac:dyDescent="0.5">
      <c r="A273" s="86">
        <v>595</v>
      </c>
      <c r="B273" s="86" t="s">
        <v>366</v>
      </c>
      <c r="C273" s="86" t="s">
        <v>367</v>
      </c>
      <c r="D273" s="45" t="s">
        <v>120</v>
      </c>
      <c r="E273" s="45"/>
      <c r="F273" s="90">
        <f>'Jurisdictional Study'!F1076</f>
        <v>106084</v>
      </c>
      <c r="H273" s="90">
        <f t="shared" si="246"/>
        <v>0</v>
      </c>
      <c r="I273" s="90">
        <f t="shared" si="247"/>
        <v>0</v>
      </c>
      <c r="J273" s="90">
        <f t="shared" si="248"/>
        <v>0</v>
      </c>
      <c r="K273" s="90">
        <f t="shared" si="249"/>
        <v>0</v>
      </c>
      <c r="L273" s="90">
        <f t="shared" si="250"/>
        <v>0</v>
      </c>
      <c r="M273" s="90">
        <f t="shared" si="251"/>
        <v>0</v>
      </c>
      <c r="N273" s="90"/>
      <c r="O273" s="90">
        <f t="shared" si="252"/>
        <v>0</v>
      </c>
      <c r="P273" s="90">
        <f t="shared" si="253"/>
        <v>0</v>
      </c>
      <c r="Q273" s="90">
        <f t="shared" si="254"/>
        <v>0</v>
      </c>
      <c r="R273" s="90"/>
      <c r="S273" s="90">
        <f t="shared" si="255"/>
        <v>0</v>
      </c>
      <c r="T273" s="90">
        <f t="shared" si="256"/>
        <v>0</v>
      </c>
      <c r="U273" s="90">
        <f t="shared" si="257"/>
        <v>0</v>
      </c>
      <c r="V273" s="90">
        <f t="shared" si="258"/>
        <v>0</v>
      </c>
      <c r="W273" s="90">
        <f t="shared" si="259"/>
        <v>0</v>
      </c>
      <c r="X273" s="90">
        <f t="shared" si="260"/>
        <v>0</v>
      </c>
      <c r="Y273" s="90">
        <f t="shared" si="261"/>
        <v>0</v>
      </c>
      <c r="Z273" s="90">
        <f t="shared" si="262"/>
        <v>57943.213597387032</v>
      </c>
      <c r="AA273" s="90">
        <f t="shared" si="263"/>
        <v>48140.786402612954</v>
      </c>
      <c r="AB273" s="90">
        <f t="shared" si="264"/>
        <v>0</v>
      </c>
      <c r="AC273" s="90">
        <f t="shared" si="265"/>
        <v>0</v>
      </c>
      <c r="AD273" s="90">
        <f t="shared" si="266"/>
        <v>0</v>
      </c>
      <c r="AE273" s="90"/>
      <c r="AF273" s="90">
        <f t="shared" si="267"/>
        <v>0</v>
      </c>
      <c r="AG273" s="90"/>
      <c r="AH273" s="90">
        <f t="shared" si="268"/>
        <v>0</v>
      </c>
      <c r="AI273" s="90"/>
      <c r="AJ273" s="90">
        <f t="shared" si="269"/>
        <v>0</v>
      </c>
      <c r="AK273" s="90">
        <f t="shared" si="270"/>
        <v>106083.99999999999</v>
      </c>
      <c r="AL273" s="87" t="str">
        <f t="shared" si="271"/>
        <v>ok</v>
      </c>
    </row>
    <row r="274" spans="1:38" x14ac:dyDescent="0.5">
      <c r="A274" s="86">
        <v>596</v>
      </c>
      <c r="B274" s="86" t="s">
        <v>460</v>
      </c>
      <c r="C274" s="86" t="s">
        <v>461</v>
      </c>
      <c r="D274" s="45" t="s">
        <v>169</v>
      </c>
      <c r="E274" s="45"/>
      <c r="F274" s="90">
        <f>'Jurisdictional Study'!F1077</f>
        <v>0</v>
      </c>
      <c r="H274" s="90">
        <f t="shared" si="246"/>
        <v>0</v>
      </c>
      <c r="I274" s="90">
        <f t="shared" si="247"/>
        <v>0</v>
      </c>
      <c r="J274" s="90">
        <f t="shared" si="248"/>
        <v>0</v>
      </c>
      <c r="K274" s="90">
        <f t="shared" si="249"/>
        <v>0</v>
      </c>
      <c r="L274" s="90">
        <f t="shared" si="250"/>
        <v>0</v>
      </c>
      <c r="M274" s="90">
        <f t="shared" si="251"/>
        <v>0</v>
      </c>
      <c r="N274" s="90"/>
      <c r="O274" s="90">
        <f t="shared" si="252"/>
        <v>0</v>
      </c>
      <c r="P274" s="90">
        <f t="shared" si="253"/>
        <v>0</v>
      </c>
      <c r="Q274" s="90">
        <f t="shared" si="254"/>
        <v>0</v>
      </c>
      <c r="R274" s="90"/>
      <c r="S274" s="90">
        <f t="shared" si="255"/>
        <v>0</v>
      </c>
      <c r="T274" s="90">
        <f t="shared" si="256"/>
        <v>0</v>
      </c>
      <c r="U274" s="90">
        <f t="shared" si="257"/>
        <v>0</v>
      </c>
      <c r="V274" s="90">
        <f t="shared" si="258"/>
        <v>0</v>
      </c>
      <c r="W274" s="90">
        <f t="shared" si="259"/>
        <v>0</v>
      </c>
      <c r="X274" s="90">
        <f t="shared" si="260"/>
        <v>0</v>
      </c>
      <c r="Y274" s="90">
        <f t="shared" si="261"/>
        <v>0</v>
      </c>
      <c r="Z274" s="90">
        <f t="shared" si="262"/>
        <v>0</v>
      </c>
      <c r="AA274" s="90">
        <f t="shared" si="263"/>
        <v>0</v>
      </c>
      <c r="AB274" s="90">
        <f t="shared" si="264"/>
        <v>0</v>
      </c>
      <c r="AC274" s="90">
        <f t="shared" si="265"/>
        <v>0</v>
      </c>
      <c r="AD274" s="90">
        <f t="shared" si="266"/>
        <v>0</v>
      </c>
      <c r="AE274" s="90"/>
      <c r="AF274" s="90">
        <f t="shared" si="267"/>
        <v>0</v>
      </c>
      <c r="AG274" s="90"/>
      <c r="AH274" s="90">
        <f t="shared" si="268"/>
        <v>0</v>
      </c>
      <c r="AI274" s="90"/>
      <c r="AJ274" s="90">
        <f t="shared" si="269"/>
        <v>0</v>
      </c>
      <c r="AK274" s="90">
        <f t="shared" si="270"/>
        <v>0</v>
      </c>
      <c r="AL274" s="87" t="str">
        <f t="shared" si="271"/>
        <v>ok</v>
      </c>
    </row>
    <row r="275" spans="1:38" x14ac:dyDescent="0.5">
      <c r="A275" s="86">
        <v>597</v>
      </c>
      <c r="B275" s="86" t="s">
        <v>368</v>
      </c>
      <c r="C275" s="86" t="s">
        <v>369</v>
      </c>
      <c r="D275" s="45" t="s">
        <v>166</v>
      </c>
      <c r="E275" s="45"/>
      <c r="F275" s="90">
        <f>'Jurisdictional Study'!F1078</f>
        <v>28</v>
      </c>
      <c r="H275" s="90">
        <f t="shared" si="246"/>
        <v>0</v>
      </c>
      <c r="I275" s="90">
        <f t="shared" si="247"/>
        <v>0</v>
      </c>
      <c r="J275" s="90">
        <f t="shared" si="248"/>
        <v>0</v>
      </c>
      <c r="K275" s="90">
        <f t="shared" si="249"/>
        <v>0</v>
      </c>
      <c r="L275" s="90">
        <f t="shared" si="250"/>
        <v>0</v>
      </c>
      <c r="M275" s="90">
        <f t="shared" si="251"/>
        <v>0</v>
      </c>
      <c r="N275" s="90"/>
      <c r="O275" s="90">
        <f t="shared" si="252"/>
        <v>0</v>
      </c>
      <c r="P275" s="90">
        <f t="shared" si="253"/>
        <v>0</v>
      </c>
      <c r="Q275" s="90">
        <f t="shared" si="254"/>
        <v>0</v>
      </c>
      <c r="R275" s="90"/>
      <c r="S275" s="90">
        <f t="shared" si="255"/>
        <v>0</v>
      </c>
      <c r="T275" s="90">
        <f t="shared" si="256"/>
        <v>0</v>
      </c>
      <c r="U275" s="90">
        <f t="shared" si="257"/>
        <v>0</v>
      </c>
      <c r="V275" s="90">
        <f t="shared" si="258"/>
        <v>0</v>
      </c>
      <c r="W275" s="90">
        <f t="shared" si="259"/>
        <v>0</v>
      </c>
      <c r="X275" s="90">
        <f t="shared" si="260"/>
        <v>0</v>
      </c>
      <c r="Y275" s="90">
        <f t="shared" si="261"/>
        <v>0</v>
      </c>
      <c r="Z275" s="90">
        <f t="shared" si="262"/>
        <v>0</v>
      </c>
      <c r="AA275" s="90">
        <f t="shared" si="263"/>
        <v>0</v>
      </c>
      <c r="AB275" s="90">
        <f t="shared" si="264"/>
        <v>0</v>
      </c>
      <c r="AC275" s="90">
        <f t="shared" si="265"/>
        <v>28</v>
      </c>
      <c r="AD275" s="90">
        <f t="shared" si="266"/>
        <v>0</v>
      </c>
      <c r="AE275" s="90"/>
      <c r="AF275" s="90">
        <f t="shared" si="267"/>
        <v>0</v>
      </c>
      <c r="AG275" s="90"/>
      <c r="AH275" s="90">
        <f t="shared" si="268"/>
        <v>0</v>
      </c>
      <c r="AI275" s="90"/>
      <c r="AJ275" s="90">
        <f t="shared" si="269"/>
        <v>0</v>
      </c>
      <c r="AK275" s="90">
        <f t="shared" si="270"/>
        <v>28</v>
      </c>
      <c r="AL275" s="87" t="str">
        <f t="shared" si="271"/>
        <v>ok</v>
      </c>
    </row>
    <row r="276" spans="1:38" x14ac:dyDescent="0.5">
      <c r="A276" s="86">
        <v>598</v>
      </c>
      <c r="B276" s="86" t="s">
        <v>1549</v>
      </c>
      <c r="C276" s="86" t="s">
        <v>1550</v>
      </c>
      <c r="D276" s="45" t="s">
        <v>109</v>
      </c>
      <c r="E276" s="45"/>
      <c r="F276" s="90">
        <f>'Jurisdictional Study'!F1079</f>
        <v>584150</v>
      </c>
      <c r="H276" s="90">
        <f t="shared" si="246"/>
        <v>0</v>
      </c>
      <c r="I276" s="90">
        <f t="shared" si="247"/>
        <v>0</v>
      </c>
      <c r="J276" s="90">
        <f t="shared" si="248"/>
        <v>0</v>
      </c>
      <c r="K276" s="90">
        <f t="shared" si="249"/>
        <v>0</v>
      </c>
      <c r="L276" s="90">
        <f t="shared" si="250"/>
        <v>0</v>
      </c>
      <c r="M276" s="90">
        <f t="shared" si="251"/>
        <v>0</v>
      </c>
      <c r="N276" s="90"/>
      <c r="O276" s="90">
        <f t="shared" si="252"/>
        <v>0</v>
      </c>
      <c r="P276" s="90">
        <f t="shared" si="253"/>
        <v>0</v>
      </c>
      <c r="Q276" s="90">
        <f t="shared" si="254"/>
        <v>0</v>
      </c>
      <c r="R276" s="90"/>
      <c r="S276" s="90">
        <f t="shared" si="255"/>
        <v>0</v>
      </c>
      <c r="T276" s="90">
        <f t="shared" si="256"/>
        <v>91565.279810916472</v>
      </c>
      <c r="U276" s="90">
        <f t="shared" si="257"/>
        <v>0</v>
      </c>
      <c r="V276" s="90">
        <f t="shared" si="258"/>
        <v>72826.749910642175</v>
      </c>
      <c r="W276" s="90">
        <f t="shared" si="259"/>
        <v>141558.09890636444</v>
      </c>
      <c r="X276" s="90">
        <f t="shared" si="260"/>
        <v>32785.488656772228</v>
      </c>
      <c r="Y276" s="90">
        <f t="shared" si="261"/>
        <v>66185.758525667698</v>
      </c>
      <c r="Z276" s="90">
        <f t="shared" si="262"/>
        <v>47792.531401033069</v>
      </c>
      <c r="AA276" s="90">
        <f t="shared" si="263"/>
        <v>39707.325551599373</v>
      </c>
      <c r="AB276" s="90">
        <f t="shared" si="264"/>
        <v>33478.32422077447</v>
      </c>
      <c r="AC276" s="90">
        <f t="shared" si="265"/>
        <v>19910.858421895711</v>
      </c>
      <c r="AD276" s="90">
        <f t="shared" si="266"/>
        <v>38339.584594334345</v>
      </c>
      <c r="AE276" s="90"/>
      <c r="AF276" s="90">
        <f t="shared" si="267"/>
        <v>0</v>
      </c>
      <c r="AG276" s="90"/>
      <c r="AH276" s="90">
        <f t="shared" si="268"/>
        <v>0</v>
      </c>
      <c r="AI276" s="90"/>
      <c r="AJ276" s="90">
        <f t="shared" si="269"/>
        <v>0</v>
      </c>
      <c r="AK276" s="90">
        <f t="shared" si="270"/>
        <v>584150.00000000012</v>
      </c>
      <c r="AL276" s="87" t="str">
        <f t="shared" si="271"/>
        <v>ok</v>
      </c>
    </row>
    <row r="277" spans="1:38" x14ac:dyDescent="0.5">
      <c r="D277" s="45"/>
      <c r="E277" s="45"/>
      <c r="F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87"/>
    </row>
    <row r="278" spans="1:38" x14ac:dyDescent="0.5">
      <c r="A278" s="86" t="s">
        <v>370</v>
      </c>
      <c r="C278" s="86" t="s">
        <v>288</v>
      </c>
      <c r="D278" s="45"/>
      <c r="E278" s="45"/>
      <c r="F278" s="89">
        <f t="shared" ref="F278:M278" si="272">SUM(F268:F277)</f>
        <v>30717186</v>
      </c>
      <c r="G278" s="89">
        <f t="shared" si="272"/>
        <v>0</v>
      </c>
      <c r="H278" s="89">
        <f t="shared" si="272"/>
        <v>0</v>
      </c>
      <c r="I278" s="89">
        <f t="shared" si="272"/>
        <v>0</v>
      </c>
      <c r="J278" s="89">
        <f t="shared" si="272"/>
        <v>0</v>
      </c>
      <c r="K278" s="89">
        <f t="shared" si="272"/>
        <v>0</v>
      </c>
      <c r="L278" s="89">
        <f t="shared" si="272"/>
        <v>0</v>
      </c>
      <c r="M278" s="89">
        <f t="shared" si="272"/>
        <v>0</v>
      </c>
      <c r="N278" s="89"/>
      <c r="O278" s="89">
        <f>SUM(O268:O277)</f>
        <v>0</v>
      </c>
      <c r="P278" s="89">
        <f>SUM(P268:P277)</f>
        <v>0</v>
      </c>
      <c r="Q278" s="89">
        <f>SUM(Q268:Q277)</f>
        <v>0</v>
      </c>
      <c r="R278" s="89"/>
      <c r="S278" s="89">
        <f t="shared" ref="S278:AD278" si="273">SUM(S268:S277)</f>
        <v>0</v>
      </c>
      <c r="T278" s="89">
        <f t="shared" si="273"/>
        <v>1517057.3577785755</v>
      </c>
      <c r="U278" s="89">
        <f t="shared" si="273"/>
        <v>0</v>
      </c>
      <c r="V278" s="89">
        <f t="shared" si="273"/>
        <v>7288435.2146467753</v>
      </c>
      <c r="W278" s="89">
        <f t="shared" si="273"/>
        <v>13052490.587444313</v>
      </c>
      <c r="X278" s="89">
        <f t="shared" si="273"/>
        <v>3063601.8715857021</v>
      </c>
      <c r="Y278" s="89">
        <f t="shared" si="273"/>
        <v>5509885.9053451847</v>
      </c>
      <c r="Z278" s="89">
        <f t="shared" si="273"/>
        <v>105938.17717854894</v>
      </c>
      <c r="AA278" s="89">
        <f t="shared" si="273"/>
        <v>88016.298075408704</v>
      </c>
      <c r="AB278" s="89">
        <f t="shared" si="273"/>
        <v>33479.718667918605</v>
      </c>
      <c r="AC278" s="89">
        <f t="shared" si="273"/>
        <v>19939.68775371891</v>
      </c>
      <c r="AD278" s="89">
        <f t="shared" si="273"/>
        <v>38341.181523854837</v>
      </c>
      <c r="AE278" s="89"/>
      <c r="AF278" s="89">
        <f>SUM(AF268:AF277)</f>
        <v>0</v>
      </c>
      <c r="AG278" s="89"/>
      <c r="AH278" s="89">
        <f>SUM(AH268:AH277)</f>
        <v>0</v>
      </c>
      <c r="AI278" s="89"/>
      <c r="AJ278" s="89">
        <f>SUM(AJ268:AJ277)</f>
        <v>0</v>
      </c>
      <c r="AK278" s="90">
        <f>SUM(H278:AJ278)</f>
        <v>30717185.999999996</v>
      </c>
      <c r="AL278" s="87" t="str">
        <f>IF(ABS(AK278-F278)&lt;1,"ok","err")</f>
        <v>ok</v>
      </c>
    </row>
    <row r="279" spans="1:38" x14ac:dyDescent="0.5">
      <c r="D279" s="45"/>
      <c r="E279" s="45"/>
      <c r="F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L279" s="87"/>
    </row>
    <row r="280" spans="1:38" x14ac:dyDescent="0.5">
      <c r="A280" s="86" t="s">
        <v>462</v>
      </c>
      <c r="D280" s="45"/>
      <c r="E280" s="45"/>
      <c r="F280" s="90">
        <f t="shared" ref="F280:M280" si="274">F263+F278</f>
        <v>60130493</v>
      </c>
      <c r="G280" s="90">
        <f t="shared" si="274"/>
        <v>0</v>
      </c>
      <c r="H280" s="90">
        <f t="shared" si="274"/>
        <v>0</v>
      </c>
      <c r="I280" s="90">
        <f t="shared" si="274"/>
        <v>0</v>
      </c>
      <c r="J280" s="90">
        <f t="shared" si="274"/>
        <v>0</v>
      </c>
      <c r="K280" s="90">
        <f t="shared" si="274"/>
        <v>0</v>
      </c>
      <c r="L280" s="90">
        <f t="shared" si="274"/>
        <v>0</v>
      </c>
      <c r="M280" s="90">
        <f t="shared" si="274"/>
        <v>0</v>
      </c>
      <c r="N280" s="90"/>
      <c r="O280" s="90">
        <f>O263+O278</f>
        <v>0</v>
      </c>
      <c r="P280" s="90">
        <f>P263+P278</f>
        <v>0</v>
      </c>
      <c r="Q280" s="90">
        <f>Q263+Q278</f>
        <v>0</v>
      </c>
      <c r="R280" s="90"/>
      <c r="S280" s="90">
        <f t="shared" ref="S280:AD280" si="275">S263+S278</f>
        <v>0</v>
      </c>
      <c r="T280" s="90">
        <f t="shared" si="275"/>
        <v>5815129.030362173</v>
      </c>
      <c r="U280" s="90">
        <f t="shared" si="275"/>
        <v>0</v>
      </c>
      <c r="V280" s="90">
        <f t="shared" si="275"/>
        <v>10205425.446417486</v>
      </c>
      <c r="W280" s="90">
        <f t="shared" si="275"/>
        <v>18430549.778687064</v>
      </c>
      <c r="X280" s="90">
        <f t="shared" si="275"/>
        <v>4319813.8295690697</v>
      </c>
      <c r="Y280" s="90">
        <f t="shared" si="275"/>
        <v>7869148.9768814836</v>
      </c>
      <c r="Z280" s="90">
        <f t="shared" si="275"/>
        <v>838347.07877957076</v>
      </c>
      <c r="AA280" s="90">
        <f t="shared" si="275"/>
        <v>696521.38956617774</v>
      </c>
      <c r="AB280" s="90">
        <f t="shared" si="275"/>
        <v>546526.88213016407</v>
      </c>
      <c r="AC280" s="90">
        <f t="shared" si="275"/>
        <v>10783144.611584609</v>
      </c>
      <c r="AD280" s="90">
        <f t="shared" si="275"/>
        <v>625885.97602220403</v>
      </c>
      <c r="AE280" s="90"/>
      <c r="AF280" s="90">
        <f>AF263+AF278</f>
        <v>0</v>
      </c>
      <c r="AG280" s="90"/>
      <c r="AH280" s="90">
        <f>AH263+AH278</f>
        <v>0</v>
      </c>
      <c r="AI280" s="90"/>
      <c r="AJ280" s="90">
        <f>AJ263+AJ278</f>
        <v>0</v>
      </c>
      <c r="AK280" s="90">
        <f>SUM(H280:AJ280)</f>
        <v>60130493</v>
      </c>
      <c r="AL280" s="87" t="str">
        <f>IF(ABS(AK280-F280)&lt;1,"ok","err")</f>
        <v>ok</v>
      </c>
    </row>
    <row r="281" spans="1:38" x14ac:dyDescent="0.5">
      <c r="D281" s="45"/>
      <c r="E281" s="45"/>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L281" s="87"/>
    </row>
    <row r="282" spans="1:38" x14ac:dyDescent="0.5">
      <c r="A282" s="86" t="s">
        <v>463</v>
      </c>
      <c r="D282" s="322"/>
      <c r="E282" s="45"/>
      <c r="F282" s="90">
        <f t="shared" ref="F282:M282" si="276">F280+F247</f>
        <v>108847827</v>
      </c>
      <c r="G282" s="90">
        <f t="shared" si="276"/>
        <v>0</v>
      </c>
      <c r="H282" s="90">
        <f t="shared" si="276"/>
        <v>0</v>
      </c>
      <c r="I282" s="90">
        <f t="shared" si="276"/>
        <v>0</v>
      </c>
      <c r="J282" s="90">
        <f t="shared" si="276"/>
        <v>0</v>
      </c>
      <c r="K282" s="90">
        <f t="shared" si="276"/>
        <v>0</v>
      </c>
      <c r="L282" s="90">
        <f t="shared" si="276"/>
        <v>0</v>
      </c>
      <c r="M282" s="90">
        <f t="shared" si="276"/>
        <v>0</v>
      </c>
      <c r="N282" s="90"/>
      <c r="O282" s="90">
        <f>O280+O247</f>
        <v>48717334</v>
      </c>
      <c r="P282" s="90">
        <f>P280+P247</f>
        <v>0</v>
      </c>
      <c r="Q282" s="90">
        <f>Q280+Q247</f>
        <v>0</v>
      </c>
      <c r="R282" s="90"/>
      <c r="S282" s="90">
        <f t="shared" ref="S282:AD282" si="277">S280+S247</f>
        <v>0</v>
      </c>
      <c r="T282" s="90">
        <f t="shared" si="277"/>
        <v>5815129.030362173</v>
      </c>
      <c r="U282" s="90">
        <f t="shared" si="277"/>
        <v>0</v>
      </c>
      <c r="V282" s="90">
        <f t="shared" si="277"/>
        <v>10205425.446417486</v>
      </c>
      <c r="W282" s="90">
        <f t="shared" si="277"/>
        <v>18430549.778687064</v>
      </c>
      <c r="X282" s="90">
        <f t="shared" si="277"/>
        <v>4319813.8295690697</v>
      </c>
      <c r="Y282" s="90">
        <f t="shared" si="277"/>
        <v>7869148.9768814836</v>
      </c>
      <c r="Z282" s="90">
        <f t="shared" si="277"/>
        <v>838347.07877957076</v>
      </c>
      <c r="AA282" s="90">
        <f t="shared" si="277"/>
        <v>696521.38956617774</v>
      </c>
      <c r="AB282" s="90">
        <f t="shared" si="277"/>
        <v>546526.88213016407</v>
      </c>
      <c r="AC282" s="90">
        <f t="shared" si="277"/>
        <v>10783144.611584609</v>
      </c>
      <c r="AD282" s="90">
        <f t="shared" si="277"/>
        <v>625885.97602220403</v>
      </c>
      <c r="AE282" s="90"/>
      <c r="AF282" s="90">
        <f>AF280+AF247</f>
        <v>0</v>
      </c>
      <c r="AG282" s="90"/>
      <c r="AH282" s="90">
        <f>AH280+AH247</f>
        <v>0</v>
      </c>
      <c r="AI282" s="90"/>
      <c r="AJ282" s="90">
        <f>AJ280+AJ247</f>
        <v>0</v>
      </c>
      <c r="AK282" s="90">
        <f>SUM(H282:AJ282)</f>
        <v>108847827</v>
      </c>
      <c r="AL282" s="87" t="str">
        <f>IF(ABS(AK282-F282)&lt;1,"ok","err")</f>
        <v>ok</v>
      </c>
    </row>
    <row r="283" spans="1:38" x14ac:dyDescent="0.5">
      <c r="D283" s="322"/>
      <c r="E283" s="45"/>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L283" s="87"/>
    </row>
    <row r="284" spans="1:38" x14ac:dyDescent="0.5">
      <c r="A284" s="86" t="s">
        <v>1552</v>
      </c>
      <c r="C284" s="86" t="s">
        <v>289</v>
      </c>
      <c r="D284" s="322"/>
      <c r="E284" s="45"/>
      <c r="F284" s="89">
        <f>F227+F247+F280</f>
        <v>734291073</v>
      </c>
      <c r="G284" s="89">
        <f>G282+G225</f>
        <v>0</v>
      </c>
      <c r="H284" s="89">
        <f t="shared" ref="H284:M284" si="278">H227+H247+H280</f>
        <v>92041414.645440906</v>
      </c>
      <c r="I284" s="89">
        <f t="shared" si="278"/>
        <v>0</v>
      </c>
      <c r="J284" s="89">
        <f t="shared" si="278"/>
        <v>0</v>
      </c>
      <c r="K284" s="89">
        <f t="shared" si="278"/>
        <v>533401831.35455906</v>
      </c>
      <c r="L284" s="89">
        <f t="shared" si="278"/>
        <v>0</v>
      </c>
      <c r="M284" s="89">
        <f t="shared" si="278"/>
        <v>0</v>
      </c>
      <c r="N284" s="89"/>
      <c r="O284" s="89">
        <f>O227+O247+O280</f>
        <v>48717334</v>
      </c>
      <c r="P284" s="89">
        <f>P227+P247+P280</f>
        <v>0</v>
      </c>
      <c r="Q284" s="89">
        <f>Q227+Q247+Q280</f>
        <v>0</v>
      </c>
      <c r="R284" s="89"/>
      <c r="S284" s="89">
        <f t="shared" ref="S284:AD284" si="279">S227+S247+S280</f>
        <v>0</v>
      </c>
      <c r="T284" s="89">
        <f t="shared" si="279"/>
        <v>5815129.030362173</v>
      </c>
      <c r="U284" s="89">
        <f t="shared" si="279"/>
        <v>0</v>
      </c>
      <c r="V284" s="89">
        <f t="shared" si="279"/>
        <v>10205425.446417486</v>
      </c>
      <c r="W284" s="89">
        <f t="shared" si="279"/>
        <v>18430549.778687064</v>
      </c>
      <c r="X284" s="89">
        <f t="shared" si="279"/>
        <v>4319813.8295690697</v>
      </c>
      <c r="Y284" s="89">
        <f t="shared" si="279"/>
        <v>7869148.9768814836</v>
      </c>
      <c r="Z284" s="89">
        <f t="shared" si="279"/>
        <v>838347.07877957076</v>
      </c>
      <c r="AA284" s="89">
        <f t="shared" si="279"/>
        <v>696521.38956617774</v>
      </c>
      <c r="AB284" s="89">
        <f t="shared" si="279"/>
        <v>546526.88213016407</v>
      </c>
      <c r="AC284" s="89">
        <f t="shared" si="279"/>
        <v>10783144.611584609</v>
      </c>
      <c r="AD284" s="89">
        <f t="shared" si="279"/>
        <v>625885.97602220403</v>
      </c>
      <c r="AE284" s="89"/>
      <c r="AF284" s="89">
        <f>AF227+AF247+AF280</f>
        <v>0</v>
      </c>
      <c r="AG284" s="89"/>
      <c r="AH284" s="89">
        <f>AH227+AH247+AH280</f>
        <v>0</v>
      </c>
      <c r="AI284" s="89"/>
      <c r="AJ284" s="89">
        <f>AJ227+AJ247+AJ280</f>
        <v>0</v>
      </c>
      <c r="AK284" s="90">
        <f>SUM(H284:AJ284)</f>
        <v>734291073.00000012</v>
      </c>
      <c r="AL284" s="87" t="str">
        <f>IF(ABS(AK284-F284)&lt;1,"ok","err")</f>
        <v>ok</v>
      </c>
    </row>
    <row r="285" spans="1:38" x14ac:dyDescent="0.5">
      <c r="A285" s="23"/>
      <c r="D285" s="322"/>
      <c r="E285" s="45"/>
      <c r="F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L285" s="87"/>
    </row>
    <row r="286" spans="1:38" x14ac:dyDescent="0.5">
      <c r="A286" s="23" t="s">
        <v>292</v>
      </c>
      <c r="D286" s="322"/>
      <c r="E286" s="45"/>
      <c r="F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L286" s="87"/>
    </row>
    <row r="287" spans="1:38" x14ac:dyDescent="0.5">
      <c r="A287" s="86">
        <v>901</v>
      </c>
      <c r="B287" s="86" t="s">
        <v>293</v>
      </c>
      <c r="C287" s="86" t="s">
        <v>294</v>
      </c>
      <c r="D287" s="322" t="s">
        <v>714</v>
      </c>
      <c r="E287" s="45"/>
      <c r="F287" s="89">
        <f>'Jurisdictional Study'!F1088</f>
        <v>4235757</v>
      </c>
      <c r="H287" s="90">
        <f>IF(VLOOKUP($D287,$C$5:$AJ$596,6,)=0,0,((VLOOKUP($D287,$C$5:$AJ$596,6,)/VLOOKUP($D287,$C$5:$AJ$596,4,))*$F287))</f>
        <v>0</v>
      </c>
      <c r="I287" s="90">
        <f>IF(VLOOKUP($D287,$C$5:$AJ$596,7,)=0,0,((VLOOKUP($D287,$C$5:$AJ$596,7,)/VLOOKUP($D287,$C$5:$AJ$596,4,))*$F287))</f>
        <v>0</v>
      </c>
      <c r="J287" s="90">
        <f>IF(VLOOKUP($D287,$C$5:$AJ$596,8,)=0,0,((VLOOKUP($D287,$C$5:$AJ$596,8,)/VLOOKUP($D287,$C$5:$AJ$596,4,))*$F287))</f>
        <v>0</v>
      </c>
      <c r="K287" s="90">
        <f>IF(VLOOKUP($D287,$C$5:$AJ$596,9,)=0,0,((VLOOKUP($D287,$C$5:$AJ$596,9,)/VLOOKUP($D287,$C$5:$AJ$596,4,))*$F287))</f>
        <v>0</v>
      </c>
      <c r="L287" s="90">
        <f>IF(VLOOKUP($D287,$C$5:$AJ$596,10,)=0,0,((VLOOKUP($D287,$C$5:$AJ$596,10,)/VLOOKUP($D287,$C$5:$AJ$596,4,))*$F287))</f>
        <v>0</v>
      </c>
      <c r="M287" s="90">
        <f>IF(VLOOKUP($D287,$C$5:$AJ$596,11,)=0,0,((VLOOKUP($D287,$C$5:$AJ$596,11,)/VLOOKUP($D287,$C$5:$AJ$596,4,))*$F287))</f>
        <v>0</v>
      </c>
      <c r="N287" s="90"/>
      <c r="O287" s="90">
        <f>IF(VLOOKUP($D287,$C$5:$AJ$596,13,)=0,0,((VLOOKUP($D287,$C$5:$AJ$596,13,)/VLOOKUP($D287,$C$5:$AJ$596,4,))*$F287))</f>
        <v>0</v>
      </c>
      <c r="P287" s="90">
        <f>IF(VLOOKUP($D287,$C$5:$AJ$596,14,)=0,0,((VLOOKUP($D287,$C$5:$AJ$596,14,)/VLOOKUP($D287,$C$5:$AJ$596,4,))*$F287))</f>
        <v>0</v>
      </c>
      <c r="Q287" s="90">
        <f>IF(VLOOKUP($D287,$C$5:$AJ$596,15,)=0,0,((VLOOKUP($D287,$C$5:$AJ$596,15,)/VLOOKUP($D287,$C$5:$AJ$596,4,))*$F287))</f>
        <v>0</v>
      </c>
      <c r="R287" s="90"/>
      <c r="S287" s="90">
        <f>IF(VLOOKUP($D287,$C$5:$AJ$596,17,)=0,0,((VLOOKUP($D287,$C$5:$AJ$596,17,)/VLOOKUP($D287,$C$5:$AJ$596,4,))*$F287))</f>
        <v>0</v>
      </c>
      <c r="T287" s="90">
        <f>IF(VLOOKUP($D287,$C$5:$AJ$596,18,)=0,0,((VLOOKUP($D287,$C$5:$AJ$596,18,)/VLOOKUP($D287,$C$5:$AJ$596,4,))*$F287))</f>
        <v>0</v>
      </c>
      <c r="U287" s="90">
        <f>IF(VLOOKUP($D287,$C$5:$AJ$596,19,)=0,0,((VLOOKUP($D287,$C$5:$AJ$596,19,)/VLOOKUP($D287,$C$5:$AJ$596,4,))*$F287))</f>
        <v>0</v>
      </c>
      <c r="V287" s="90">
        <f>IF(VLOOKUP($D287,$C$5:$AJ$596,20,)=0,0,((VLOOKUP($D287,$C$5:$AJ$596,20,)/VLOOKUP($D287,$C$5:$AJ$596,4,))*$F287))</f>
        <v>0</v>
      </c>
      <c r="W287" s="90">
        <f>IF(VLOOKUP($D287,$C$5:$AJ$596,21,)=0,0,((VLOOKUP($D287,$C$5:$AJ$596,21,)/VLOOKUP($D287,$C$5:$AJ$596,4,))*$F287))</f>
        <v>0</v>
      </c>
      <c r="X287" s="90">
        <f>IF(VLOOKUP($D287,$C$5:$AJ$596,22,)=0,0,((VLOOKUP($D287,$C$5:$AJ$596,22,)/VLOOKUP($D287,$C$5:$AJ$596,4,))*$F287))</f>
        <v>0</v>
      </c>
      <c r="Y287" s="90">
        <f>IF(VLOOKUP($D287,$C$5:$AJ$596,23,)=0,0,((VLOOKUP($D287,$C$5:$AJ$596,23,)/VLOOKUP($D287,$C$5:$AJ$596,4,))*$F287))</f>
        <v>0</v>
      </c>
      <c r="Z287" s="90">
        <f>IF(VLOOKUP($D287,$C$5:$AJ$596,24,)=0,0,((VLOOKUP($D287,$C$5:$AJ$596,24,)/VLOOKUP($D287,$C$5:$AJ$596,4,))*$F287))</f>
        <v>0</v>
      </c>
      <c r="AA287" s="90">
        <f>IF(VLOOKUP($D287,$C$5:$AJ$596,25,)=0,0,((VLOOKUP($D287,$C$5:$AJ$596,25,)/VLOOKUP($D287,$C$5:$AJ$596,4,))*$F287))</f>
        <v>0</v>
      </c>
      <c r="AB287" s="90">
        <f>IF(VLOOKUP($D287,$C$5:$AJ$596,26,)=0,0,((VLOOKUP($D287,$C$5:$AJ$596,26,)/VLOOKUP($D287,$C$5:$AJ$596,4,))*$F287))</f>
        <v>0</v>
      </c>
      <c r="AC287" s="90">
        <f>IF(VLOOKUP($D287,$C$5:$AJ$596,27,)=0,0,((VLOOKUP($D287,$C$5:$AJ$596,27,)/VLOOKUP($D287,$C$5:$AJ$596,4,))*$F287))</f>
        <v>0</v>
      </c>
      <c r="AD287" s="90">
        <f>IF(VLOOKUP($D287,$C$5:$AJ$596,28,)=0,0,((VLOOKUP($D287,$C$5:$AJ$596,28,)/VLOOKUP($D287,$C$5:$AJ$596,4,))*$F287))</f>
        <v>0</v>
      </c>
      <c r="AE287" s="90"/>
      <c r="AF287" s="90">
        <f>IF(VLOOKUP($D287,$C$5:$AJ$596,30,)=0,0,((VLOOKUP($D287,$C$5:$AJ$596,30,)/VLOOKUP($D287,$C$5:$AJ$596,4,))*$F287))</f>
        <v>4235757</v>
      </c>
      <c r="AG287" s="90"/>
      <c r="AH287" s="90">
        <f>IF(VLOOKUP($D287,$C$5:$AJ$596,32,)=0,0,((VLOOKUP($D287,$C$5:$AJ$596,32,)/VLOOKUP($D287,$C$5:$AJ$596,4,))*$F287))</f>
        <v>0</v>
      </c>
      <c r="AI287" s="90"/>
      <c r="AJ287" s="90">
        <f>IF(VLOOKUP($D287,$C$5:$AJ$596,34,)=0,0,((VLOOKUP($D287,$C$5:$AJ$596,34,)/VLOOKUP($D287,$C$5:$AJ$596,4,))*$F287))</f>
        <v>0</v>
      </c>
      <c r="AK287" s="90">
        <f>SUM(H287:AJ287)</f>
        <v>4235757</v>
      </c>
      <c r="AL287" s="87" t="str">
        <f>IF(ABS(AK287-F287)&lt;1,"ok","err")</f>
        <v>ok</v>
      </c>
    </row>
    <row r="288" spans="1:38" x14ac:dyDescent="0.5">
      <c r="A288" s="86">
        <v>902</v>
      </c>
      <c r="B288" s="86" t="s">
        <v>296</v>
      </c>
      <c r="C288" s="86" t="s">
        <v>297</v>
      </c>
      <c r="D288" s="45" t="s">
        <v>714</v>
      </c>
      <c r="E288" s="45"/>
      <c r="F288" s="90">
        <f>'Jurisdictional Study'!F1089</f>
        <v>9902132</v>
      </c>
      <c r="H288" s="90">
        <f>IF(VLOOKUP($D288,$C$5:$AJ$596,6,)=0,0,((VLOOKUP($D288,$C$5:$AJ$596,6,)/VLOOKUP($D288,$C$5:$AJ$596,4,))*$F288))</f>
        <v>0</v>
      </c>
      <c r="I288" s="90">
        <f>IF(VLOOKUP($D288,$C$5:$AJ$596,7,)=0,0,((VLOOKUP($D288,$C$5:$AJ$596,7,)/VLOOKUP($D288,$C$5:$AJ$596,4,))*$F288))</f>
        <v>0</v>
      </c>
      <c r="J288" s="90">
        <f>IF(VLOOKUP($D288,$C$5:$AJ$596,8,)=0,0,((VLOOKUP($D288,$C$5:$AJ$596,8,)/VLOOKUP($D288,$C$5:$AJ$596,4,))*$F288))</f>
        <v>0</v>
      </c>
      <c r="K288" s="90">
        <f>IF(VLOOKUP($D288,$C$5:$AJ$596,9,)=0,0,((VLOOKUP($D288,$C$5:$AJ$596,9,)/VLOOKUP($D288,$C$5:$AJ$596,4,))*$F288))</f>
        <v>0</v>
      </c>
      <c r="L288" s="90">
        <f>IF(VLOOKUP($D288,$C$5:$AJ$596,10,)=0,0,((VLOOKUP($D288,$C$5:$AJ$596,10,)/VLOOKUP($D288,$C$5:$AJ$596,4,))*$F288))</f>
        <v>0</v>
      </c>
      <c r="M288" s="90">
        <f>IF(VLOOKUP($D288,$C$5:$AJ$596,11,)=0,0,((VLOOKUP($D288,$C$5:$AJ$596,11,)/VLOOKUP($D288,$C$5:$AJ$596,4,))*$F288))</f>
        <v>0</v>
      </c>
      <c r="N288" s="90"/>
      <c r="O288" s="90">
        <f>IF(VLOOKUP($D288,$C$5:$AJ$596,13,)=0,0,((VLOOKUP($D288,$C$5:$AJ$596,13,)/VLOOKUP($D288,$C$5:$AJ$596,4,))*$F288))</f>
        <v>0</v>
      </c>
      <c r="P288" s="90">
        <f>IF(VLOOKUP($D288,$C$5:$AJ$596,14,)=0,0,((VLOOKUP($D288,$C$5:$AJ$596,14,)/VLOOKUP($D288,$C$5:$AJ$596,4,))*$F288))</f>
        <v>0</v>
      </c>
      <c r="Q288" s="90">
        <f>IF(VLOOKUP($D288,$C$5:$AJ$596,15,)=0,0,((VLOOKUP($D288,$C$5:$AJ$596,15,)/VLOOKUP($D288,$C$5:$AJ$596,4,))*$F288))</f>
        <v>0</v>
      </c>
      <c r="R288" s="90"/>
      <c r="S288" s="90">
        <f>IF(VLOOKUP($D288,$C$5:$AJ$596,17,)=0,0,((VLOOKUP($D288,$C$5:$AJ$596,17,)/VLOOKUP($D288,$C$5:$AJ$596,4,))*$F288))</f>
        <v>0</v>
      </c>
      <c r="T288" s="90">
        <f>IF(VLOOKUP($D288,$C$5:$AJ$596,18,)=0,0,((VLOOKUP($D288,$C$5:$AJ$596,18,)/VLOOKUP($D288,$C$5:$AJ$596,4,))*$F288))</f>
        <v>0</v>
      </c>
      <c r="U288" s="90">
        <f>IF(VLOOKUP($D288,$C$5:$AJ$596,19,)=0,0,((VLOOKUP($D288,$C$5:$AJ$596,19,)/VLOOKUP($D288,$C$5:$AJ$596,4,))*$F288))</f>
        <v>0</v>
      </c>
      <c r="V288" s="90">
        <f>IF(VLOOKUP($D288,$C$5:$AJ$596,20,)=0,0,((VLOOKUP($D288,$C$5:$AJ$596,20,)/VLOOKUP($D288,$C$5:$AJ$596,4,))*$F288))</f>
        <v>0</v>
      </c>
      <c r="W288" s="90">
        <f>IF(VLOOKUP($D288,$C$5:$AJ$596,21,)=0,0,((VLOOKUP($D288,$C$5:$AJ$596,21,)/VLOOKUP($D288,$C$5:$AJ$596,4,))*$F288))</f>
        <v>0</v>
      </c>
      <c r="X288" s="90">
        <f>IF(VLOOKUP($D288,$C$5:$AJ$596,22,)=0,0,((VLOOKUP($D288,$C$5:$AJ$596,22,)/VLOOKUP($D288,$C$5:$AJ$596,4,))*$F288))</f>
        <v>0</v>
      </c>
      <c r="Y288" s="90">
        <f>IF(VLOOKUP($D288,$C$5:$AJ$596,23,)=0,0,((VLOOKUP($D288,$C$5:$AJ$596,23,)/VLOOKUP($D288,$C$5:$AJ$596,4,))*$F288))</f>
        <v>0</v>
      </c>
      <c r="Z288" s="90">
        <f>IF(VLOOKUP($D288,$C$5:$AJ$596,24,)=0,0,((VLOOKUP($D288,$C$5:$AJ$596,24,)/VLOOKUP($D288,$C$5:$AJ$596,4,))*$F288))</f>
        <v>0</v>
      </c>
      <c r="AA288" s="90">
        <f>IF(VLOOKUP($D288,$C$5:$AJ$596,25,)=0,0,((VLOOKUP($D288,$C$5:$AJ$596,25,)/VLOOKUP($D288,$C$5:$AJ$596,4,))*$F288))</f>
        <v>0</v>
      </c>
      <c r="AB288" s="90">
        <f>IF(VLOOKUP($D288,$C$5:$AJ$596,26,)=0,0,((VLOOKUP($D288,$C$5:$AJ$596,26,)/VLOOKUP($D288,$C$5:$AJ$596,4,))*$F288))</f>
        <v>0</v>
      </c>
      <c r="AC288" s="90">
        <f>IF(VLOOKUP($D288,$C$5:$AJ$596,27,)=0,0,((VLOOKUP($D288,$C$5:$AJ$596,27,)/VLOOKUP($D288,$C$5:$AJ$596,4,))*$F288))</f>
        <v>0</v>
      </c>
      <c r="AD288" s="90">
        <f>IF(VLOOKUP($D288,$C$5:$AJ$596,28,)=0,0,((VLOOKUP($D288,$C$5:$AJ$596,28,)/VLOOKUP($D288,$C$5:$AJ$596,4,))*$F288))</f>
        <v>0</v>
      </c>
      <c r="AE288" s="90"/>
      <c r="AF288" s="90">
        <f>IF(VLOOKUP($D288,$C$5:$AJ$596,30,)=0,0,((VLOOKUP($D288,$C$5:$AJ$596,30,)/VLOOKUP($D288,$C$5:$AJ$596,4,))*$F288))</f>
        <v>9902132</v>
      </c>
      <c r="AG288" s="90"/>
      <c r="AH288" s="90">
        <f>IF(VLOOKUP($D288,$C$5:$AJ$596,32,)=0,0,((VLOOKUP($D288,$C$5:$AJ$596,32,)/VLOOKUP($D288,$C$5:$AJ$596,4,))*$F288))</f>
        <v>0</v>
      </c>
      <c r="AI288" s="90"/>
      <c r="AJ288" s="90">
        <f>IF(VLOOKUP($D288,$C$5:$AJ$596,34,)=0,0,((VLOOKUP($D288,$C$5:$AJ$596,34,)/VLOOKUP($D288,$C$5:$AJ$596,4,))*$F288))</f>
        <v>0</v>
      </c>
      <c r="AK288" s="90">
        <f>SUM(H288:AJ288)</f>
        <v>9902132</v>
      </c>
      <c r="AL288" s="87" t="str">
        <f>IF(ABS(AK288-F288)&lt;1,"ok","err")</f>
        <v>ok</v>
      </c>
    </row>
    <row r="289" spans="1:38" x14ac:dyDescent="0.5">
      <c r="A289" s="86">
        <v>903</v>
      </c>
      <c r="B289" s="86" t="s">
        <v>1306</v>
      </c>
      <c r="C289" s="86" t="s">
        <v>298</v>
      </c>
      <c r="D289" s="322" t="s">
        <v>714</v>
      </c>
      <c r="E289" s="45"/>
      <c r="F289" s="90">
        <f>'Jurisdictional Study'!F1090</f>
        <v>21487653</v>
      </c>
      <c r="H289" s="90">
        <f>IF(VLOOKUP($D289,$C$5:$AJ$596,6,)=0,0,((VLOOKUP($D289,$C$5:$AJ$596,6,)/VLOOKUP($D289,$C$5:$AJ$596,4,))*$F289))</f>
        <v>0</v>
      </c>
      <c r="I289" s="90">
        <f>IF(VLOOKUP($D289,$C$5:$AJ$596,7,)=0,0,((VLOOKUP($D289,$C$5:$AJ$596,7,)/VLOOKUP($D289,$C$5:$AJ$596,4,))*$F289))</f>
        <v>0</v>
      </c>
      <c r="J289" s="90">
        <f>IF(VLOOKUP($D289,$C$5:$AJ$596,8,)=0,0,((VLOOKUP($D289,$C$5:$AJ$596,8,)/VLOOKUP($D289,$C$5:$AJ$596,4,))*$F289))</f>
        <v>0</v>
      </c>
      <c r="K289" s="90">
        <f>IF(VLOOKUP($D289,$C$5:$AJ$596,9,)=0,0,((VLOOKUP($D289,$C$5:$AJ$596,9,)/VLOOKUP($D289,$C$5:$AJ$596,4,))*$F289))</f>
        <v>0</v>
      </c>
      <c r="L289" s="90">
        <f>IF(VLOOKUP($D289,$C$5:$AJ$596,10,)=0,0,((VLOOKUP($D289,$C$5:$AJ$596,10,)/VLOOKUP($D289,$C$5:$AJ$596,4,))*$F289))</f>
        <v>0</v>
      </c>
      <c r="M289" s="90">
        <f>IF(VLOOKUP($D289,$C$5:$AJ$596,11,)=0,0,((VLOOKUP($D289,$C$5:$AJ$596,11,)/VLOOKUP($D289,$C$5:$AJ$596,4,))*$F289))</f>
        <v>0</v>
      </c>
      <c r="N289" s="90"/>
      <c r="O289" s="90">
        <f>IF(VLOOKUP($D289,$C$5:$AJ$596,13,)=0,0,((VLOOKUP($D289,$C$5:$AJ$596,13,)/VLOOKUP($D289,$C$5:$AJ$596,4,))*$F289))</f>
        <v>0</v>
      </c>
      <c r="P289" s="90">
        <f>IF(VLOOKUP($D289,$C$5:$AJ$596,14,)=0,0,((VLOOKUP($D289,$C$5:$AJ$596,14,)/VLOOKUP($D289,$C$5:$AJ$596,4,))*$F289))</f>
        <v>0</v>
      </c>
      <c r="Q289" s="90">
        <f>IF(VLOOKUP($D289,$C$5:$AJ$596,15,)=0,0,((VLOOKUP($D289,$C$5:$AJ$596,15,)/VLOOKUP($D289,$C$5:$AJ$596,4,))*$F289))</f>
        <v>0</v>
      </c>
      <c r="R289" s="90"/>
      <c r="S289" s="90">
        <f>IF(VLOOKUP($D289,$C$5:$AJ$596,17,)=0,0,((VLOOKUP($D289,$C$5:$AJ$596,17,)/VLOOKUP($D289,$C$5:$AJ$596,4,))*$F289))</f>
        <v>0</v>
      </c>
      <c r="T289" s="90">
        <f>IF(VLOOKUP($D289,$C$5:$AJ$596,18,)=0,0,((VLOOKUP($D289,$C$5:$AJ$596,18,)/VLOOKUP($D289,$C$5:$AJ$596,4,))*$F289))</f>
        <v>0</v>
      </c>
      <c r="U289" s="90">
        <f>IF(VLOOKUP($D289,$C$5:$AJ$596,19,)=0,0,((VLOOKUP($D289,$C$5:$AJ$596,19,)/VLOOKUP($D289,$C$5:$AJ$596,4,))*$F289))</f>
        <v>0</v>
      </c>
      <c r="V289" s="90">
        <f>IF(VLOOKUP($D289,$C$5:$AJ$596,20,)=0,0,((VLOOKUP($D289,$C$5:$AJ$596,20,)/VLOOKUP($D289,$C$5:$AJ$596,4,))*$F289))</f>
        <v>0</v>
      </c>
      <c r="W289" s="90">
        <f>IF(VLOOKUP($D289,$C$5:$AJ$596,21,)=0,0,((VLOOKUP($D289,$C$5:$AJ$596,21,)/VLOOKUP($D289,$C$5:$AJ$596,4,))*$F289))</f>
        <v>0</v>
      </c>
      <c r="X289" s="90">
        <f>IF(VLOOKUP($D289,$C$5:$AJ$596,22,)=0,0,((VLOOKUP($D289,$C$5:$AJ$596,22,)/VLOOKUP($D289,$C$5:$AJ$596,4,))*$F289))</f>
        <v>0</v>
      </c>
      <c r="Y289" s="90">
        <f>IF(VLOOKUP($D289,$C$5:$AJ$596,23,)=0,0,((VLOOKUP($D289,$C$5:$AJ$596,23,)/VLOOKUP($D289,$C$5:$AJ$596,4,))*$F289))</f>
        <v>0</v>
      </c>
      <c r="Z289" s="90">
        <f>IF(VLOOKUP($D289,$C$5:$AJ$596,24,)=0,0,((VLOOKUP($D289,$C$5:$AJ$596,24,)/VLOOKUP($D289,$C$5:$AJ$596,4,))*$F289))</f>
        <v>0</v>
      </c>
      <c r="AA289" s="90">
        <f>IF(VLOOKUP($D289,$C$5:$AJ$596,25,)=0,0,((VLOOKUP($D289,$C$5:$AJ$596,25,)/VLOOKUP($D289,$C$5:$AJ$596,4,))*$F289))</f>
        <v>0</v>
      </c>
      <c r="AB289" s="90">
        <f>IF(VLOOKUP($D289,$C$5:$AJ$596,26,)=0,0,((VLOOKUP($D289,$C$5:$AJ$596,26,)/VLOOKUP($D289,$C$5:$AJ$596,4,))*$F289))</f>
        <v>0</v>
      </c>
      <c r="AC289" s="90">
        <f>IF(VLOOKUP($D289,$C$5:$AJ$596,27,)=0,0,((VLOOKUP($D289,$C$5:$AJ$596,27,)/VLOOKUP($D289,$C$5:$AJ$596,4,))*$F289))</f>
        <v>0</v>
      </c>
      <c r="AD289" s="90">
        <f>IF(VLOOKUP($D289,$C$5:$AJ$596,28,)=0,0,((VLOOKUP($D289,$C$5:$AJ$596,28,)/VLOOKUP($D289,$C$5:$AJ$596,4,))*$F289))</f>
        <v>0</v>
      </c>
      <c r="AE289" s="90"/>
      <c r="AF289" s="90">
        <f>IF(VLOOKUP($D289,$C$5:$AJ$596,30,)=0,0,((VLOOKUP($D289,$C$5:$AJ$596,30,)/VLOOKUP($D289,$C$5:$AJ$596,4,))*$F289))</f>
        <v>21487653</v>
      </c>
      <c r="AG289" s="90"/>
      <c r="AH289" s="90">
        <f>IF(VLOOKUP($D289,$C$5:$AJ$596,32,)=0,0,((VLOOKUP($D289,$C$5:$AJ$596,32,)/VLOOKUP($D289,$C$5:$AJ$596,4,))*$F289))</f>
        <v>0</v>
      </c>
      <c r="AI289" s="90"/>
      <c r="AJ289" s="90">
        <f>IF(VLOOKUP($D289,$C$5:$AJ$596,34,)=0,0,((VLOOKUP($D289,$C$5:$AJ$596,34,)/VLOOKUP($D289,$C$5:$AJ$596,4,))*$F289))</f>
        <v>0</v>
      </c>
      <c r="AK289" s="90">
        <f>SUM(H289:AJ289)</f>
        <v>21487653</v>
      </c>
      <c r="AL289" s="87" t="str">
        <f>IF(ABS(AK289-F289)&lt;1,"ok","err")</f>
        <v>ok</v>
      </c>
    </row>
    <row r="290" spans="1:38" x14ac:dyDescent="0.5">
      <c r="A290" s="86">
        <v>904</v>
      </c>
      <c r="B290" s="86" t="s">
        <v>299</v>
      </c>
      <c r="C290" s="86" t="s">
        <v>300</v>
      </c>
      <c r="D290" s="322" t="s">
        <v>714</v>
      </c>
      <c r="E290" s="45"/>
      <c r="F290" s="90">
        <f>'Jurisdictional Study'!F1091</f>
        <v>4646049</v>
      </c>
      <c r="H290" s="90">
        <f>IF(VLOOKUP($D290,$C$5:$AJ$596,6,)=0,0,((VLOOKUP($D290,$C$5:$AJ$596,6,)/VLOOKUP($D290,$C$5:$AJ$596,4,))*$F290))</f>
        <v>0</v>
      </c>
      <c r="I290" s="90">
        <f>IF(VLOOKUP($D290,$C$5:$AJ$596,7,)=0,0,((VLOOKUP($D290,$C$5:$AJ$596,7,)/VLOOKUP($D290,$C$5:$AJ$596,4,))*$F290))</f>
        <v>0</v>
      </c>
      <c r="J290" s="90">
        <f>IF(VLOOKUP($D290,$C$5:$AJ$596,8,)=0,0,((VLOOKUP($D290,$C$5:$AJ$596,8,)/VLOOKUP($D290,$C$5:$AJ$596,4,))*$F290))</f>
        <v>0</v>
      </c>
      <c r="K290" s="90">
        <f>IF(VLOOKUP($D290,$C$5:$AJ$596,9,)=0,0,((VLOOKUP($D290,$C$5:$AJ$596,9,)/VLOOKUP($D290,$C$5:$AJ$596,4,))*$F290))</f>
        <v>0</v>
      </c>
      <c r="L290" s="90">
        <f>IF(VLOOKUP($D290,$C$5:$AJ$596,10,)=0,0,((VLOOKUP($D290,$C$5:$AJ$596,10,)/VLOOKUP($D290,$C$5:$AJ$596,4,))*$F290))</f>
        <v>0</v>
      </c>
      <c r="M290" s="90">
        <f>IF(VLOOKUP($D290,$C$5:$AJ$596,11,)=0,0,((VLOOKUP($D290,$C$5:$AJ$596,11,)/VLOOKUP($D290,$C$5:$AJ$596,4,))*$F290))</f>
        <v>0</v>
      </c>
      <c r="N290" s="90"/>
      <c r="O290" s="90">
        <f>IF(VLOOKUP($D290,$C$5:$AJ$596,13,)=0,0,((VLOOKUP($D290,$C$5:$AJ$596,13,)/VLOOKUP($D290,$C$5:$AJ$596,4,))*$F290))</f>
        <v>0</v>
      </c>
      <c r="P290" s="90">
        <f>IF(VLOOKUP($D290,$C$5:$AJ$596,14,)=0,0,((VLOOKUP($D290,$C$5:$AJ$596,14,)/VLOOKUP($D290,$C$5:$AJ$596,4,))*$F290))</f>
        <v>0</v>
      </c>
      <c r="Q290" s="90">
        <f>IF(VLOOKUP($D290,$C$5:$AJ$596,15,)=0,0,((VLOOKUP($D290,$C$5:$AJ$596,15,)/VLOOKUP($D290,$C$5:$AJ$596,4,))*$F290))</f>
        <v>0</v>
      </c>
      <c r="R290" s="90"/>
      <c r="S290" s="90">
        <f>IF(VLOOKUP($D290,$C$5:$AJ$596,17,)=0,0,((VLOOKUP($D290,$C$5:$AJ$596,17,)/VLOOKUP($D290,$C$5:$AJ$596,4,))*$F290))</f>
        <v>0</v>
      </c>
      <c r="T290" s="90">
        <f>IF(VLOOKUP($D290,$C$5:$AJ$596,18,)=0,0,((VLOOKUP($D290,$C$5:$AJ$596,18,)/VLOOKUP($D290,$C$5:$AJ$596,4,))*$F290))</f>
        <v>0</v>
      </c>
      <c r="U290" s="90">
        <f>IF(VLOOKUP($D290,$C$5:$AJ$596,19,)=0,0,((VLOOKUP($D290,$C$5:$AJ$596,19,)/VLOOKUP($D290,$C$5:$AJ$596,4,))*$F290))</f>
        <v>0</v>
      </c>
      <c r="V290" s="90">
        <f>IF(VLOOKUP($D290,$C$5:$AJ$596,20,)=0,0,((VLOOKUP($D290,$C$5:$AJ$596,20,)/VLOOKUP($D290,$C$5:$AJ$596,4,))*$F290))</f>
        <v>0</v>
      </c>
      <c r="W290" s="90">
        <f>IF(VLOOKUP($D290,$C$5:$AJ$596,21,)=0,0,((VLOOKUP($D290,$C$5:$AJ$596,21,)/VLOOKUP($D290,$C$5:$AJ$596,4,))*$F290))</f>
        <v>0</v>
      </c>
      <c r="X290" s="90">
        <f>IF(VLOOKUP($D290,$C$5:$AJ$596,22,)=0,0,((VLOOKUP($D290,$C$5:$AJ$596,22,)/VLOOKUP($D290,$C$5:$AJ$596,4,))*$F290))</f>
        <v>0</v>
      </c>
      <c r="Y290" s="90">
        <f>IF(VLOOKUP($D290,$C$5:$AJ$596,23,)=0,0,((VLOOKUP($D290,$C$5:$AJ$596,23,)/VLOOKUP($D290,$C$5:$AJ$596,4,))*$F290))</f>
        <v>0</v>
      </c>
      <c r="Z290" s="90">
        <f>IF(VLOOKUP($D290,$C$5:$AJ$596,24,)=0,0,((VLOOKUP($D290,$C$5:$AJ$596,24,)/VLOOKUP($D290,$C$5:$AJ$596,4,))*$F290))</f>
        <v>0</v>
      </c>
      <c r="AA290" s="90">
        <f>IF(VLOOKUP($D290,$C$5:$AJ$596,25,)=0,0,((VLOOKUP($D290,$C$5:$AJ$596,25,)/VLOOKUP($D290,$C$5:$AJ$596,4,))*$F290))</f>
        <v>0</v>
      </c>
      <c r="AB290" s="90">
        <f>IF(VLOOKUP($D290,$C$5:$AJ$596,26,)=0,0,((VLOOKUP($D290,$C$5:$AJ$596,26,)/VLOOKUP($D290,$C$5:$AJ$596,4,))*$F290))</f>
        <v>0</v>
      </c>
      <c r="AC290" s="90">
        <f>IF(VLOOKUP($D290,$C$5:$AJ$596,27,)=0,0,((VLOOKUP($D290,$C$5:$AJ$596,27,)/VLOOKUP($D290,$C$5:$AJ$596,4,))*$F290))</f>
        <v>0</v>
      </c>
      <c r="AD290" s="90">
        <f>IF(VLOOKUP($D290,$C$5:$AJ$596,28,)=0,0,((VLOOKUP($D290,$C$5:$AJ$596,28,)/VLOOKUP($D290,$C$5:$AJ$596,4,))*$F290))</f>
        <v>0</v>
      </c>
      <c r="AE290" s="90"/>
      <c r="AF290" s="90">
        <f>IF(VLOOKUP($D290,$C$5:$AJ$596,30,)=0,0,((VLOOKUP($D290,$C$5:$AJ$596,30,)/VLOOKUP($D290,$C$5:$AJ$596,4,))*$F290))</f>
        <v>4646049</v>
      </c>
      <c r="AG290" s="90"/>
      <c r="AH290" s="90">
        <f>IF(VLOOKUP($D290,$C$5:$AJ$596,32,)=0,0,((VLOOKUP($D290,$C$5:$AJ$596,32,)/VLOOKUP($D290,$C$5:$AJ$596,4,))*$F290))</f>
        <v>0</v>
      </c>
      <c r="AI290" s="90"/>
      <c r="AJ290" s="90">
        <f>IF(VLOOKUP($D290,$C$5:$AJ$596,34,)=0,0,((VLOOKUP($D290,$C$5:$AJ$596,34,)/VLOOKUP($D290,$C$5:$AJ$596,4,))*$F290))</f>
        <v>0</v>
      </c>
      <c r="AK290" s="90">
        <f>SUM(H290:AJ290)</f>
        <v>4646049</v>
      </c>
      <c r="AL290" s="87" t="str">
        <f>IF(ABS(AK290-F290)&lt;1,"ok","err")</f>
        <v>ok</v>
      </c>
    </row>
    <row r="291" spans="1:38" x14ac:dyDescent="0.5">
      <c r="A291" s="86">
        <v>905</v>
      </c>
      <c r="B291" s="86" t="s">
        <v>1307</v>
      </c>
      <c r="C291" s="86" t="s">
        <v>298</v>
      </c>
      <c r="D291" s="322" t="s">
        <v>714</v>
      </c>
      <c r="E291" s="45"/>
      <c r="F291" s="90">
        <f>'Jurisdictional Study'!F1092</f>
        <v>165801</v>
      </c>
      <c r="H291" s="90">
        <f>IF(VLOOKUP($D291,$C$5:$AJ$596,6,)=0,0,((VLOOKUP($D291,$C$5:$AJ$596,6,)/VLOOKUP($D291,$C$5:$AJ$596,4,))*$F291))</f>
        <v>0</v>
      </c>
      <c r="I291" s="90">
        <f>IF(VLOOKUP($D291,$C$5:$AJ$596,7,)=0,0,((VLOOKUP($D291,$C$5:$AJ$596,7,)/VLOOKUP($D291,$C$5:$AJ$596,4,))*$F291))</f>
        <v>0</v>
      </c>
      <c r="J291" s="90">
        <f>IF(VLOOKUP($D291,$C$5:$AJ$596,8,)=0,0,((VLOOKUP($D291,$C$5:$AJ$596,8,)/VLOOKUP($D291,$C$5:$AJ$596,4,))*$F291))</f>
        <v>0</v>
      </c>
      <c r="K291" s="90">
        <f>IF(VLOOKUP($D291,$C$5:$AJ$596,9,)=0,0,((VLOOKUP($D291,$C$5:$AJ$596,9,)/VLOOKUP($D291,$C$5:$AJ$596,4,))*$F291))</f>
        <v>0</v>
      </c>
      <c r="L291" s="90">
        <f>IF(VLOOKUP($D291,$C$5:$AJ$596,10,)=0,0,((VLOOKUP($D291,$C$5:$AJ$596,10,)/VLOOKUP($D291,$C$5:$AJ$596,4,))*$F291))</f>
        <v>0</v>
      </c>
      <c r="M291" s="90">
        <f>IF(VLOOKUP($D291,$C$5:$AJ$596,11,)=0,0,((VLOOKUP($D291,$C$5:$AJ$596,11,)/VLOOKUP($D291,$C$5:$AJ$596,4,))*$F291))</f>
        <v>0</v>
      </c>
      <c r="N291" s="90"/>
      <c r="O291" s="90">
        <f>IF(VLOOKUP($D291,$C$5:$AJ$596,13,)=0,0,((VLOOKUP($D291,$C$5:$AJ$596,13,)/VLOOKUP($D291,$C$5:$AJ$596,4,))*$F291))</f>
        <v>0</v>
      </c>
      <c r="P291" s="90">
        <f>IF(VLOOKUP($D291,$C$5:$AJ$596,14,)=0,0,((VLOOKUP($D291,$C$5:$AJ$596,14,)/VLOOKUP($D291,$C$5:$AJ$596,4,))*$F291))</f>
        <v>0</v>
      </c>
      <c r="Q291" s="90">
        <f>IF(VLOOKUP($D291,$C$5:$AJ$596,15,)=0,0,((VLOOKUP($D291,$C$5:$AJ$596,15,)/VLOOKUP($D291,$C$5:$AJ$596,4,))*$F291))</f>
        <v>0</v>
      </c>
      <c r="R291" s="90"/>
      <c r="S291" s="90">
        <f>IF(VLOOKUP($D291,$C$5:$AJ$596,17,)=0,0,((VLOOKUP($D291,$C$5:$AJ$596,17,)/VLOOKUP($D291,$C$5:$AJ$596,4,))*$F291))</f>
        <v>0</v>
      </c>
      <c r="T291" s="90">
        <f>IF(VLOOKUP($D291,$C$5:$AJ$596,18,)=0,0,((VLOOKUP($D291,$C$5:$AJ$596,18,)/VLOOKUP($D291,$C$5:$AJ$596,4,))*$F291))</f>
        <v>0</v>
      </c>
      <c r="U291" s="90">
        <f>IF(VLOOKUP($D291,$C$5:$AJ$596,19,)=0,0,((VLOOKUP($D291,$C$5:$AJ$596,19,)/VLOOKUP($D291,$C$5:$AJ$596,4,))*$F291))</f>
        <v>0</v>
      </c>
      <c r="V291" s="90">
        <f>IF(VLOOKUP($D291,$C$5:$AJ$596,20,)=0,0,((VLOOKUP($D291,$C$5:$AJ$596,20,)/VLOOKUP($D291,$C$5:$AJ$596,4,))*$F291))</f>
        <v>0</v>
      </c>
      <c r="W291" s="90">
        <f>IF(VLOOKUP($D291,$C$5:$AJ$596,21,)=0,0,((VLOOKUP($D291,$C$5:$AJ$596,21,)/VLOOKUP($D291,$C$5:$AJ$596,4,))*$F291))</f>
        <v>0</v>
      </c>
      <c r="X291" s="90">
        <f>IF(VLOOKUP($D291,$C$5:$AJ$596,22,)=0,0,((VLOOKUP($D291,$C$5:$AJ$596,22,)/VLOOKUP($D291,$C$5:$AJ$596,4,))*$F291))</f>
        <v>0</v>
      </c>
      <c r="Y291" s="90">
        <f>IF(VLOOKUP($D291,$C$5:$AJ$596,23,)=0,0,((VLOOKUP($D291,$C$5:$AJ$596,23,)/VLOOKUP($D291,$C$5:$AJ$596,4,))*$F291))</f>
        <v>0</v>
      </c>
      <c r="Z291" s="90">
        <f>IF(VLOOKUP($D291,$C$5:$AJ$596,24,)=0,0,((VLOOKUP($D291,$C$5:$AJ$596,24,)/VLOOKUP($D291,$C$5:$AJ$596,4,))*$F291))</f>
        <v>0</v>
      </c>
      <c r="AA291" s="90">
        <f>IF(VLOOKUP($D291,$C$5:$AJ$596,25,)=0,0,((VLOOKUP($D291,$C$5:$AJ$596,25,)/VLOOKUP($D291,$C$5:$AJ$596,4,))*$F291))</f>
        <v>0</v>
      </c>
      <c r="AB291" s="90">
        <f>IF(VLOOKUP($D291,$C$5:$AJ$596,26,)=0,0,((VLOOKUP($D291,$C$5:$AJ$596,26,)/VLOOKUP($D291,$C$5:$AJ$596,4,))*$F291))</f>
        <v>0</v>
      </c>
      <c r="AC291" s="90">
        <f>IF(VLOOKUP($D291,$C$5:$AJ$596,27,)=0,0,((VLOOKUP($D291,$C$5:$AJ$596,27,)/VLOOKUP($D291,$C$5:$AJ$596,4,))*$F291))</f>
        <v>0</v>
      </c>
      <c r="AD291" s="90">
        <f>IF(VLOOKUP($D291,$C$5:$AJ$596,28,)=0,0,((VLOOKUP($D291,$C$5:$AJ$596,28,)/VLOOKUP($D291,$C$5:$AJ$596,4,))*$F291))</f>
        <v>0</v>
      </c>
      <c r="AE291" s="90"/>
      <c r="AF291" s="90">
        <f>IF(VLOOKUP($D291,$C$5:$AJ$596,30,)=0,0,((VLOOKUP($D291,$C$5:$AJ$596,30,)/VLOOKUP($D291,$C$5:$AJ$596,4,))*$F291))</f>
        <v>165801</v>
      </c>
      <c r="AG291" s="90"/>
      <c r="AH291" s="90">
        <f>IF(VLOOKUP($D291,$C$5:$AJ$596,32,)=0,0,((VLOOKUP($D291,$C$5:$AJ$596,32,)/VLOOKUP($D291,$C$5:$AJ$596,4,))*$F291))</f>
        <v>0</v>
      </c>
      <c r="AI291" s="90"/>
      <c r="AJ291" s="90">
        <f>IF(VLOOKUP($D291,$C$5:$AJ$596,34,)=0,0,((VLOOKUP($D291,$C$5:$AJ$596,34,)/VLOOKUP($D291,$C$5:$AJ$596,4,))*$F291))</f>
        <v>0</v>
      </c>
      <c r="AK291" s="90">
        <f>SUM(H291:AJ291)</f>
        <v>165801</v>
      </c>
      <c r="AL291" s="87" t="str">
        <f>IF(ABS(AK291-F291)&lt;1,"ok","err")</f>
        <v>ok</v>
      </c>
    </row>
    <row r="292" spans="1:38" x14ac:dyDescent="0.5">
      <c r="A292" s="23"/>
      <c r="D292" s="322"/>
      <c r="E292" s="45"/>
      <c r="F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87"/>
    </row>
    <row r="293" spans="1:38" x14ac:dyDescent="0.5">
      <c r="A293" s="86" t="s">
        <v>301</v>
      </c>
      <c r="C293" s="86" t="s">
        <v>302</v>
      </c>
      <c r="D293" s="322"/>
      <c r="E293" s="45"/>
      <c r="F293" s="89">
        <f t="shared" ref="F293:M293" si="280">SUM(F287:F292)</f>
        <v>40437392</v>
      </c>
      <c r="G293" s="89">
        <f t="shared" si="280"/>
        <v>0</v>
      </c>
      <c r="H293" s="89">
        <f t="shared" si="280"/>
        <v>0</v>
      </c>
      <c r="I293" s="89">
        <f t="shared" si="280"/>
        <v>0</v>
      </c>
      <c r="J293" s="89">
        <f t="shared" si="280"/>
        <v>0</v>
      </c>
      <c r="K293" s="89">
        <f t="shared" si="280"/>
        <v>0</v>
      </c>
      <c r="L293" s="89">
        <f t="shared" si="280"/>
        <v>0</v>
      </c>
      <c r="M293" s="89">
        <f t="shared" si="280"/>
        <v>0</v>
      </c>
      <c r="N293" s="89"/>
      <c r="O293" s="89">
        <f>SUM(O287:O292)</f>
        <v>0</v>
      </c>
      <c r="P293" s="89">
        <f>SUM(P287:P292)</f>
        <v>0</v>
      </c>
      <c r="Q293" s="89">
        <f>SUM(Q287:Q292)</f>
        <v>0</v>
      </c>
      <c r="R293" s="89"/>
      <c r="S293" s="89">
        <f t="shared" ref="S293:AD293" si="281">SUM(S287:S292)</f>
        <v>0</v>
      </c>
      <c r="T293" s="89">
        <f t="shared" si="281"/>
        <v>0</v>
      </c>
      <c r="U293" s="89">
        <f t="shared" si="281"/>
        <v>0</v>
      </c>
      <c r="V293" s="89">
        <f t="shared" si="281"/>
        <v>0</v>
      </c>
      <c r="W293" s="89">
        <f t="shared" si="281"/>
        <v>0</v>
      </c>
      <c r="X293" s="89">
        <f t="shared" si="281"/>
        <v>0</v>
      </c>
      <c r="Y293" s="89">
        <f t="shared" si="281"/>
        <v>0</v>
      </c>
      <c r="Z293" s="89">
        <f t="shared" si="281"/>
        <v>0</v>
      </c>
      <c r="AA293" s="89">
        <f t="shared" si="281"/>
        <v>0</v>
      </c>
      <c r="AB293" s="89">
        <f t="shared" si="281"/>
        <v>0</v>
      </c>
      <c r="AC293" s="89">
        <f t="shared" si="281"/>
        <v>0</v>
      </c>
      <c r="AD293" s="89">
        <f t="shared" si="281"/>
        <v>0</v>
      </c>
      <c r="AE293" s="89"/>
      <c r="AF293" s="89">
        <f>SUM(AF287:AF292)</f>
        <v>40437392</v>
      </c>
      <c r="AG293" s="89"/>
      <c r="AH293" s="89">
        <f>SUM(AH287:AH292)</f>
        <v>0</v>
      </c>
      <c r="AI293" s="89"/>
      <c r="AJ293" s="89">
        <f>SUM(AJ287:AJ292)</f>
        <v>0</v>
      </c>
      <c r="AK293" s="90">
        <f>SUM(H293:AJ293)</f>
        <v>40437392</v>
      </c>
      <c r="AL293" s="87" t="str">
        <f>IF(ABS(AK293-F293)&lt;1,"ok","err")</f>
        <v>ok</v>
      </c>
    </row>
    <row r="294" spans="1:38" x14ac:dyDescent="0.5">
      <c r="D294" s="45"/>
      <c r="E294" s="45"/>
      <c r="F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L294" s="87"/>
    </row>
    <row r="295" spans="1:38" x14ac:dyDescent="0.5">
      <c r="A295" s="23" t="s">
        <v>303</v>
      </c>
      <c r="D295" s="45"/>
      <c r="E295" s="45"/>
      <c r="F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L295" s="87"/>
    </row>
    <row r="296" spans="1:38" x14ac:dyDescent="0.5">
      <c r="A296" s="86">
        <v>907</v>
      </c>
      <c r="B296" s="86" t="s">
        <v>465</v>
      </c>
      <c r="C296" s="86" t="s">
        <v>304</v>
      </c>
      <c r="D296" s="322" t="s">
        <v>715</v>
      </c>
      <c r="E296" s="45"/>
      <c r="F296" s="89">
        <f>'Jurisdictional Study'!F1096</f>
        <v>368993</v>
      </c>
      <c r="H296" s="90">
        <f t="shared" ref="H296:H305" si="282">IF(VLOOKUP($D296,$C$5:$AJ$596,6,)=0,0,((VLOOKUP($D296,$C$5:$AJ$596,6,)/VLOOKUP($D296,$C$5:$AJ$596,4,))*$F296))</f>
        <v>0</v>
      </c>
      <c r="I296" s="90">
        <f t="shared" ref="I296:I305" si="283">IF(VLOOKUP($D296,$C$5:$AJ$596,7,)=0,0,((VLOOKUP($D296,$C$5:$AJ$596,7,)/VLOOKUP($D296,$C$5:$AJ$596,4,))*$F296))</f>
        <v>0</v>
      </c>
      <c r="J296" s="90">
        <f t="shared" ref="J296:J305" si="284">IF(VLOOKUP($D296,$C$5:$AJ$596,8,)=0,0,((VLOOKUP($D296,$C$5:$AJ$596,8,)/VLOOKUP($D296,$C$5:$AJ$596,4,))*$F296))</f>
        <v>0</v>
      </c>
      <c r="K296" s="90">
        <f t="shared" ref="K296:K305" si="285">IF(VLOOKUP($D296,$C$5:$AJ$596,9,)=0,0,((VLOOKUP($D296,$C$5:$AJ$596,9,)/VLOOKUP($D296,$C$5:$AJ$596,4,))*$F296))</f>
        <v>0</v>
      </c>
      <c r="L296" s="90">
        <f t="shared" ref="L296:L305" si="286">IF(VLOOKUP($D296,$C$5:$AJ$596,10,)=0,0,((VLOOKUP($D296,$C$5:$AJ$596,10,)/VLOOKUP($D296,$C$5:$AJ$596,4,))*$F296))</f>
        <v>0</v>
      </c>
      <c r="M296" s="90">
        <f t="shared" ref="M296:M305" si="287">IF(VLOOKUP($D296,$C$5:$AJ$596,11,)=0,0,((VLOOKUP($D296,$C$5:$AJ$596,11,)/VLOOKUP($D296,$C$5:$AJ$596,4,))*$F296))</f>
        <v>0</v>
      </c>
      <c r="N296" s="90"/>
      <c r="O296" s="90">
        <f t="shared" ref="O296:O305" si="288">IF(VLOOKUP($D296,$C$5:$AJ$596,13,)=0,0,((VLOOKUP($D296,$C$5:$AJ$596,13,)/VLOOKUP($D296,$C$5:$AJ$596,4,))*$F296))</f>
        <v>0</v>
      </c>
      <c r="P296" s="90">
        <f t="shared" ref="P296:P305" si="289">IF(VLOOKUP($D296,$C$5:$AJ$596,14,)=0,0,((VLOOKUP($D296,$C$5:$AJ$596,14,)/VLOOKUP($D296,$C$5:$AJ$596,4,))*$F296))</f>
        <v>0</v>
      </c>
      <c r="Q296" s="90">
        <f t="shared" ref="Q296:Q305" si="290">IF(VLOOKUP($D296,$C$5:$AJ$596,15,)=0,0,((VLOOKUP($D296,$C$5:$AJ$596,15,)/VLOOKUP($D296,$C$5:$AJ$596,4,))*$F296))</f>
        <v>0</v>
      </c>
      <c r="R296" s="90"/>
      <c r="S296" s="90">
        <f t="shared" ref="S296:S305" si="291">IF(VLOOKUP($D296,$C$5:$AJ$596,17,)=0,0,((VLOOKUP($D296,$C$5:$AJ$596,17,)/VLOOKUP($D296,$C$5:$AJ$596,4,))*$F296))</f>
        <v>0</v>
      </c>
      <c r="T296" s="90">
        <f t="shared" ref="T296:T305" si="292">IF(VLOOKUP($D296,$C$5:$AJ$596,18,)=0,0,((VLOOKUP($D296,$C$5:$AJ$596,18,)/VLOOKUP($D296,$C$5:$AJ$596,4,))*$F296))</f>
        <v>0</v>
      </c>
      <c r="U296" s="90">
        <f t="shared" ref="U296:U305" si="293">IF(VLOOKUP($D296,$C$5:$AJ$596,19,)=0,0,((VLOOKUP($D296,$C$5:$AJ$596,19,)/VLOOKUP($D296,$C$5:$AJ$596,4,))*$F296))</f>
        <v>0</v>
      </c>
      <c r="V296" s="90">
        <f t="shared" ref="V296:V305" si="294">IF(VLOOKUP($D296,$C$5:$AJ$596,20,)=0,0,((VLOOKUP($D296,$C$5:$AJ$596,20,)/VLOOKUP($D296,$C$5:$AJ$596,4,))*$F296))</f>
        <v>0</v>
      </c>
      <c r="W296" s="90">
        <f t="shared" ref="W296:W305" si="295">IF(VLOOKUP($D296,$C$5:$AJ$596,21,)=0,0,((VLOOKUP($D296,$C$5:$AJ$596,21,)/VLOOKUP($D296,$C$5:$AJ$596,4,))*$F296))</f>
        <v>0</v>
      </c>
      <c r="X296" s="90">
        <f t="shared" ref="X296:X305" si="296">IF(VLOOKUP($D296,$C$5:$AJ$596,22,)=0,0,((VLOOKUP($D296,$C$5:$AJ$596,22,)/VLOOKUP($D296,$C$5:$AJ$596,4,))*$F296))</f>
        <v>0</v>
      </c>
      <c r="Y296" s="90">
        <f t="shared" ref="Y296:Y305" si="297">IF(VLOOKUP($D296,$C$5:$AJ$596,23,)=0,0,((VLOOKUP($D296,$C$5:$AJ$596,23,)/VLOOKUP($D296,$C$5:$AJ$596,4,))*$F296))</f>
        <v>0</v>
      </c>
      <c r="Z296" s="90">
        <f t="shared" ref="Z296:Z305" si="298">IF(VLOOKUP($D296,$C$5:$AJ$596,24,)=0,0,((VLOOKUP($D296,$C$5:$AJ$596,24,)/VLOOKUP($D296,$C$5:$AJ$596,4,))*$F296))</f>
        <v>0</v>
      </c>
      <c r="AA296" s="90">
        <f t="shared" ref="AA296:AA305" si="299">IF(VLOOKUP($D296,$C$5:$AJ$596,25,)=0,0,((VLOOKUP($D296,$C$5:$AJ$596,25,)/VLOOKUP($D296,$C$5:$AJ$596,4,))*$F296))</f>
        <v>0</v>
      </c>
      <c r="AB296" s="90">
        <f t="shared" ref="AB296:AB305" si="300">IF(VLOOKUP($D296,$C$5:$AJ$596,26,)=0,0,((VLOOKUP($D296,$C$5:$AJ$596,26,)/VLOOKUP($D296,$C$5:$AJ$596,4,))*$F296))</f>
        <v>0</v>
      </c>
      <c r="AC296" s="90">
        <f t="shared" ref="AC296:AC305" si="301">IF(VLOOKUP($D296,$C$5:$AJ$596,27,)=0,0,((VLOOKUP($D296,$C$5:$AJ$596,27,)/VLOOKUP($D296,$C$5:$AJ$596,4,))*$F296))</f>
        <v>0</v>
      </c>
      <c r="AD296" s="90">
        <f t="shared" ref="AD296:AD305" si="302">IF(VLOOKUP($D296,$C$5:$AJ$596,28,)=0,0,((VLOOKUP($D296,$C$5:$AJ$596,28,)/VLOOKUP($D296,$C$5:$AJ$596,4,))*$F296))</f>
        <v>0</v>
      </c>
      <c r="AE296" s="90"/>
      <c r="AF296" s="90">
        <f t="shared" ref="AF296:AF305" si="303">IF(VLOOKUP($D296,$C$5:$AJ$596,30,)=0,0,((VLOOKUP($D296,$C$5:$AJ$596,30,)/VLOOKUP($D296,$C$5:$AJ$596,4,))*$F296))</f>
        <v>0</v>
      </c>
      <c r="AG296" s="90"/>
      <c r="AH296" s="90">
        <f t="shared" ref="AH296:AH305" si="304">IF(VLOOKUP($D296,$C$5:$AJ$596,32,)=0,0,((VLOOKUP($D296,$C$5:$AJ$596,32,)/VLOOKUP($D296,$C$5:$AJ$596,4,))*$F296))</f>
        <v>368993</v>
      </c>
      <c r="AI296" s="90"/>
      <c r="AJ296" s="90">
        <f t="shared" ref="AJ296:AJ305" si="305">IF(VLOOKUP($D296,$C$5:$AJ$596,34,)=0,0,((VLOOKUP($D296,$C$5:$AJ$596,34,)/VLOOKUP($D296,$C$5:$AJ$596,4,))*$F296))</f>
        <v>0</v>
      </c>
      <c r="AK296" s="90">
        <f t="shared" ref="AK296:AK305" si="306">SUM(H296:AJ296)</f>
        <v>368993</v>
      </c>
      <c r="AL296" s="87" t="str">
        <f t="shared" ref="AL296:AL305" si="307">IF(ABS(AK296-F296)&lt;1,"ok","err")</f>
        <v>ok</v>
      </c>
    </row>
    <row r="297" spans="1:38" x14ac:dyDescent="0.5">
      <c r="A297" s="86">
        <v>908</v>
      </c>
      <c r="B297" s="86" t="s">
        <v>1176</v>
      </c>
      <c r="C297" s="86" t="s">
        <v>1177</v>
      </c>
      <c r="D297" s="322" t="s">
        <v>715</v>
      </c>
      <c r="E297" s="45"/>
      <c r="F297" s="90">
        <f>'Jurisdictional Study'!F1097-7919364</f>
        <v>1252447</v>
      </c>
      <c r="H297" s="90">
        <f t="shared" si="282"/>
        <v>0</v>
      </c>
      <c r="I297" s="90">
        <f t="shared" si="283"/>
        <v>0</v>
      </c>
      <c r="J297" s="90">
        <f t="shared" si="284"/>
        <v>0</v>
      </c>
      <c r="K297" s="90">
        <f t="shared" si="285"/>
        <v>0</v>
      </c>
      <c r="L297" s="90">
        <f t="shared" si="286"/>
        <v>0</v>
      </c>
      <c r="M297" s="90">
        <f t="shared" si="287"/>
        <v>0</v>
      </c>
      <c r="N297" s="90"/>
      <c r="O297" s="90">
        <f t="shared" si="288"/>
        <v>0</v>
      </c>
      <c r="P297" s="90">
        <f t="shared" si="289"/>
        <v>0</v>
      </c>
      <c r="Q297" s="90">
        <f t="shared" si="290"/>
        <v>0</v>
      </c>
      <c r="R297" s="90"/>
      <c r="S297" s="90">
        <f t="shared" si="291"/>
        <v>0</v>
      </c>
      <c r="T297" s="90">
        <f t="shared" si="292"/>
        <v>0</v>
      </c>
      <c r="U297" s="90">
        <f t="shared" si="293"/>
        <v>0</v>
      </c>
      <c r="V297" s="90">
        <f t="shared" si="294"/>
        <v>0</v>
      </c>
      <c r="W297" s="90">
        <f t="shared" si="295"/>
        <v>0</v>
      </c>
      <c r="X297" s="90">
        <f t="shared" si="296"/>
        <v>0</v>
      </c>
      <c r="Y297" s="90">
        <f t="shared" si="297"/>
        <v>0</v>
      </c>
      <c r="Z297" s="90">
        <f t="shared" si="298"/>
        <v>0</v>
      </c>
      <c r="AA297" s="90">
        <f t="shared" si="299"/>
        <v>0</v>
      </c>
      <c r="AB297" s="90">
        <f t="shared" si="300"/>
        <v>0</v>
      </c>
      <c r="AC297" s="90">
        <f t="shared" si="301"/>
        <v>0</v>
      </c>
      <c r="AD297" s="90">
        <f t="shared" si="302"/>
        <v>0</v>
      </c>
      <c r="AE297" s="90"/>
      <c r="AF297" s="90">
        <f t="shared" si="303"/>
        <v>0</v>
      </c>
      <c r="AG297" s="90"/>
      <c r="AH297" s="90">
        <f t="shared" si="304"/>
        <v>1252447</v>
      </c>
      <c r="AI297" s="90"/>
      <c r="AJ297" s="90">
        <f t="shared" si="305"/>
        <v>0</v>
      </c>
      <c r="AK297" s="90">
        <f t="shared" si="306"/>
        <v>1252447</v>
      </c>
      <c r="AL297" s="87" t="str">
        <f t="shared" si="307"/>
        <v>ok</v>
      </c>
    </row>
    <row r="298" spans="1:38" x14ac:dyDescent="0.5">
      <c r="A298" s="86">
        <v>908</v>
      </c>
      <c r="B298" s="86" t="s">
        <v>879</v>
      </c>
      <c r="C298" s="86" t="s">
        <v>1309</v>
      </c>
      <c r="D298" s="322" t="s">
        <v>715</v>
      </c>
      <c r="E298" s="45"/>
      <c r="F298" s="90">
        <v>0</v>
      </c>
      <c r="H298" s="90">
        <f t="shared" si="282"/>
        <v>0</v>
      </c>
      <c r="I298" s="90">
        <f t="shared" si="283"/>
        <v>0</v>
      </c>
      <c r="J298" s="90">
        <f t="shared" si="284"/>
        <v>0</v>
      </c>
      <c r="K298" s="90">
        <f t="shared" si="285"/>
        <v>0</v>
      </c>
      <c r="L298" s="90">
        <f t="shared" si="286"/>
        <v>0</v>
      </c>
      <c r="M298" s="90">
        <f t="shared" si="287"/>
        <v>0</v>
      </c>
      <c r="N298" s="90"/>
      <c r="O298" s="90">
        <f t="shared" si="288"/>
        <v>0</v>
      </c>
      <c r="P298" s="90">
        <f t="shared" si="289"/>
        <v>0</v>
      </c>
      <c r="Q298" s="90">
        <f t="shared" si="290"/>
        <v>0</v>
      </c>
      <c r="R298" s="90"/>
      <c r="S298" s="90">
        <f t="shared" si="291"/>
        <v>0</v>
      </c>
      <c r="T298" s="90">
        <f t="shared" si="292"/>
        <v>0</v>
      </c>
      <c r="U298" s="90">
        <f t="shared" si="293"/>
        <v>0</v>
      </c>
      <c r="V298" s="90">
        <f t="shared" si="294"/>
        <v>0</v>
      </c>
      <c r="W298" s="90">
        <f t="shared" si="295"/>
        <v>0</v>
      </c>
      <c r="X298" s="90">
        <f t="shared" si="296"/>
        <v>0</v>
      </c>
      <c r="Y298" s="90">
        <f t="shared" si="297"/>
        <v>0</v>
      </c>
      <c r="Z298" s="90">
        <f t="shared" si="298"/>
        <v>0</v>
      </c>
      <c r="AA298" s="90">
        <f t="shared" si="299"/>
        <v>0</v>
      </c>
      <c r="AB298" s="90">
        <f t="shared" si="300"/>
        <v>0</v>
      </c>
      <c r="AC298" s="90">
        <f t="shared" si="301"/>
        <v>0</v>
      </c>
      <c r="AD298" s="90">
        <f t="shared" si="302"/>
        <v>0</v>
      </c>
      <c r="AE298" s="90"/>
      <c r="AF298" s="90">
        <f t="shared" si="303"/>
        <v>0</v>
      </c>
      <c r="AG298" s="90"/>
      <c r="AH298" s="90">
        <f t="shared" si="304"/>
        <v>0</v>
      </c>
      <c r="AI298" s="90"/>
      <c r="AJ298" s="90">
        <f t="shared" si="305"/>
        <v>0</v>
      </c>
      <c r="AK298" s="90">
        <f t="shared" si="306"/>
        <v>0</v>
      </c>
      <c r="AL298" s="87" t="str">
        <f t="shared" si="307"/>
        <v>ok</v>
      </c>
    </row>
    <row r="299" spans="1:38" x14ac:dyDescent="0.5">
      <c r="A299" s="86">
        <v>909</v>
      </c>
      <c r="B299" s="86" t="s">
        <v>1178</v>
      </c>
      <c r="C299" s="86" t="s">
        <v>1179</v>
      </c>
      <c r="D299" s="322" t="s">
        <v>715</v>
      </c>
      <c r="E299" s="45"/>
      <c r="F299" s="90">
        <f>'Jurisdictional Study'!F1098</f>
        <v>1698677</v>
      </c>
      <c r="H299" s="90">
        <f t="shared" si="282"/>
        <v>0</v>
      </c>
      <c r="I299" s="90">
        <f t="shared" si="283"/>
        <v>0</v>
      </c>
      <c r="J299" s="90">
        <f t="shared" si="284"/>
        <v>0</v>
      </c>
      <c r="K299" s="90">
        <f t="shared" si="285"/>
        <v>0</v>
      </c>
      <c r="L299" s="90">
        <f t="shared" si="286"/>
        <v>0</v>
      </c>
      <c r="M299" s="90">
        <f t="shared" si="287"/>
        <v>0</v>
      </c>
      <c r="N299" s="90"/>
      <c r="O299" s="90">
        <f t="shared" si="288"/>
        <v>0</v>
      </c>
      <c r="P299" s="90">
        <f t="shared" si="289"/>
        <v>0</v>
      </c>
      <c r="Q299" s="90">
        <f t="shared" si="290"/>
        <v>0</v>
      </c>
      <c r="R299" s="90"/>
      <c r="S299" s="90">
        <f t="shared" si="291"/>
        <v>0</v>
      </c>
      <c r="T299" s="90">
        <f t="shared" si="292"/>
        <v>0</v>
      </c>
      <c r="U299" s="90">
        <f t="shared" si="293"/>
        <v>0</v>
      </c>
      <c r="V299" s="90">
        <f t="shared" si="294"/>
        <v>0</v>
      </c>
      <c r="W299" s="90">
        <f t="shared" si="295"/>
        <v>0</v>
      </c>
      <c r="X299" s="90">
        <f t="shared" si="296"/>
        <v>0</v>
      </c>
      <c r="Y299" s="90">
        <f t="shared" si="297"/>
        <v>0</v>
      </c>
      <c r="Z299" s="90">
        <f t="shared" si="298"/>
        <v>0</v>
      </c>
      <c r="AA299" s="90">
        <f t="shared" si="299"/>
        <v>0</v>
      </c>
      <c r="AB299" s="90">
        <f t="shared" si="300"/>
        <v>0</v>
      </c>
      <c r="AC299" s="90">
        <f t="shared" si="301"/>
        <v>0</v>
      </c>
      <c r="AD299" s="90">
        <f t="shared" si="302"/>
        <v>0</v>
      </c>
      <c r="AE299" s="90"/>
      <c r="AF299" s="90">
        <f t="shared" si="303"/>
        <v>0</v>
      </c>
      <c r="AG299" s="90"/>
      <c r="AH299" s="90">
        <f t="shared" si="304"/>
        <v>1698677</v>
      </c>
      <c r="AI299" s="90"/>
      <c r="AJ299" s="90">
        <f t="shared" si="305"/>
        <v>0</v>
      </c>
      <c r="AK299" s="90">
        <f t="shared" si="306"/>
        <v>1698677</v>
      </c>
      <c r="AL299" s="87" t="str">
        <f t="shared" si="307"/>
        <v>ok</v>
      </c>
    </row>
    <row r="300" spans="1:38" x14ac:dyDescent="0.5">
      <c r="A300" s="86">
        <v>909</v>
      </c>
      <c r="B300" s="86" t="s">
        <v>1310</v>
      </c>
      <c r="C300" s="86" t="s">
        <v>1311</v>
      </c>
      <c r="D300" s="322" t="s">
        <v>715</v>
      </c>
      <c r="E300" s="45"/>
      <c r="F300" s="90">
        <v>0</v>
      </c>
      <c r="H300" s="90">
        <f t="shared" si="282"/>
        <v>0</v>
      </c>
      <c r="I300" s="90">
        <f t="shared" si="283"/>
        <v>0</v>
      </c>
      <c r="J300" s="90">
        <f t="shared" si="284"/>
        <v>0</v>
      </c>
      <c r="K300" s="90">
        <f t="shared" si="285"/>
        <v>0</v>
      </c>
      <c r="L300" s="90">
        <f t="shared" si="286"/>
        <v>0</v>
      </c>
      <c r="M300" s="90">
        <f t="shared" si="287"/>
        <v>0</v>
      </c>
      <c r="N300" s="90"/>
      <c r="O300" s="90">
        <f t="shared" si="288"/>
        <v>0</v>
      </c>
      <c r="P300" s="90">
        <f t="shared" si="289"/>
        <v>0</v>
      </c>
      <c r="Q300" s="90">
        <f t="shared" si="290"/>
        <v>0</v>
      </c>
      <c r="R300" s="90"/>
      <c r="S300" s="90">
        <f t="shared" si="291"/>
        <v>0</v>
      </c>
      <c r="T300" s="90">
        <f t="shared" si="292"/>
        <v>0</v>
      </c>
      <c r="U300" s="90">
        <f t="shared" si="293"/>
        <v>0</v>
      </c>
      <c r="V300" s="90">
        <f t="shared" si="294"/>
        <v>0</v>
      </c>
      <c r="W300" s="90">
        <f t="shared" si="295"/>
        <v>0</v>
      </c>
      <c r="X300" s="90">
        <f t="shared" si="296"/>
        <v>0</v>
      </c>
      <c r="Y300" s="90">
        <f t="shared" si="297"/>
        <v>0</v>
      </c>
      <c r="Z300" s="90">
        <f t="shared" si="298"/>
        <v>0</v>
      </c>
      <c r="AA300" s="90">
        <f t="shared" si="299"/>
        <v>0</v>
      </c>
      <c r="AB300" s="90">
        <f t="shared" si="300"/>
        <v>0</v>
      </c>
      <c r="AC300" s="90">
        <f t="shared" si="301"/>
        <v>0</v>
      </c>
      <c r="AD300" s="90">
        <f t="shared" si="302"/>
        <v>0</v>
      </c>
      <c r="AE300" s="90"/>
      <c r="AF300" s="90">
        <f t="shared" si="303"/>
        <v>0</v>
      </c>
      <c r="AG300" s="90"/>
      <c r="AH300" s="90">
        <f t="shared" si="304"/>
        <v>0</v>
      </c>
      <c r="AI300" s="90"/>
      <c r="AJ300" s="90">
        <f t="shared" si="305"/>
        <v>0</v>
      </c>
      <c r="AK300" s="90">
        <f t="shared" si="306"/>
        <v>0</v>
      </c>
      <c r="AL300" s="87" t="str">
        <f t="shared" si="307"/>
        <v>ok</v>
      </c>
    </row>
    <row r="301" spans="1:38" x14ac:dyDescent="0.5">
      <c r="A301" s="86">
        <v>910</v>
      </c>
      <c r="B301" s="86" t="s">
        <v>1180</v>
      </c>
      <c r="C301" s="86" t="s">
        <v>1181</v>
      </c>
      <c r="D301" s="322" t="s">
        <v>715</v>
      </c>
      <c r="E301" s="45"/>
      <c r="F301" s="90">
        <f>'Jurisdictional Study'!F1099</f>
        <v>1818935</v>
      </c>
      <c r="H301" s="90">
        <f t="shared" si="282"/>
        <v>0</v>
      </c>
      <c r="I301" s="90">
        <f t="shared" si="283"/>
        <v>0</v>
      </c>
      <c r="J301" s="90">
        <f t="shared" si="284"/>
        <v>0</v>
      </c>
      <c r="K301" s="90">
        <f t="shared" si="285"/>
        <v>0</v>
      </c>
      <c r="L301" s="90">
        <f t="shared" si="286"/>
        <v>0</v>
      </c>
      <c r="M301" s="90">
        <f t="shared" si="287"/>
        <v>0</v>
      </c>
      <c r="N301" s="90"/>
      <c r="O301" s="90">
        <f t="shared" si="288"/>
        <v>0</v>
      </c>
      <c r="P301" s="90">
        <f t="shared" si="289"/>
        <v>0</v>
      </c>
      <c r="Q301" s="90">
        <f t="shared" si="290"/>
        <v>0</v>
      </c>
      <c r="R301" s="90"/>
      <c r="S301" s="90">
        <f t="shared" si="291"/>
        <v>0</v>
      </c>
      <c r="T301" s="90">
        <f t="shared" si="292"/>
        <v>0</v>
      </c>
      <c r="U301" s="90">
        <f t="shared" si="293"/>
        <v>0</v>
      </c>
      <c r="V301" s="90">
        <f t="shared" si="294"/>
        <v>0</v>
      </c>
      <c r="W301" s="90">
        <f t="shared" si="295"/>
        <v>0</v>
      </c>
      <c r="X301" s="90">
        <f t="shared" si="296"/>
        <v>0</v>
      </c>
      <c r="Y301" s="90">
        <f t="shared" si="297"/>
        <v>0</v>
      </c>
      <c r="Z301" s="90">
        <f t="shared" si="298"/>
        <v>0</v>
      </c>
      <c r="AA301" s="90">
        <f t="shared" si="299"/>
        <v>0</v>
      </c>
      <c r="AB301" s="90">
        <f t="shared" si="300"/>
        <v>0</v>
      </c>
      <c r="AC301" s="90">
        <f t="shared" si="301"/>
        <v>0</v>
      </c>
      <c r="AD301" s="90">
        <f t="shared" si="302"/>
        <v>0</v>
      </c>
      <c r="AE301" s="90"/>
      <c r="AF301" s="90">
        <f t="shared" si="303"/>
        <v>0</v>
      </c>
      <c r="AG301" s="90"/>
      <c r="AH301" s="90">
        <f t="shared" si="304"/>
        <v>1818935</v>
      </c>
      <c r="AI301" s="90"/>
      <c r="AJ301" s="90">
        <f t="shared" si="305"/>
        <v>0</v>
      </c>
      <c r="AK301" s="90">
        <f t="shared" si="306"/>
        <v>1818935</v>
      </c>
      <c r="AL301" s="87" t="str">
        <f t="shared" si="307"/>
        <v>ok</v>
      </c>
    </row>
    <row r="302" spans="1:38" x14ac:dyDescent="0.5">
      <c r="A302" s="86">
        <v>911</v>
      </c>
      <c r="B302" s="86" t="s">
        <v>843</v>
      </c>
      <c r="C302" s="86" t="s">
        <v>929</v>
      </c>
      <c r="D302" s="322" t="s">
        <v>715</v>
      </c>
      <c r="E302" s="45"/>
      <c r="F302" s="90">
        <f>'Jurisdictional Study'!F1103</f>
        <v>0</v>
      </c>
      <c r="H302" s="90">
        <f t="shared" si="282"/>
        <v>0</v>
      </c>
      <c r="I302" s="90">
        <f t="shared" si="283"/>
        <v>0</v>
      </c>
      <c r="J302" s="90">
        <f t="shared" si="284"/>
        <v>0</v>
      </c>
      <c r="K302" s="90">
        <f t="shared" si="285"/>
        <v>0</v>
      </c>
      <c r="L302" s="90">
        <f t="shared" si="286"/>
        <v>0</v>
      </c>
      <c r="M302" s="90">
        <f t="shared" si="287"/>
        <v>0</v>
      </c>
      <c r="N302" s="90"/>
      <c r="O302" s="90">
        <f t="shared" si="288"/>
        <v>0</v>
      </c>
      <c r="P302" s="90">
        <f t="shared" si="289"/>
        <v>0</v>
      </c>
      <c r="Q302" s="90">
        <f t="shared" si="290"/>
        <v>0</v>
      </c>
      <c r="R302" s="90"/>
      <c r="S302" s="90">
        <f t="shared" si="291"/>
        <v>0</v>
      </c>
      <c r="T302" s="90">
        <f t="shared" si="292"/>
        <v>0</v>
      </c>
      <c r="U302" s="90">
        <f t="shared" si="293"/>
        <v>0</v>
      </c>
      <c r="V302" s="90">
        <f t="shared" si="294"/>
        <v>0</v>
      </c>
      <c r="W302" s="90">
        <f t="shared" si="295"/>
        <v>0</v>
      </c>
      <c r="X302" s="90">
        <f t="shared" si="296"/>
        <v>0</v>
      </c>
      <c r="Y302" s="90">
        <f t="shared" si="297"/>
        <v>0</v>
      </c>
      <c r="Z302" s="90">
        <f t="shared" si="298"/>
        <v>0</v>
      </c>
      <c r="AA302" s="90">
        <f t="shared" si="299"/>
        <v>0</v>
      </c>
      <c r="AB302" s="90">
        <f t="shared" si="300"/>
        <v>0</v>
      </c>
      <c r="AC302" s="90">
        <f t="shared" si="301"/>
        <v>0</v>
      </c>
      <c r="AD302" s="90">
        <f t="shared" si="302"/>
        <v>0</v>
      </c>
      <c r="AE302" s="90"/>
      <c r="AF302" s="90">
        <f t="shared" si="303"/>
        <v>0</v>
      </c>
      <c r="AG302" s="90"/>
      <c r="AH302" s="90">
        <f t="shared" si="304"/>
        <v>0</v>
      </c>
      <c r="AI302" s="90"/>
      <c r="AJ302" s="90">
        <f t="shared" si="305"/>
        <v>0</v>
      </c>
      <c r="AK302" s="90">
        <f t="shared" si="306"/>
        <v>0</v>
      </c>
      <c r="AL302" s="87" t="str">
        <f t="shared" si="307"/>
        <v>ok</v>
      </c>
    </row>
    <row r="303" spans="1:38" x14ac:dyDescent="0.5">
      <c r="A303" s="86">
        <v>912</v>
      </c>
      <c r="B303" s="86" t="s">
        <v>843</v>
      </c>
      <c r="C303" s="86" t="s">
        <v>844</v>
      </c>
      <c r="D303" s="322" t="s">
        <v>715</v>
      </c>
      <c r="E303" s="45"/>
      <c r="F303" s="90">
        <f>'Jurisdictional Study'!F1104</f>
        <v>121604</v>
      </c>
      <c r="H303" s="90">
        <f t="shared" si="282"/>
        <v>0</v>
      </c>
      <c r="I303" s="90">
        <f t="shared" si="283"/>
        <v>0</v>
      </c>
      <c r="J303" s="90">
        <f t="shared" si="284"/>
        <v>0</v>
      </c>
      <c r="K303" s="90">
        <f t="shared" si="285"/>
        <v>0</v>
      </c>
      <c r="L303" s="90">
        <f t="shared" si="286"/>
        <v>0</v>
      </c>
      <c r="M303" s="90">
        <f t="shared" si="287"/>
        <v>0</v>
      </c>
      <c r="N303" s="90"/>
      <c r="O303" s="90">
        <f t="shared" si="288"/>
        <v>0</v>
      </c>
      <c r="P303" s="90">
        <f t="shared" si="289"/>
        <v>0</v>
      </c>
      <c r="Q303" s="90">
        <f t="shared" si="290"/>
        <v>0</v>
      </c>
      <c r="R303" s="90"/>
      <c r="S303" s="90">
        <f t="shared" si="291"/>
        <v>0</v>
      </c>
      <c r="T303" s="90">
        <f t="shared" si="292"/>
        <v>0</v>
      </c>
      <c r="U303" s="90">
        <f t="shared" si="293"/>
        <v>0</v>
      </c>
      <c r="V303" s="90">
        <f t="shared" si="294"/>
        <v>0</v>
      </c>
      <c r="W303" s="90">
        <f t="shared" si="295"/>
        <v>0</v>
      </c>
      <c r="X303" s="90">
        <f t="shared" si="296"/>
        <v>0</v>
      </c>
      <c r="Y303" s="90">
        <f t="shared" si="297"/>
        <v>0</v>
      </c>
      <c r="Z303" s="90">
        <f t="shared" si="298"/>
        <v>0</v>
      </c>
      <c r="AA303" s="90">
        <f t="shared" si="299"/>
        <v>0</v>
      </c>
      <c r="AB303" s="90">
        <f t="shared" si="300"/>
        <v>0</v>
      </c>
      <c r="AC303" s="90">
        <f t="shared" si="301"/>
        <v>0</v>
      </c>
      <c r="AD303" s="90">
        <f t="shared" si="302"/>
        <v>0</v>
      </c>
      <c r="AE303" s="90"/>
      <c r="AF303" s="90">
        <f t="shared" si="303"/>
        <v>0</v>
      </c>
      <c r="AG303" s="90"/>
      <c r="AH303" s="90">
        <f t="shared" si="304"/>
        <v>121604</v>
      </c>
      <c r="AI303" s="90"/>
      <c r="AJ303" s="90">
        <f t="shared" si="305"/>
        <v>0</v>
      </c>
      <c r="AK303" s="90">
        <f t="shared" si="306"/>
        <v>121604</v>
      </c>
      <c r="AL303" s="87" t="str">
        <f t="shared" si="307"/>
        <v>ok</v>
      </c>
    </row>
    <row r="304" spans="1:38" x14ac:dyDescent="0.5">
      <c r="A304" s="86">
        <v>913</v>
      </c>
      <c r="B304" s="86" t="s">
        <v>852</v>
      </c>
      <c r="C304" s="86" t="s">
        <v>502</v>
      </c>
      <c r="D304" s="322" t="s">
        <v>715</v>
      </c>
      <c r="E304" s="45"/>
      <c r="F304" s="90">
        <v>0</v>
      </c>
      <c r="H304" s="90">
        <f t="shared" si="282"/>
        <v>0</v>
      </c>
      <c r="I304" s="90">
        <f t="shared" si="283"/>
        <v>0</v>
      </c>
      <c r="J304" s="90">
        <f t="shared" si="284"/>
        <v>0</v>
      </c>
      <c r="K304" s="90">
        <f t="shared" si="285"/>
        <v>0</v>
      </c>
      <c r="L304" s="90">
        <f t="shared" si="286"/>
        <v>0</v>
      </c>
      <c r="M304" s="90">
        <f t="shared" si="287"/>
        <v>0</v>
      </c>
      <c r="N304" s="90"/>
      <c r="O304" s="90">
        <f t="shared" si="288"/>
        <v>0</v>
      </c>
      <c r="P304" s="90">
        <f t="shared" si="289"/>
        <v>0</v>
      </c>
      <c r="Q304" s="90">
        <f t="shared" si="290"/>
        <v>0</v>
      </c>
      <c r="R304" s="90"/>
      <c r="S304" s="90">
        <f t="shared" si="291"/>
        <v>0</v>
      </c>
      <c r="T304" s="90">
        <f t="shared" si="292"/>
        <v>0</v>
      </c>
      <c r="U304" s="90">
        <f t="shared" si="293"/>
        <v>0</v>
      </c>
      <c r="V304" s="90">
        <f t="shared" si="294"/>
        <v>0</v>
      </c>
      <c r="W304" s="90">
        <f t="shared" si="295"/>
        <v>0</v>
      </c>
      <c r="X304" s="90">
        <f t="shared" si="296"/>
        <v>0</v>
      </c>
      <c r="Y304" s="90">
        <f t="shared" si="297"/>
        <v>0</v>
      </c>
      <c r="Z304" s="90">
        <f t="shared" si="298"/>
        <v>0</v>
      </c>
      <c r="AA304" s="90">
        <f t="shared" si="299"/>
        <v>0</v>
      </c>
      <c r="AB304" s="90">
        <f t="shared" si="300"/>
        <v>0</v>
      </c>
      <c r="AC304" s="90">
        <f t="shared" si="301"/>
        <v>0</v>
      </c>
      <c r="AD304" s="90">
        <f t="shared" si="302"/>
        <v>0</v>
      </c>
      <c r="AE304" s="90"/>
      <c r="AF304" s="90">
        <f t="shared" si="303"/>
        <v>0</v>
      </c>
      <c r="AG304" s="90"/>
      <c r="AH304" s="90">
        <f t="shared" si="304"/>
        <v>0</v>
      </c>
      <c r="AI304" s="90"/>
      <c r="AJ304" s="90">
        <f t="shared" si="305"/>
        <v>0</v>
      </c>
      <c r="AK304" s="90">
        <f t="shared" si="306"/>
        <v>0</v>
      </c>
      <c r="AL304" s="87" t="str">
        <f t="shared" si="307"/>
        <v>ok</v>
      </c>
    </row>
    <row r="305" spans="1:38" x14ac:dyDescent="0.5">
      <c r="A305" s="86">
        <v>916</v>
      </c>
      <c r="B305" s="86" t="s">
        <v>853</v>
      </c>
      <c r="C305" s="86" t="s">
        <v>854</v>
      </c>
      <c r="D305" s="322" t="s">
        <v>715</v>
      </c>
      <c r="E305" s="45"/>
      <c r="F305" s="90">
        <f>'Jurisdictional Study'!F1106</f>
        <v>0</v>
      </c>
      <c r="H305" s="90">
        <f t="shared" si="282"/>
        <v>0</v>
      </c>
      <c r="I305" s="90">
        <f t="shared" si="283"/>
        <v>0</v>
      </c>
      <c r="J305" s="90">
        <f t="shared" si="284"/>
        <v>0</v>
      </c>
      <c r="K305" s="90">
        <f t="shared" si="285"/>
        <v>0</v>
      </c>
      <c r="L305" s="90">
        <f t="shared" si="286"/>
        <v>0</v>
      </c>
      <c r="M305" s="90">
        <f t="shared" si="287"/>
        <v>0</v>
      </c>
      <c r="N305" s="90"/>
      <c r="O305" s="90">
        <f t="shared" si="288"/>
        <v>0</v>
      </c>
      <c r="P305" s="90">
        <f t="shared" si="289"/>
        <v>0</v>
      </c>
      <c r="Q305" s="90">
        <f t="shared" si="290"/>
        <v>0</v>
      </c>
      <c r="R305" s="90"/>
      <c r="S305" s="90">
        <f t="shared" si="291"/>
        <v>0</v>
      </c>
      <c r="T305" s="90">
        <f t="shared" si="292"/>
        <v>0</v>
      </c>
      <c r="U305" s="90">
        <f t="shared" si="293"/>
        <v>0</v>
      </c>
      <c r="V305" s="90">
        <f t="shared" si="294"/>
        <v>0</v>
      </c>
      <c r="W305" s="90">
        <f t="shared" si="295"/>
        <v>0</v>
      </c>
      <c r="X305" s="90">
        <f t="shared" si="296"/>
        <v>0</v>
      </c>
      <c r="Y305" s="90">
        <f t="shared" si="297"/>
        <v>0</v>
      </c>
      <c r="Z305" s="90">
        <f t="shared" si="298"/>
        <v>0</v>
      </c>
      <c r="AA305" s="90">
        <f t="shared" si="299"/>
        <v>0</v>
      </c>
      <c r="AB305" s="90">
        <f t="shared" si="300"/>
        <v>0</v>
      </c>
      <c r="AC305" s="90">
        <f t="shared" si="301"/>
        <v>0</v>
      </c>
      <c r="AD305" s="90">
        <f t="shared" si="302"/>
        <v>0</v>
      </c>
      <c r="AE305" s="90"/>
      <c r="AF305" s="90">
        <f t="shared" si="303"/>
        <v>0</v>
      </c>
      <c r="AG305" s="90"/>
      <c r="AH305" s="90">
        <f t="shared" si="304"/>
        <v>0</v>
      </c>
      <c r="AI305" s="90"/>
      <c r="AJ305" s="90">
        <f t="shared" si="305"/>
        <v>0</v>
      </c>
      <c r="AK305" s="90">
        <f t="shared" si="306"/>
        <v>0</v>
      </c>
      <c r="AL305" s="87" t="str">
        <f t="shared" si="307"/>
        <v>ok</v>
      </c>
    </row>
    <row r="306" spans="1:38" x14ac:dyDescent="0.5">
      <c r="D306" s="322"/>
      <c r="E306" s="45"/>
      <c r="F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87"/>
    </row>
    <row r="307" spans="1:38" x14ac:dyDescent="0.5">
      <c r="A307" s="86" t="s">
        <v>1182</v>
      </c>
      <c r="C307" s="86" t="s">
        <v>1183</v>
      </c>
      <c r="D307" s="322"/>
      <c r="E307" s="45"/>
      <c r="F307" s="89">
        <f t="shared" ref="F307:M307" si="308">SUM(F296:F306)</f>
        <v>5260656</v>
      </c>
      <c r="G307" s="89">
        <f t="shared" si="308"/>
        <v>0</v>
      </c>
      <c r="H307" s="89">
        <f t="shared" si="308"/>
        <v>0</v>
      </c>
      <c r="I307" s="89">
        <f t="shared" si="308"/>
        <v>0</v>
      </c>
      <c r="J307" s="89">
        <f t="shared" si="308"/>
        <v>0</v>
      </c>
      <c r="K307" s="89">
        <f t="shared" si="308"/>
        <v>0</v>
      </c>
      <c r="L307" s="89">
        <f t="shared" si="308"/>
        <v>0</v>
      </c>
      <c r="M307" s="89">
        <f t="shared" si="308"/>
        <v>0</v>
      </c>
      <c r="N307" s="89"/>
      <c r="O307" s="89">
        <f>SUM(O296:O306)</f>
        <v>0</v>
      </c>
      <c r="P307" s="89">
        <f>SUM(P296:P306)</f>
        <v>0</v>
      </c>
      <c r="Q307" s="89">
        <f>SUM(Q296:Q306)</f>
        <v>0</v>
      </c>
      <c r="R307" s="89"/>
      <c r="S307" s="89">
        <f t="shared" ref="S307:AD307" si="309">SUM(S296:S306)</f>
        <v>0</v>
      </c>
      <c r="T307" s="89">
        <f t="shared" si="309"/>
        <v>0</v>
      </c>
      <c r="U307" s="89">
        <f t="shared" si="309"/>
        <v>0</v>
      </c>
      <c r="V307" s="89">
        <f t="shared" si="309"/>
        <v>0</v>
      </c>
      <c r="W307" s="89">
        <f t="shared" si="309"/>
        <v>0</v>
      </c>
      <c r="X307" s="89">
        <f t="shared" si="309"/>
        <v>0</v>
      </c>
      <c r="Y307" s="89">
        <f t="shared" si="309"/>
        <v>0</v>
      </c>
      <c r="Z307" s="89">
        <f t="shared" si="309"/>
        <v>0</v>
      </c>
      <c r="AA307" s="89">
        <f t="shared" si="309"/>
        <v>0</v>
      </c>
      <c r="AB307" s="89">
        <f t="shared" si="309"/>
        <v>0</v>
      </c>
      <c r="AC307" s="89">
        <f t="shared" si="309"/>
        <v>0</v>
      </c>
      <c r="AD307" s="89">
        <f t="shared" si="309"/>
        <v>0</v>
      </c>
      <c r="AE307" s="89"/>
      <c r="AF307" s="89">
        <f>SUM(AF296:AF306)</f>
        <v>0</v>
      </c>
      <c r="AG307" s="89"/>
      <c r="AH307" s="89">
        <f>SUM(AH296:AH306)</f>
        <v>5260656</v>
      </c>
      <c r="AI307" s="89"/>
      <c r="AJ307" s="89">
        <f>SUM(AJ296:AJ306)</f>
        <v>0</v>
      </c>
      <c r="AK307" s="90">
        <f>SUM(H307:AJ307)</f>
        <v>5260656</v>
      </c>
      <c r="AL307" s="87" t="str">
        <f>IF(ABS(AK307-F307)&lt;1,"ok","err")</f>
        <v>ok</v>
      </c>
    </row>
    <row r="308" spans="1:38" x14ac:dyDescent="0.5">
      <c r="D308" s="322"/>
      <c r="E308" s="45"/>
      <c r="F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L308" s="87"/>
    </row>
    <row r="309" spans="1:38" x14ac:dyDescent="0.5">
      <c r="A309" s="86" t="s">
        <v>1553</v>
      </c>
      <c r="C309" s="86" t="s">
        <v>1291</v>
      </c>
      <c r="D309" s="322"/>
      <c r="E309" s="45"/>
      <c r="F309" s="90">
        <f>F284+F293+F307</f>
        <v>779989121</v>
      </c>
      <c r="G309" s="90">
        <f>G282+G293+G307</f>
        <v>0</v>
      </c>
      <c r="H309" s="90">
        <f t="shared" ref="H309:M309" si="310">H284+H293+H307</f>
        <v>92041414.645440906</v>
      </c>
      <c r="I309" s="90">
        <f t="shared" si="310"/>
        <v>0</v>
      </c>
      <c r="J309" s="90">
        <f t="shared" si="310"/>
        <v>0</v>
      </c>
      <c r="K309" s="90">
        <f t="shared" si="310"/>
        <v>533401831.35455906</v>
      </c>
      <c r="L309" s="90">
        <f t="shared" si="310"/>
        <v>0</v>
      </c>
      <c r="M309" s="90">
        <f t="shared" si="310"/>
        <v>0</v>
      </c>
      <c r="N309" s="90"/>
      <c r="O309" s="90">
        <f>O284+O293+O307</f>
        <v>48717334</v>
      </c>
      <c r="P309" s="90">
        <f>P284+P293+P307</f>
        <v>0</v>
      </c>
      <c r="Q309" s="90">
        <f>Q284+Q293+Q307</f>
        <v>0</v>
      </c>
      <c r="R309" s="90"/>
      <c r="S309" s="90">
        <f t="shared" ref="S309:AD309" si="311">S284+S293+S307</f>
        <v>0</v>
      </c>
      <c r="T309" s="90">
        <f t="shared" si="311"/>
        <v>5815129.030362173</v>
      </c>
      <c r="U309" s="90">
        <f t="shared" si="311"/>
        <v>0</v>
      </c>
      <c r="V309" s="90">
        <f t="shared" si="311"/>
        <v>10205425.446417486</v>
      </c>
      <c r="W309" s="90">
        <f t="shared" si="311"/>
        <v>18430549.778687064</v>
      </c>
      <c r="X309" s="90">
        <f t="shared" si="311"/>
        <v>4319813.8295690697</v>
      </c>
      <c r="Y309" s="90">
        <f t="shared" si="311"/>
        <v>7869148.9768814836</v>
      </c>
      <c r="Z309" s="90">
        <f t="shared" si="311"/>
        <v>838347.07877957076</v>
      </c>
      <c r="AA309" s="90">
        <f t="shared" si="311"/>
        <v>696521.38956617774</v>
      </c>
      <c r="AB309" s="90">
        <f t="shared" si="311"/>
        <v>546526.88213016407</v>
      </c>
      <c r="AC309" s="90">
        <f t="shared" si="311"/>
        <v>10783144.611584609</v>
      </c>
      <c r="AD309" s="90">
        <f t="shared" si="311"/>
        <v>625885.97602220403</v>
      </c>
      <c r="AE309" s="90"/>
      <c r="AF309" s="90">
        <f>AF284+AF293+AF307</f>
        <v>40437392</v>
      </c>
      <c r="AG309" s="90"/>
      <c r="AH309" s="90">
        <f>AH284+AH293+AH307</f>
        <v>5260656</v>
      </c>
      <c r="AI309" s="90"/>
      <c r="AJ309" s="90">
        <f>AJ284+AJ293+AJ307</f>
        <v>0</v>
      </c>
      <c r="AK309" s="90">
        <f>AK284+AK293+AK307</f>
        <v>779989121.00000012</v>
      </c>
      <c r="AL309" s="87" t="str">
        <f>IF(ABS(AK309-F309)&lt;1,"ok","err")</f>
        <v>ok</v>
      </c>
    </row>
    <row r="310" spans="1:38" x14ac:dyDescent="0.5">
      <c r="D310" s="322"/>
      <c r="E310" s="45"/>
      <c r="F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L310" s="87"/>
    </row>
    <row r="311" spans="1:38" x14ac:dyDescent="0.5">
      <c r="D311" s="322"/>
      <c r="E311" s="45"/>
      <c r="F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L311" s="87"/>
    </row>
    <row r="312" spans="1:38" x14ac:dyDescent="0.5">
      <c r="D312" s="322"/>
      <c r="E312" s="45"/>
      <c r="F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L312" s="87"/>
    </row>
    <row r="313" spans="1:38" x14ac:dyDescent="0.5">
      <c r="D313" s="322"/>
      <c r="E313" s="45"/>
      <c r="F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L313" s="87"/>
    </row>
    <row r="314" spans="1:38" x14ac:dyDescent="0.5">
      <c r="D314" s="322"/>
      <c r="E314" s="45"/>
      <c r="F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L314" s="87"/>
    </row>
    <row r="315" spans="1:38" x14ac:dyDescent="0.5">
      <c r="A315" s="22" t="s">
        <v>290</v>
      </c>
      <c r="D315" s="322"/>
      <c r="E315" s="45"/>
      <c r="F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L315" s="87"/>
    </row>
    <row r="316" spans="1:38" x14ac:dyDescent="0.5">
      <c r="D316" s="322"/>
      <c r="E316" s="45"/>
      <c r="F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L316" s="87"/>
    </row>
    <row r="317" spans="1:38" x14ac:dyDescent="0.5">
      <c r="A317" s="23" t="s">
        <v>1184</v>
      </c>
      <c r="D317" s="322"/>
      <c r="E317" s="45"/>
      <c r="F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L317" s="87"/>
    </row>
    <row r="318" spans="1:38" x14ac:dyDescent="0.5">
      <c r="A318" s="86">
        <v>920</v>
      </c>
      <c r="B318" s="86" t="s">
        <v>1185</v>
      </c>
      <c r="C318" s="86" t="s">
        <v>1186</v>
      </c>
      <c r="D318" s="322" t="s">
        <v>716</v>
      </c>
      <c r="E318" s="45"/>
      <c r="F318" s="89">
        <f>'Jurisdictional Study'!F1116</f>
        <v>32982894</v>
      </c>
      <c r="H318" s="90">
        <f t="shared" ref="H318:H329" si="312">IF(VLOOKUP($D318,$C$5:$AJ$596,6,)=0,0,((VLOOKUP($D318,$C$5:$AJ$596,6,)/VLOOKUP($D318,$C$5:$AJ$596,4,))*$F318))</f>
        <v>10837882.270015055</v>
      </c>
      <c r="I318" s="90">
        <f t="shared" ref="I318:I329" si="313">IF(VLOOKUP($D318,$C$5:$AJ$596,7,)=0,0,((VLOOKUP($D318,$C$5:$AJ$596,7,)/VLOOKUP($D318,$C$5:$AJ$596,4,))*$F318))</f>
        <v>0</v>
      </c>
      <c r="J318" s="90">
        <f t="shared" ref="J318:J329" si="314">IF(VLOOKUP($D318,$C$5:$AJ$596,8,)=0,0,((VLOOKUP($D318,$C$5:$AJ$596,8,)/VLOOKUP($D318,$C$5:$AJ$596,4,))*$F318))</f>
        <v>0</v>
      </c>
      <c r="K318" s="90">
        <f t="shared" ref="K318:K329" si="315">IF(VLOOKUP($D318,$C$5:$AJ$596,9,)=0,0,((VLOOKUP($D318,$C$5:$AJ$596,9,)/VLOOKUP($D318,$C$5:$AJ$596,4,))*$F318))</f>
        <v>7424569.8271462908</v>
      </c>
      <c r="L318" s="90">
        <f t="shared" ref="L318:L329" si="316">IF(VLOOKUP($D318,$C$5:$AJ$596,10,)=0,0,((VLOOKUP($D318,$C$5:$AJ$596,10,)/VLOOKUP($D318,$C$5:$AJ$596,4,))*$F318))</f>
        <v>0</v>
      </c>
      <c r="M318" s="90">
        <f t="shared" ref="M318:M329" si="317">IF(VLOOKUP($D318,$C$5:$AJ$596,11,)=0,0,((VLOOKUP($D318,$C$5:$AJ$596,11,)/VLOOKUP($D318,$C$5:$AJ$596,4,))*$F318))</f>
        <v>0</v>
      </c>
      <c r="N318" s="90"/>
      <c r="O318" s="90">
        <f t="shared" ref="O318:O329" si="318">IF(VLOOKUP($D318,$C$5:$AJ$596,13,)=0,0,((VLOOKUP($D318,$C$5:$AJ$596,13,)/VLOOKUP($D318,$C$5:$AJ$596,4,))*$F318))</f>
        <v>2365588.9950582618</v>
      </c>
      <c r="P318" s="90">
        <f t="shared" ref="P318:P329" si="319">IF(VLOOKUP($D318,$C$5:$AJ$596,14,)=0,0,((VLOOKUP($D318,$C$5:$AJ$596,14,)/VLOOKUP($D318,$C$5:$AJ$596,4,))*$F318))</f>
        <v>0</v>
      </c>
      <c r="Q318" s="90">
        <f t="shared" ref="Q318:Q329" si="320">IF(VLOOKUP($D318,$C$5:$AJ$596,15,)=0,0,((VLOOKUP($D318,$C$5:$AJ$596,15,)/VLOOKUP($D318,$C$5:$AJ$596,4,))*$F318))</f>
        <v>0</v>
      </c>
      <c r="R318" s="90"/>
      <c r="S318" s="90">
        <f t="shared" ref="S318:S329" si="321">IF(VLOOKUP($D318,$C$5:$AJ$596,17,)=0,0,((VLOOKUP($D318,$C$5:$AJ$596,17,)/VLOOKUP($D318,$C$5:$AJ$596,4,))*$F318))</f>
        <v>0</v>
      </c>
      <c r="T318" s="90">
        <f t="shared" ref="T318:T329" si="322">IF(VLOOKUP($D318,$C$5:$AJ$596,18,)=0,0,((VLOOKUP($D318,$C$5:$AJ$596,18,)/VLOOKUP($D318,$C$5:$AJ$596,4,))*$F318))</f>
        <v>990226.69881477149</v>
      </c>
      <c r="U318" s="90">
        <f t="shared" ref="U318:U329" si="323">IF(VLOOKUP($D318,$C$5:$AJ$596,19,)=0,0,((VLOOKUP($D318,$C$5:$AJ$596,19,)/VLOOKUP($D318,$C$5:$AJ$596,4,))*$F318))</f>
        <v>0</v>
      </c>
      <c r="V318" s="90">
        <f t="shared" ref="V318:V329" si="324">IF(VLOOKUP($D318,$C$5:$AJ$596,20,)=0,0,((VLOOKUP($D318,$C$5:$AJ$596,20,)/VLOOKUP($D318,$C$5:$AJ$596,4,))*$F318))</f>
        <v>787580.09911991295</v>
      </c>
      <c r="W318" s="90">
        <f t="shared" ref="W318:W329" si="325">IF(VLOOKUP($D318,$C$5:$AJ$596,21,)=0,0,((VLOOKUP($D318,$C$5:$AJ$596,21,)/VLOOKUP($D318,$C$5:$AJ$596,4,))*$F318))</f>
        <v>1530870.7542859761</v>
      </c>
      <c r="X318" s="90">
        <f t="shared" ref="X318:X329" si="326">IF(VLOOKUP($D318,$C$5:$AJ$596,22,)=0,0,((VLOOKUP($D318,$C$5:$AJ$596,22,)/VLOOKUP($D318,$C$5:$AJ$596,4,))*$F318))</f>
        <v>354556.51168942521</v>
      </c>
      <c r="Y318" s="90">
        <f t="shared" ref="Y318:Y329" si="327">IF(VLOOKUP($D318,$C$5:$AJ$596,23,)=0,0,((VLOOKUP($D318,$C$5:$AJ$596,23,)/VLOOKUP($D318,$C$5:$AJ$596,4,))*$F318))</f>
        <v>715761.53438030509</v>
      </c>
      <c r="Z318" s="90">
        <f t="shared" ref="Z318:Z329" si="328">IF(VLOOKUP($D318,$C$5:$AJ$596,24,)=0,0,((VLOOKUP($D318,$C$5:$AJ$596,24,)/VLOOKUP($D318,$C$5:$AJ$596,4,))*$F318))</f>
        <v>516849.18885164714</v>
      </c>
      <c r="AA318" s="90">
        <f t="shared" ref="AA318:AA329" si="329">IF(VLOOKUP($D318,$C$5:$AJ$596,25,)=0,0,((VLOOKUP($D318,$C$5:$AJ$596,25,)/VLOOKUP($D318,$C$5:$AJ$596,4,))*$F318))</f>
        <v>429412.2617319409</v>
      </c>
      <c r="AB318" s="90">
        <f t="shared" ref="AB318:AB329" si="330">IF(VLOOKUP($D318,$C$5:$AJ$596,26,)=0,0,((VLOOKUP($D318,$C$5:$AJ$596,26,)/VLOOKUP($D318,$C$5:$AJ$596,4,))*$F318))</f>
        <v>362049.1363478126</v>
      </c>
      <c r="AC318" s="90">
        <f t="shared" ref="AC318:AC329" si="331">IF(VLOOKUP($D318,$C$5:$AJ$596,27,)=0,0,((VLOOKUP($D318,$C$5:$AJ$596,27,)/VLOOKUP($D318,$C$5:$AJ$596,4,))*$F318))</f>
        <v>215324.66942050992</v>
      </c>
      <c r="AD318" s="90">
        <f t="shared" ref="AD318:AD329" si="332">IF(VLOOKUP($D318,$C$5:$AJ$596,28,)=0,0,((VLOOKUP($D318,$C$5:$AJ$596,28,)/VLOOKUP($D318,$C$5:$AJ$596,4,))*$F318))</f>
        <v>414620.91706785973</v>
      </c>
      <c r="AE318" s="90"/>
      <c r="AF318" s="90">
        <f t="shared" ref="AF318:AF329" si="333">IF(VLOOKUP($D318,$C$5:$AJ$596,30,)=0,0,((VLOOKUP($D318,$C$5:$AJ$596,30,)/VLOOKUP($D318,$C$5:$AJ$596,4,))*$F318))</f>
        <v>5393574.7893030662</v>
      </c>
      <c r="AG318" s="90"/>
      <c r="AH318" s="90">
        <f t="shared" ref="AH318:AH329" si="334">IF(VLOOKUP($D318,$C$5:$AJ$596,32,)=0,0,((VLOOKUP($D318,$C$5:$AJ$596,32,)/VLOOKUP($D318,$C$5:$AJ$596,4,))*$F318))</f>
        <v>644026.3467671629</v>
      </c>
      <c r="AI318" s="90"/>
      <c r="AJ318" s="90">
        <f t="shared" ref="AJ318:AJ329" si="335">IF(VLOOKUP($D318,$C$5:$AJ$596,34,)=0,0,((VLOOKUP($D318,$C$5:$AJ$596,34,)/VLOOKUP($D318,$C$5:$AJ$596,4,))*$F318))</f>
        <v>0</v>
      </c>
      <c r="AK318" s="90">
        <f t="shared" ref="AK318:AK328" si="336">SUM(H318:AJ318)</f>
        <v>32982894</v>
      </c>
      <c r="AL318" s="87" t="str">
        <f t="shared" ref="AL318:AL328" si="337">IF(ABS(AK318-F318)&lt;1,"ok","err")</f>
        <v>ok</v>
      </c>
    </row>
    <row r="319" spans="1:38" x14ac:dyDescent="0.5">
      <c r="A319" s="86">
        <v>921</v>
      </c>
      <c r="B319" s="86" t="s">
        <v>1187</v>
      </c>
      <c r="C319" s="86" t="s">
        <v>1188</v>
      </c>
      <c r="D319" s="322" t="s">
        <v>716</v>
      </c>
      <c r="E319" s="45"/>
      <c r="F319" s="90">
        <f>'Jurisdictional Study'!F1117</f>
        <v>10307282</v>
      </c>
      <c r="H319" s="90">
        <f t="shared" si="312"/>
        <v>3386880.1458066511</v>
      </c>
      <c r="I319" s="90">
        <f t="shared" si="313"/>
        <v>0</v>
      </c>
      <c r="J319" s="90">
        <f t="shared" si="314"/>
        <v>0</v>
      </c>
      <c r="K319" s="90">
        <f t="shared" si="315"/>
        <v>2320206.799836548</v>
      </c>
      <c r="L319" s="90">
        <f t="shared" si="316"/>
        <v>0</v>
      </c>
      <c r="M319" s="90">
        <f t="shared" si="317"/>
        <v>0</v>
      </c>
      <c r="N319" s="90"/>
      <c r="O319" s="90">
        <f t="shared" si="318"/>
        <v>739255.71443676564</v>
      </c>
      <c r="P319" s="90">
        <f t="shared" si="319"/>
        <v>0</v>
      </c>
      <c r="Q319" s="90">
        <f t="shared" si="320"/>
        <v>0</v>
      </c>
      <c r="R319" s="90"/>
      <c r="S319" s="90">
        <f t="shared" si="321"/>
        <v>0</v>
      </c>
      <c r="T319" s="90">
        <f t="shared" si="322"/>
        <v>309449.67499252537</v>
      </c>
      <c r="U319" s="90">
        <f t="shared" si="323"/>
        <v>0</v>
      </c>
      <c r="V319" s="90">
        <f t="shared" si="324"/>
        <v>246121.82846104694</v>
      </c>
      <c r="W319" s="90">
        <f t="shared" si="325"/>
        <v>478403.03431161208</v>
      </c>
      <c r="X319" s="90">
        <f t="shared" si="326"/>
        <v>110800.28183455346</v>
      </c>
      <c r="Y319" s="90">
        <f t="shared" si="327"/>
        <v>223678.24908300949</v>
      </c>
      <c r="Z319" s="90">
        <f t="shared" si="328"/>
        <v>161517.37142790391</v>
      </c>
      <c r="AA319" s="90">
        <f t="shared" si="329"/>
        <v>134192.99337192558</v>
      </c>
      <c r="AB319" s="90">
        <f t="shared" si="330"/>
        <v>113141.75603248626</v>
      </c>
      <c r="AC319" s="90">
        <f t="shared" si="331"/>
        <v>67289.792377648017</v>
      </c>
      <c r="AD319" s="90">
        <f t="shared" si="332"/>
        <v>129570.64093032721</v>
      </c>
      <c r="AE319" s="90"/>
      <c r="AF319" s="90">
        <f t="shared" si="333"/>
        <v>1685512.9917173821</v>
      </c>
      <c r="AG319" s="90"/>
      <c r="AH319" s="90">
        <f t="shared" si="334"/>
        <v>201260.72537961454</v>
      </c>
      <c r="AI319" s="90"/>
      <c r="AJ319" s="90">
        <f t="shared" si="335"/>
        <v>0</v>
      </c>
      <c r="AK319" s="90">
        <f t="shared" si="336"/>
        <v>10307282</v>
      </c>
      <c r="AL319" s="87" t="str">
        <f t="shared" si="337"/>
        <v>ok</v>
      </c>
    </row>
    <row r="320" spans="1:38" x14ac:dyDescent="0.5">
      <c r="A320" s="86">
        <v>922</v>
      </c>
      <c r="B320" s="86" t="s">
        <v>1554</v>
      </c>
      <c r="C320" s="86" t="s">
        <v>1555</v>
      </c>
      <c r="D320" s="322" t="s">
        <v>716</v>
      </c>
      <c r="E320" s="45"/>
      <c r="F320" s="90">
        <f>'Jurisdictional Study'!F1118</f>
        <v>-6211522</v>
      </c>
      <c r="H320" s="90">
        <f t="shared" si="312"/>
        <v>-2041050.2533103509</v>
      </c>
      <c r="I320" s="90">
        <f t="shared" si="313"/>
        <v>0</v>
      </c>
      <c r="J320" s="90">
        <f t="shared" si="314"/>
        <v>0</v>
      </c>
      <c r="K320" s="90">
        <f t="shared" si="315"/>
        <v>-1398236.2742897996</v>
      </c>
      <c r="L320" s="90">
        <f t="shared" si="316"/>
        <v>0</v>
      </c>
      <c r="M320" s="90">
        <f t="shared" si="317"/>
        <v>0</v>
      </c>
      <c r="N320" s="90"/>
      <c r="O320" s="90">
        <f t="shared" si="318"/>
        <v>-445500.87344555894</v>
      </c>
      <c r="P320" s="90">
        <f t="shared" si="319"/>
        <v>0</v>
      </c>
      <c r="Q320" s="90">
        <f t="shared" si="320"/>
        <v>0</v>
      </c>
      <c r="R320" s="90"/>
      <c r="S320" s="90">
        <f t="shared" si="321"/>
        <v>0</v>
      </c>
      <c r="T320" s="90">
        <f t="shared" si="322"/>
        <v>-186484.99809250599</v>
      </c>
      <c r="U320" s="90">
        <f t="shared" si="323"/>
        <v>0</v>
      </c>
      <c r="V320" s="90">
        <f t="shared" si="324"/>
        <v>-148321.46361824768</v>
      </c>
      <c r="W320" s="90">
        <f t="shared" si="325"/>
        <v>-288302.09287893097</v>
      </c>
      <c r="X320" s="90">
        <f t="shared" si="326"/>
        <v>-66772.053798618217</v>
      </c>
      <c r="Y320" s="90">
        <f t="shared" si="327"/>
        <v>-134796.19215818422</v>
      </c>
      <c r="Z320" s="90">
        <f t="shared" si="328"/>
        <v>-97335.913192886015</v>
      </c>
      <c r="AA320" s="90">
        <f t="shared" si="329"/>
        <v>-80869.304883243691</v>
      </c>
      <c r="AB320" s="90">
        <f t="shared" si="330"/>
        <v>-68183.106537147338</v>
      </c>
      <c r="AC320" s="90">
        <f t="shared" si="331"/>
        <v>-40551.139061606438</v>
      </c>
      <c r="AD320" s="90">
        <f t="shared" si="332"/>
        <v>-78083.716608590694</v>
      </c>
      <c r="AE320" s="90"/>
      <c r="AF320" s="90">
        <f t="shared" si="333"/>
        <v>-1015747.9953821325</v>
      </c>
      <c r="AG320" s="90"/>
      <c r="AH320" s="90">
        <f t="shared" si="334"/>
        <v>-121286.62274219665</v>
      </c>
      <c r="AI320" s="90"/>
      <c r="AJ320" s="90">
        <f t="shared" si="335"/>
        <v>0</v>
      </c>
      <c r="AK320" s="90">
        <f>SUM(H320:AJ320)</f>
        <v>-6211521.9999999981</v>
      </c>
      <c r="AL320" s="87" t="str">
        <f t="shared" si="337"/>
        <v>ok</v>
      </c>
    </row>
    <row r="321" spans="1:38" x14ac:dyDescent="0.5">
      <c r="A321" s="86">
        <v>923</v>
      </c>
      <c r="B321" s="86" t="s">
        <v>1189</v>
      </c>
      <c r="C321" s="86" t="s">
        <v>1190</v>
      </c>
      <c r="D321" s="322" t="s">
        <v>716</v>
      </c>
      <c r="E321" s="45"/>
      <c r="F321" s="90">
        <f>'Jurisdictional Study'!F1119</f>
        <v>21332833</v>
      </c>
      <c r="H321" s="90">
        <f t="shared" si="312"/>
        <v>7009777.0238079196</v>
      </c>
      <c r="I321" s="90">
        <f t="shared" si="313"/>
        <v>0</v>
      </c>
      <c r="J321" s="90">
        <f t="shared" si="314"/>
        <v>0</v>
      </c>
      <c r="K321" s="90">
        <f t="shared" si="315"/>
        <v>4802098.5732589355</v>
      </c>
      <c r="L321" s="90">
        <f t="shared" si="316"/>
        <v>0</v>
      </c>
      <c r="M321" s="90">
        <f t="shared" si="317"/>
        <v>0</v>
      </c>
      <c r="N321" s="90"/>
      <c r="O321" s="90">
        <f t="shared" si="318"/>
        <v>1530026.8975249936</v>
      </c>
      <c r="P321" s="90">
        <f t="shared" si="319"/>
        <v>0</v>
      </c>
      <c r="Q321" s="90">
        <f t="shared" si="320"/>
        <v>0</v>
      </c>
      <c r="R321" s="90"/>
      <c r="S321" s="90">
        <f t="shared" si="321"/>
        <v>0</v>
      </c>
      <c r="T321" s="90">
        <f t="shared" si="322"/>
        <v>640463.5323376056</v>
      </c>
      <c r="U321" s="90">
        <f t="shared" si="323"/>
        <v>0</v>
      </c>
      <c r="V321" s="90">
        <f t="shared" si="324"/>
        <v>509394.80109442637</v>
      </c>
      <c r="W321" s="90">
        <f t="shared" si="325"/>
        <v>990143.86505219224</v>
      </c>
      <c r="X321" s="90">
        <f t="shared" si="326"/>
        <v>229321.74638565845</v>
      </c>
      <c r="Y321" s="90">
        <f t="shared" si="327"/>
        <v>462943.64832748775</v>
      </c>
      <c r="Z321" s="90">
        <f t="shared" si="328"/>
        <v>334290.17574860621</v>
      </c>
      <c r="AA321" s="90">
        <f t="shared" si="329"/>
        <v>277737.30430324841</v>
      </c>
      <c r="AB321" s="90">
        <f t="shared" si="330"/>
        <v>234167.86178623734</v>
      </c>
      <c r="AC321" s="90">
        <f t="shared" si="331"/>
        <v>139268.71345879912</v>
      </c>
      <c r="AD321" s="90">
        <f t="shared" si="332"/>
        <v>268170.48807528842</v>
      </c>
      <c r="AE321" s="90"/>
      <c r="AF321" s="90">
        <f t="shared" si="333"/>
        <v>3488481.9462237763</v>
      </c>
      <c r="AG321" s="90"/>
      <c r="AH321" s="90">
        <f t="shared" si="334"/>
        <v>416546.42261482502</v>
      </c>
      <c r="AI321" s="90"/>
      <c r="AJ321" s="90">
        <f t="shared" si="335"/>
        <v>0</v>
      </c>
      <c r="AK321" s="90">
        <f t="shared" si="336"/>
        <v>21332833</v>
      </c>
      <c r="AL321" s="87" t="str">
        <f t="shared" si="337"/>
        <v>ok</v>
      </c>
    </row>
    <row r="322" spans="1:38" x14ac:dyDescent="0.5">
      <c r="A322" s="86">
        <v>924</v>
      </c>
      <c r="B322" s="86" t="s">
        <v>1191</v>
      </c>
      <c r="C322" s="86" t="s">
        <v>1192</v>
      </c>
      <c r="D322" s="322" t="s">
        <v>184</v>
      </c>
      <c r="E322" s="45"/>
      <c r="F322" s="90">
        <f>'Jurisdictional Study'!F1112</f>
        <v>8726372</v>
      </c>
      <c r="H322" s="90">
        <f t="shared" si="312"/>
        <v>5439382.994683465</v>
      </c>
      <c r="I322" s="90">
        <f t="shared" si="313"/>
        <v>0</v>
      </c>
      <c r="J322" s="90">
        <f t="shared" si="314"/>
        <v>0</v>
      </c>
      <c r="K322" s="90">
        <f t="shared" si="315"/>
        <v>0</v>
      </c>
      <c r="L322" s="90">
        <f t="shared" si="316"/>
        <v>0</v>
      </c>
      <c r="M322" s="90">
        <f t="shared" si="317"/>
        <v>0</v>
      </c>
      <c r="N322" s="90"/>
      <c r="O322" s="90">
        <f t="shared" si="318"/>
        <v>1243595.9791296232</v>
      </c>
      <c r="P322" s="90">
        <f t="shared" si="319"/>
        <v>0</v>
      </c>
      <c r="Q322" s="90">
        <f t="shared" si="320"/>
        <v>0</v>
      </c>
      <c r="R322" s="90"/>
      <c r="S322" s="90">
        <f t="shared" si="321"/>
        <v>0</v>
      </c>
      <c r="T322" s="90">
        <f t="shared" si="322"/>
        <v>320301.0428939141</v>
      </c>
      <c r="U322" s="90">
        <f t="shared" si="323"/>
        <v>0</v>
      </c>
      <c r="V322" s="90">
        <f t="shared" si="324"/>
        <v>254752.50002099542</v>
      </c>
      <c r="W322" s="90">
        <f t="shared" si="325"/>
        <v>495179.03296335205</v>
      </c>
      <c r="X322" s="90">
        <f t="shared" si="326"/>
        <v>114685.67813297689</v>
      </c>
      <c r="Y322" s="90">
        <f t="shared" si="327"/>
        <v>231521.89917699271</v>
      </c>
      <c r="Z322" s="90">
        <f t="shared" si="328"/>
        <v>167181.24688639893</v>
      </c>
      <c r="AA322" s="90">
        <f t="shared" si="329"/>
        <v>138898.69403521612</v>
      </c>
      <c r="AB322" s="90">
        <f t="shared" si="330"/>
        <v>117109.26002080785</v>
      </c>
      <c r="AC322" s="90">
        <f t="shared" si="331"/>
        <v>69649.420944443424</v>
      </c>
      <c r="AD322" s="90">
        <f t="shared" si="332"/>
        <v>134114.25111181362</v>
      </c>
      <c r="AE322" s="90"/>
      <c r="AF322" s="90">
        <f t="shared" si="333"/>
        <v>0</v>
      </c>
      <c r="AG322" s="90"/>
      <c r="AH322" s="90">
        <f t="shared" si="334"/>
        <v>0</v>
      </c>
      <c r="AI322" s="90"/>
      <c r="AJ322" s="90">
        <f t="shared" si="335"/>
        <v>0</v>
      </c>
      <c r="AK322" s="90">
        <f t="shared" si="336"/>
        <v>8726371.9999999981</v>
      </c>
      <c r="AL322" s="87" t="str">
        <f t="shared" si="337"/>
        <v>ok</v>
      </c>
    </row>
    <row r="323" spans="1:38" x14ac:dyDescent="0.5">
      <c r="A323" s="86">
        <v>925</v>
      </c>
      <c r="B323" s="86" t="s">
        <v>1167</v>
      </c>
      <c r="C323" s="86" t="s">
        <v>1168</v>
      </c>
      <c r="D323" s="322" t="s">
        <v>716</v>
      </c>
      <c r="E323" s="45"/>
      <c r="F323" s="90">
        <f>'Jurisdictional Study'!F1120</f>
        <v>4777652</v>
      </c>
      <c r="H323" s="90">
        <f t="shared" si="312"/>
        <v>1569893.4697210612</v>
      </c>
      <c r="I323" s="90">
        <f t="shared" si="313"/>
        <v>0</v>
      </c>
      <c r="J323" s="90">
        <f t="shared" si="314"/>
        <v>0</v>
      </c>
      <c r="K323" s="90">
        <f t="shared" si="315"/>
        <v>1075466.9036563358</v>
      </c>
      <c r="L323" s="90">
        <f t="shared" si="316"/>
        <v>0</v>
      </c>
      <c r="M323" s="90">
        <f t="shared" si="317"/>
        <v>0</v>
      </c>
      <c r="N323" s="90"/>
      <c r="O323" s="90">
        <f t="shared" si="318"/>
        <v>342661.28961934312</v>
      </c>
      <c r="P323" s="90">
        <f t="shared" si="319"/>
        <v>0</v>
      </c>
      <c r="Q323" s="90">
        <f t="shared" si="320"/>
        <v>0</v>
      </c>
      <c r="R323" s="90"/>
      <c r="S323" s="90">
        <f t="shared" si="321"/>
        <v>0</v>
      </c>
      <c r="T323" s="90">
        <f t="shared" si="322"/>
        <v>143436.73323650105</v>
      </c>
      <c r="U323" s="90">
        <f t="shared" si="323"/>
        <v>0</v>
      </c>
      <c r="V323" s="90">
        <f t="shared" si="324"/>
        <v>114082.88295503876</v>
      </c>
      <c r="W323" s="90">
        <f t="shared" si="325"/>
        <v>221750.3327923833</v>
      </c>
      <c r="X323" s="90">
        <f t="shared" si="326"/>
        <v>51358.368589063342</v>
      </c>
      <c r="Y323" s="90">
        <f t="shared" si="327"/>
        <v>103679.79008316048</v>
      </c>
      <c r="Z323" s="90">
        <f t="shared" si="328"/>
        <v>74866.855552925394</v>
      </c>
      <c r="AA323" s="90">
        <f t="shared" si="329"/>
        <v>62201.405100720724</v>
      </c>
      <c r="AB323" s="90">
        <f t="shared" si="330"/>
        <v>52443.69339968772</v>
      </c>
      <c r="AC323" s="90">
        <f t="shared" si="331"/>
        <v>31190.299356576717</v>
      </c>
      <c r="AD323" s="90">
        <f t="shared" si="332"/>
        <v>60058.843037578641</v>
      </c>
      <c r="AE323" s="90"/>
      <c r="AF323" s="90">
        <f t="shared" si="333"/>
        <v>781272.35830983706</v>
      </c>
      <c r="AG323" s="90"/>
      <c r="AH323" s="90">
        <f t="shared" si="334"/>
        <v>93288.774589786728</v>
      </c>
      <c r="AI323" s="90"/>
      <c r="AJ323" s="90">
        <f t="shared" si="335"/>
        <v>0</v>
      </c>
      <c r="AK323" s="90">
        <f t="shared" si="336"/>
        <v>4777652</v>
      </c>
      <c r="AL323" s="87" t="str">
        <f t="shared" si="337"/>
        <v>ok</v>
      </c>
    </row>
    <row r="324" spans="1:38" x14ac:dyDescent="0.5">
      <c r="A324" s="86">
        <v>926</v>
      </c>
      <c r="B324" s="86" t="s">
        <v>1169</v>
      </c>
      <c r="C324" s="86" t="s">
        <v>250</v>
      </c>
      <c r="D324" s="322" t="s">
        <v>716</v>
      </c>
      <c r="E324" s="45"/>
      <c r="F324" s="90">
        <f>'Jurisdictional Study'!F1121+'Jurisdictional Study'!F1122</f>
        <v>31473418</v>
      </c>
      <c r="H324" s="90">
        <f t="shared" si="312"/>
        <v>10341882.034941286</v>
      </c>
      <c r="I324" s="90">
        <f t="shared" si="313"/>
        <v>0</v>
      </c>
      <c r="J324" s="90">
        <f t="shared" si="314"/>
        <v>0</v>
      </c>
      <c r="K324" s="90">
        <f t="shared" si="315"/>
        <v>7084781.2699505072</v>
      </c>
      <c r="L324" s="90">
        <f t="shared" si="316"/>
        <v>0</v>
      </c>
      <c r="M324" s="90">
        <f t="shared" si="317"/>
        <v>0</v>
      </c>
      <c r="N324" s="90"/>
      <c r="O324" s="90">
        <f t="shared" si="318"/>
        <v>2257326.8209171887</v>
      </c>
      <c r="P324" s="90">
        <f t="shared" si="319"/>
        <v>0</v>
      </c>
      <c r="Q324" s="90">
        <f t="shared" si="320"/>
        <v>0</v>
      </c>
      <c r="R324" s="90"/>
      <c r="S324" s="90">
        <f t="shared" si="321"/>
        <v>0</v>
      </c>
      <c r="T324" s="90">
        <f t="shared" si="322"/>
        <v>944908.55794999097</v>
      </c>
      <c r="U324" s="90">
        <f t="shared" si="323"/>
        <v>0</v>
      </c>
      <c r="V324" s="90">
        <f t="shared" si="324"/>
        <v>751536.16502185806</v>
      </c>
      <c r="W324" s="90">
        <f t="shared" si="325"/>
        <v>1460809.8110983777</v>
      </c>
      <c r="X324" s="90">
        <f t="shared" si="326"/>
        <v>338330.08398302365</v>
      </c>
      <c r="Y324" s="90">
        <f t="shared" si="327"/>
        <v>683004.40706848563</v>
      </c>
      <c r="Z324" s="90">
        <f t="shared" si="328"/>
        <v>493195.3685958797</v>
      </c>
      <c r="AA324" s="90">
        <f t="shared" si="329"/>
        <v>409760.02917799697</v>
      </c>
      <c r="AB324" s="90">
        <f t="shared" si="330"/>
        <v>345479.80552627367</v>
      </c>
      <c r="AC324" s="90">
        <f t="shared" si="331"/>
        <v>205470.24546674185</v>
      </c>
      <c r="AD324" s="90">
        <f t="shared" si="332"/>
        <v>395645.61661630066</v>
      </c>
      <c r="AE324" s="90"/>
      <c r="AF324" s="90">
        <f t="shared" si="333"/>
        <v>5146735.5732337302</v>
      </c>
      <c r="AG324" s="90"/>
      <c r="AH324" s="90">
        <f t="shared" si="334"/>
        <v>614552.21045235952</v>
      </c>
      <c r="AI324" s="90"/>
      <c r="AJ324" s="90">
        <f t="shared" si="335"/>
        <v>0</v>
      </c>
      <c r="AK324" s="90">
        <f t="shared" si="336"/>
        <v>31473418.000000007</v>
      </c>
      <c r="AL324" s="87" t="str">
        <f t="shared" si="337"/>
        <v>ok</v>
      </c>
    </row>
    <row r="325" spans="1:38" x14ac:dyDescent="0.5">
      <c r="A325" s="86">
        <v>928</v>
      </c>
      <c r="B325" s="86" t="s">
        <v>549</v>
      </c>
      <c r="C325" s="86" t="s">
        <v>251</v>
      </c>
      <c r="D325" s="322" t="s">
        <v>184</v>
      </c>
      <c r="E325" s="45"/>
      <c r="F325" s="90">
        <f>'Jurisdictional Study'!F1137</f>
        <v>851305</v>
      </c>
      <c r="H325" s="90">
        <f t="shared" si="312"/>
        <v>530641.36393555161</v>
      </c>
      <c r="I325" s="90">
        <f t="shared" si="313"/>
        <v>0</v>
      </c>
      <c r="J325" s="90">
        <f t="shared" si="314"/>
        <v>0</v>
      </c>
      <c r="K325" s="90">
        <f t="shared" si="315"/>
        <v>0</v>
      </c>
      <c r="L325" s="90">
        <f t="shared" si="316"/>
        <v>0</v>
      </c>
      <c r="M325" s="90">
        <f t="shared" si="317"/>
        <v>0</v>
      </c>
      <c r="N325" s="90"/>
      <c r="O325" s="90">
        <f t="shared" si="318"/>
        <v>121319.54436654132</v>
      </c>
      <c r="P325" s="90">
        <f t="shared" si="319"/>
        <v>0</v>
      </c>
      <c r="Q325" s="90">
        <f t="shared" si="320"/>
        <v>0</v>
      </c>
      <c r="R325" s="90"/>
      <c r="S325" s="90">
        <f t="shared" si="321"/>
        <v>0</v>
      </c>
      <c r="T325" s="90">
        <f t="shared" si="322"/>
        <v>31247.106967340325</v>
      </c>
      <c r="U325" s="90">
        <f t="shared" si="323"/>
        <v>0</v>
      </c>
      <c r="V325" s="90">
        <f t="shared" si="324"/>
        <v>24852.490477184965</v>
      </c>
      <c r="W325" s="90">
        <f t="shared" si="325"/>
        <v>48307.405031193535</v>
      </c>
      <c r="X325" s="90">
        <f t="shared" si="326"/>
        <v>11188.211002578606</v>
      </c>
      <c r="Y325" s="90">
        <f t="shared" si="327"/>
        <v>22586.219150280296</v>
      </c>
      <c r="Z325" s="90">
        <f t="shared" si="328"/>
        <v>16309.438949041578</v>
      </c>
      <c r="AA325" s="90">
        <f t="shared" si="329"/>
        <v>13550.322255990193</v>
      </c>
      <c r="AB325" s="90">
        <f t="shared" si="330"/>
        <v>11424.644583340456</v>
      </c>
      <c r="AC325" s="90">
        <f t="shared" si="331"/>
        <v>6794.6794265829376</v>
      </c>
      <c r="AD325" s="90">
        <f t="shared" si="332"/>
        <v>13083.57385437413</v>
      </c>
      <c r="AE325" s="90"/>
      <c r="AF325" s="90">
        <f t="shared" si="333"/>
        <v>0</v>
      </c>
      <c r="AG325" s="90"/>
      <c r="AH325" s="90">
        <f t="shared" si="334"/>
        <v>0</v>
      </c>
      <c r="AI325" s="90"/>
      <c r="AJ325" s="90">
        <f t="shared" si="335"/>
        <v>0</v>
      </c>
      <c r="AK325" s="90">
        <f t="shared" si="336"/>
        <v>851305.00000000012</v>
      </c>
      <c r="AL325" s="87" t="str">
        <f t="shared" si="337"/>
        <v>ok</v>
      </c>
    </row>
    <row r="326" spans="1:38" x14ac:dyDescent="0.5">
      <c r="A326" s="86">
        <v>929</v>
      </c>
      <c r="B326" s="86" t="s">
        <v>305</v>
      </c>
      <c r="C326" s="86" t="s">
        <v>467</v>
      </c>
      <c r="D326" s="322" t="s">
        <v>716</v>
      </c>
      <c r="E326" s="45"/>
      <c r="F326" s="90">
        <f>'Jurisdictional Study'!F1138</f>
        <v>0</v>
      </c>
      <c r="H326" s="90">
        <f t="shared" si="312"/>
        <v>0</v>
      </c>
      <c r="I326" s="90">
        <f t="shared" si="313"/>
        <v>0</v>
      </c>
      <c r="J326" s="90">
        <f t="shared" si="314"/>
        <v>0</v>
      </c>
      <c r="K326" s="90">
        <f t="shared" si="315"/>
        <v>0</v>
      </c>
      <c r="L326" s="90">
        <f t="shared" si="316"/>
        <v>0</v>
      </c>
      <c r="M326" s="90">
        <f t="shared" si="317"/>
        <v>0</v>
      </c>
      <c r="N326" s="90"/>
      <c r="O326" s="90">
        <f t="shared" si="318"/>
        <v>0</v>
      </c>
      <c r="P326" s="90">
        <f t="shared" si="319"/>
        <v>0</v>
      </c>
      <c r="Q326" s="90">
        <f t="shared" si="320"/>
        <v>0</v>
      </c>
      <c r="R326" s="90"/>
      <c r="S326" s="90">
        <f t="shared" si="321"/>
        <v>0</v>
      </c>
      <c r="T326" s="90">
        <f t="shared" si="322"/>
        <v>0</v>
      </c>
      <c r="U326" s="90">
        <f t="shared" si="323"/>
        <v>0</v>
      </c>
      <c r="V326" s="90">
        <f t="shared" si="324"/>
        <v>0</v>
      </c>
      <c r="W326" s="90">
        <f t="shared" si="325"/>
        <v>0</v>
      </c>
      <c r="X326" s="90">
        <f t="shared" si="326"/>
        <v>0</v>
      </c>
      <c r="Y326" s="90">
        <f t="shared" si="327"/>
        <v>0</v>
      </c>
      <c r="Z326" s="90">
        <f t="shared" si="328"/>
        <v>0</v>
      </c>
      <c r="AA326" s="90">
        <f t="shared" si="329"/>
        <v>0</v>
      </c>
      <c r="AB326" s="90">
        <f t="shared" si="330"/>
        <v>0</v>
      </c>
      <c r="AC326" s="90">
        <f t="shared" si="331"/>
        <v>0</v>
      </c>
      <c r="AD326" s="90">
        <f t="shared" si="332"/>
        <v>0</v>
      </c>
      <c r="AE326" s="90"/>
      <c r="AF326" s="90">
        <f t="shared" si="333"/>
        <v>0</v>
      </c>
      <c r="AG326" s="90"/>
      <c r="AH326" s="90">
        <f t="shared" si="334"/>
        <v>0</v>
      </c>
      <c r="AI326" s="90"/>
      <c r="AJ326" s="90">
        <f t="shared" si="335"/>
        <v>0</v>
      </c>
      <c r="AK326" s="90">
        <f t="shared" si="336"/>
        <v>0</v>
      </c>
      <c r="AL326" s="87" t="str">
        <f t="shared" si="337"/>
        <v>ok</v>
      </c>
    </row>
    <row r="327" spans="1:38" x14ac:dyDescent="0.5">
      <c r="A327" s="86">
        <v>930</v>
      </c>
      <c r="B327" s="86" t="s">
        <v>252</v>
      </c>
      <c r="C327" s="86" t="s">
        <v>253</v>
      </c>
      <c r="D327" s="322" t="s">
        <v>716</v>
      </c>
      <c r="E327" s="45"/>
      <c r="F327" s="90">
        <f>'Jurisdictional Study'!F1126+'Jurisdictional Study'!F1127-2822</f>
        <v>3314333</v>
      </c>
      <c r="H327" s="90">
        <f t="shared" si="312"/>
        <v>1089060.0096409312</v>
      </c>
      <c r="I327" s="90">
        <f t="shared" si="313"/>
        <v>0</v>
      </c>
      <c r="J327" s="90">
        <f t="shared" si="314"/>
        <v>0</v>
      </c>
      <c r="K327" s="90">
        <f t="shared" si="315"/>
        <v>746068.45563385822</v>
      </c>
      <c r="L327" s="90">
        <f t="shared" si="316"/>
        <v>0</v>
      </c>
      <c r="M327" s="90">
        <f t="shared" si="317"/>
        <v>0</v>
      </c>
      <c r="N327" s="90"/>
      <c r="O327" s="90">
        <f t="shared" si="318"/>
        <v>237709.57365834649</v>
      </c>
      <c r="P327" s="90">
        <f t="shared" si="319"/>
        <v>0</v>
      </c>
      <c r="Q327" s="90">
        <f t="shared" si="320"/>
        <v>0</v>
      </c>
      <c r="R327" s="90"/>
      <c r="S327" s="90">
        <f t="shared" si="321"/>
        <v>0</v>
      </c>
      <c r="T327" s="90">
        <f t="shared" si="322"/>
        <v>99504.33777469187</v>
      </c>
      <c r="U327" s="90">
        <f t="shared" si="323"/>
        <v>0</v>
      </c>
      <c r="V327" s="90">
        <f t="shared" si="324"/>
        <v>79141.106073239003</v>
      </c>
      <c r="W327" s="90">
        <f t="shared" si="325"/>
        <v>153831.72439825634</v>
      </c>
      <c r="X327" s="90">
        <f t="shared" si="326"/>
        <v>35628.115199871419</v>
      </c>
      <c r="Y327" s="90">
        <f t="shared" si="327"/>
        <v>71924.315480845296</v>
      </c>
      <c r="Z327" s="90">
        <f t="shared" si="328"/>
        <v>51936.3256187964</v>
      </c>
      <c r="AA327" s="90">
        <f t="shared" si="329"/>
        <v>43150.101675820471</v>
      </c>
      <c r="AB327" s="90">
        <f t="shared" si="330"/>
        <v>36381.022241985644</v>
      </c>
      <c r="AC327" s="90">
        <f t="shared" si="331"/>
        <v>21637.205564026215</v>
      </c>
      <c r="AD327" s="90">
        <f t="shared" si="332"/>
        <v>41663.772376319401</v>
      </c>
      <c r="AE327" s="90"/>
      <c r="AF327" s="90">
        <f t="shared" si="333"/>
        <v>541981.03150545864</v>
      </c>
      <c r="AG327" s="90"/>
      <c r="AH327" s="90">
        <f t="shared" si="334"/>
        <v>64715.903157553468</v>
      </c>
      <c r="AI327" s="90"/>
      <c r="AJ327" s="90">
        <f t="shared" si="335"/>
        <v>0</v>
      </c>
      <c r="AK327" s="90">
        <f t="shared" si="336"/>
        <v>3314333</v>
      </c>
      <c r="AL327" s="87" t="str">
        <f t="shared" si="337"/>
        <v>ok</v>
      </c>
    </row>
    <row r="328" spans="1:38" x14ac:dyDescent="0.5">
      <c r="A328" s="86">
        <v>931</v>
      </c>
      <c r="B328" s="86" t="s">
        <v>254</v>
      </c>
      <c r="C328" s="86" t="s">
        <v>255</v>
      </c>
      <c r="D328" s="322" t="s">
        <v>174</v>
      </c>
      <c r="E328" s="45"/>
      <c r="F328" s="90">
        <f>'Jurisdictional Study'!F1128</f>
        <v>3079062</v>
      </c>
      <c r="H328" s="90">
        <f t="shared" si="312"/>
        <v>1937732.037697094</v>
      </c>
      <c r="I328" s="90">
        <f t="shared" si="313"/>
        <v>0</v>
      </c>
      <c r="J328" s="90">
        <f t="shared" si="314"/>
        <v>0</v>
      </c>
      <c r="K328" s="90">
        <f t="shared" si="315"/>
        <v>0</v>
      </c>
      <c r="L328" s="90">
        <f t="shared" si="316"/>
        <v>0</v>
      </c>
      <c r="M328" s="90">
        <f t="shared" si="317"/>
        <v>0</v>
      </c>
      <c r="N328" s="90"/>
      <c r="O328" s="90">
        <f t="shared" si="318"/>
        <v>419450.57800969289</v>
      </c>
      <c r="P328" s="90">
        <f t="shared" si="319"/>
        <v>0</v>
      </c>
      <c r="Q328" s="90">
        <f t="shared" si="320"/>
        <v>0</v>
      </c>
      <c r="R328" s="90"/>
      <c r="S328" s="90">
        <f t="shared" si="321"/>
        <v>0</v>
      </c>
      <c r="T328" s="90">
        <f t="shared" si="322"/>
        <v>113154.30593604411</v>
      </c>
      <c r="U328" s="90">
        <f t="shared" si="323"/>
        <v>0</v>
      </c>
      <c r="V328" s="90">
        <f t="shared" si="324"/>
        <v>89997.653660138982</v>
      </c>
      <c r="W328" s="90">
        <f t="shared" si="325"/>
        <v>174934.30331292329</v>
      </c>
      <c r="X328" s="90">
        <f t="shared" si="326"/>
        <v>40515.566832667741</v>
      </c>
      <c r="Y328" s="90">
        <f t="shared" si="327"/>
        <v>81790.866410148563</v>
      </c>
      <c r="Z328" s="90">
        <f t="shared" si="328"/>
        <v>59060.931510043338</v>
      </c>
      <c r="AA328" s="90">
        <f t="shared" si="329"/>
        <v>49069.416624357997</v>
      </c>
      <c r="AB328" s="90">
        <f t="shared" si="330"/>
        <v>41371.757383653588</v>
      </c>
      <c r="AC328" s="90">
        <f t="shared" si="331"/>
        <v>24605.389400577616</v>
      </c>
      <c r="AD328" s="90">
        <f t="shared" si="332"/>
        <v>47379.193222657945</v>
      </c>
      <c r="AE328" s="90"/>
      <c r="AF328" s="90">
        <f t="shared" si="333"/>
        <v>0</v>
      </c>
      <c r="AG328" s="90"/>
      <c r="AH328" s="90">
        <f t="shared" si="334"/>
        <v>0</v>
      </c>
      <c r="AI328" s="90"/>
      <c r="AJ328" s="90">
        <f t="shared" si="335"/>
        <v>0</v>
      </c>
      <c r="AK328" s="90">
        <f t="shared" si="336"/>
        <v>3079062</v>
      </c>
      <c r="AL328" s="87" t="str">
        <f t="shared" si="337"/>
        <v>ok</v>
      </c>
    </row>
    <row r="329" spans="1:38" x14ac:dyDescent="0.5">
      <c r="A329" s="86">
        <v>935</v>
      </c>
      <c r="B329" s="86" t="s">
        <v>256</v>
      </c>
      <c r="C329" s="86" t="s">
        <v>1556</v>
      </c>
      <c r="D329" s="322" t="s">
        <v>174</v>
      </c>
      <c r="E329" s="45"/>
      <c r="F329" s="90">
        <f>'Jurisdictional Study'!F1129</f>
        <v>1672323</v>
      </c>
      <c r="H329" s="90">
        <f t="shared" si="312"/>
        <v>1052435.4022353941</v>
      </c>
      <c r="I329" s="90">
        <f t="shared" si="313"/>
        <v>0</v>
      </c>
      <c r="J329" s="90">
        <f t="shared" si="314"/>
        <v>0</v>
      </c>
      <c r="K329" s="90">
        <f t="shared" si="315"/>
        <v>0</v>
      </c>
      <c r="L329" s="90">
        <f t="shared" si="316"/>
        <v>0</v>
      </c>
      <c r="M329" s="90">
        <f t="shared" si="317"/>
        <v>0</v>
      </c>
      <c r="N329" s="90"/>
      <c r="O329" s="90">
        <f t="shared" si="318"/>
        <v>227815.11024100965</v>
      </c>
      <c r="P329" s="90">
        <f t="shared" si="319"/>
        <v>0</v>
      </c>
      <c r="Q329" s="90">
        <f t="shared" si="320"/>
        <v>0</v>
      </c>
      <c r="R329" s="90"/>
      <c r="S329" s="90">
        <f t="shared" si="321"/>
        <v>0</v>
      </c>
      <c r="T329" s="90">
        <f t="shared" si="322"/>
        <v>61457.206241992884</v>
      </c>
      <c r="U329" s="90">
        <f t="shared" si="323"/>
        <v>0</v>
      </c>
      <c r="V329" s="90">
        <f t="shared" si="324"/>
        <v>48880.193436145353</v>
      </c>
      <c r="W329" s="90">
        <f t="shared" si="325"/>
        <v>95011.616823298071</v>
      </c>
      <c r="X329" s="90">
        <f t="shared" si="326"/>
        <v>22005.115282611201</v>
      </c>
      <c r="Y329" s="90">
        <f t="shared" si="327"/>
        <v>44422.862250782506</v>
      </c>
      <c r="Z329" s="90">
        <f t="shared" si="328"/>
        <v>32077.611352311254</v>
      </c>
      <c r="AA329" s="90">
        <f t="shared" si="329"/>
        <v>26650.94565081711</v>
      </c>
      <c r="AB329" s="90">
        <f t="shared" si="330"/>
        <v>22470.135847574267</v>
      </c>
      <c r="AC329" s="90">
        <f t="shared" si="331"/>
        <v>13363.861662591453</v>
      </c>
      <c r="AD329" s="90">
        <f t="shared" si="332"/>
        <v>25732.938975472076</v>
      </c>
      <c r="AE329" s="90"/>
      <c r="AF329" s="90">
        <f t="shared" si="333"/>
        <v>0</v>
      </c>
      <c r="AG329" s="90"/>
      <c r="AH329" s="90">
        <f t="shared" si="334"/>
        <v>0</v>
      </c>
      <c r="AI329" s="90"/>
      <c r="AJ329" s="90">
        <f t="shared" si="335"/>
        <v>0</v>
      </c>
      <c r="AK329" s="90"/>
      <c r="AL329" s="87"/>
    </row>
    <row r="330" spans="1:38" x14ac:dyDescent="0.5">
      <c r="D330" s="322"/>
      <c r="E330" s="45"/>
      <c r="F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87"/>
    </row>
    <row r="331" spans="1:38" x14ac:dyDescent="0.5">
      <c r="A331" s="86" t="s">
        <v>257</v>
      </c>
      <c r="C331" s="86" t="s">
        <v>258</v>
      </c>
      <c r="D331" s="322"/>
      <c r="E331" s="45"/>
      <c r="F331" s="89">
        <f t="shared" ref="F331:M331" si="338">SUM(F318:F330)</f>
        <v>112305952</v>
      </c>
      <c r="G331" s="89">
        <f t="shared" si="338"/>
        <v>0</v>
      </c>
      <c r="H331" s="89">
        <f t="shared" si="338"/>
        <v>41154516.499174058</v>
      </c>
      <c r="I331" s="89">
        <f t="shared" si="338"/>
        <v>0</v>
      </c>
      <c r="J331" s="89">
        <f t="shared" si="338"/>
        <v>0</v>
      </c>
      <c r="K331" s="89">
        <f t="shared" si="338"/>
        <v>22054955.555192672</v>
      </c>
      <c r="L331" s="89">
        <f t="shared" si="338"/>
        <v>0</v>
      </c>
      <c r="M331" s="89">
        <f t="shared" si="338"/>
        <v>0</v>
      </c>
      <c r="N331" s="89"/>
      <c r="O331" s="89">
        <f>SUM(O318:O330)</f>
        <v>9039249.6295162067</v>
      </c>
      <c r="P331" s="89">
        <f>SUM(P318:P330)</f>
        <v>0</v>
      </c>
      <c r="Q331" s="89">
        <f>SUM(Q318:Q330)</f>
        <v>0</v>
      </c>
      <c r="R331" s="89"/>
      <c r="S331" s="89">
        <f t="shared" ref="S331:AD331" si="339">SUM(S318:S330)</f>
        <v>0</v>
      </c>
      <c r="T331" s="89">
        <f t="shared" si="339"/>
        <v>3467664.1990528717</v>
      </c>
      <c r="U331" s="89">
        <f t="shared" si="339"/>
        <v>0</v>
      </c>
      <c r="V331" s="89">
        <f t="shared" si="339"/>
        <v>2758018.256701739</v>
      </c>
      <c r="W331" s="89">
        <f t="shared" si="339"/>
        <v>5360939.7871906338</v>
      </c>
      <c r="X331" s="89">
        <f t="shared" si="339"/>
        <v>1241617.6251338115</v>
      </c>
      <c r="Y331" s="89">
        <f t="shared" si="339"/>
        <v>2506517.5992533136</v>
      </c>
      <c r="Z331" s="89">
        <f t="shared" si="339"/>
        <v>1809948.6013006677</v>
      </c>
      <c r="AA331" s="89">
        <f t="shared" si="339"/>
        <v>1503754.1690447908</v>
      </c>
      <c r="AB331" s="89">
        <f t="shared" si="339"/>
        <v>1267855.9666327122</v>
      </c>
      <c r="AC331" s="89">
        <f t="shared" si="339"/>
        <v>754043.13801689085</v>
      </c>
      <c r="AD331" s="89">
        <f t="shared" si="339"/>
        <v>1451956.5186594012</v>
      </c>
      <c r="AE331" s="89"/>
      <c r="AF331" s="89">
        <f>SUM(AF318:AF330)</f>
        <v>16021810.694911119</v>
      </c>
      <c r="AG331" s="89"/>
      <c r="AH331" s="89">
        <f>SUM(AH318:AH330)</f>
        <v>1913103.7602191053</v>
      </c>
      <c r="AI331" s="89"/>
      <c r="AJ331" s="89">
        <f>SUM(AJ318:AJ330)</f>
        <v>0</v>
      </c>
      <c r="AK331" s="90">
        <f>SUM(H331:AJ331)</f>
        <v>112305952</v>
      </c>
      <c r="AL331" s="87" t="str">
        <f>IF(ABS(AK331-F331)&lt;1,"ok","err")</f>
        <v>ok</v>
      </c>
    </row>
    <row r="332" spans="1:38" x14ac:dyDescent="0.5">
      <c r="D332" s="322"/>
      <c r="E332" s="45"/>
      <c r="F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87"/>
    </row>
    <row r="333" spans="1:38" x14ac:dyDescent="0.5">
      <c r="A333" s="86" t="s">
        <v>808</v>
      </c>
      <c r="C333" s="86" t="s">
        <v>809</v>
      </c>
      <c r="D333" s="322"/>
      <c r="E333" s="45"/>
      <c r="F333" s="89">
        <f>F284+F293+F307+F331</f>
        <v>892295073</v>
      </c>
      <c r="G333" s="89"/>
      <c r="H333" s="89">
        <f t="shared" ref="H333:M333" si="340">H284+H293+H307+H331</f>
        <v>133195931.14461496</v>
      </c>
      <c r="I333" s="89">
        <f t="shared" si="340"/>
        <v>0</v>
      </c>
      <c r="J333" s="89">
        <f t="shared" si="340"/>
        <v>0</v>
      </c>
      <c r="K333" s="89">
        <f t="shared" si="340"/>
        <v>555456786.90975177</v>
      </c>
      <c r="L333" s="89">
        <f t="shared" si="340"/>
        <v>0</v>
      </c>
      <c r="M333" s="89">
        <f t="shared" si="340"/>
        <v>0</v>
      </c>
      <c r="N333" s="89"/>
      <c r="O333" s="89">
        <f>O284+O293+O307+O331</f>
        <v>57756583.629516207</v>
      </c>
      <c r="P333" s="89">
        <f>P284+P293+P307+P331</f>
        <v>0</v>
      </c>
      <c r="Q333" s="89">
        <f>Q284+Q293+Q307+Q331</f>
        <v>0</v>
      </c>
      <c r="R333" s="89"/>
      <c r="S333" s="89">
        <f t="shared" ref="S333:AD333" si="341">S284+S293+S307+S331</f>
        <v>0</v>
      </c>
      <c r="T333" s="89">
        <f t="shared" si="341"/>
        <v>9282793.2294150442</v>
      </c>
      <c r="U333" s="89">
        <f t="shared" si="341"/>
        <v>0</v>
      </c>
      <c r="V333" s="89">
        <f t="shared" si="341"/>
        <v>12963443.703119226</v>
      </c>
      <c r="W333" s="89">
        <f t="shared" si="341"/>
        <v>23791489.565877698</v>
      </c>
      <c r="X333" s="89">
        <f t="shared" si="341"/>
        <v>5561431.4547028812</v>
      </c>
      <c r="Y333" s="89">
        <f t="shared" si="341"/>
        <v>10375666.576134797</v>
      </c>
      <c r="Z333" s="89">
        <f t="shared" si="341"/>
        <v>2648295.6800802387</v>
      </c>
      <c r="AA333" s="89">
        <f t="shared" si="341"/>
        <v>2200275.5586109683</v>
      </c>
      <c r="AB333" s="89">
        <f t="shared" si="341"/>
        <v>1814382.8487628764</v>
      </c>
      <c r="AC333" s="89">
        <f t="shared" si="341"/>
        <v>11537187.7496015</v>
      </c>
      <c r="AD333" s="89">
        <f t="shared" si="341"/>
        <v>2077842.4946816051</v>
      </c>
      <c r="AE333" s="89"/>
      <c r="AF333" s="89">
        <f>AF284+AF293+AF307+AF331</f>
        <v>56459202.694911122</v>
      </c>
      <c r="AG333" s="89"/>
      <c r="AH333" s="89">
        <f>AH284+AH293+AH307+AH331</f>
        <v>7173759.7602191055</v>
      </c>
      <c r="AI333" s="89"/>
      <c r="AJ333" s="89">
        <f>AJ284+AJ293+AJ307+AJ331</f>
        <v>0</v>
      </c>
      <c r="AK333" s="90">
        <f>SUM(H333:AJ333)</f>
        <v>892295073</v>
      </c>
      <c r="AL333" s="87" t="str">
        <f>IF(ABS(AK333-F333)&lt;1,"ok","err")</f>
        <v>ok</v>
      </c>
    </row>
    <row r="334" spans="1:38" x14ac:dyDescent="0.5">
      <c r="D334" s="322"/>
      <c r="E334" s="45"/>
      <c r="F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87"/>
    </row>
    <row r="335" spans="1:38" x14ac:dyDescent="0.5">
      <c r="A335" s="86" t="s">
        <v>1292</v>
      </c>
      <c r="C335" s="86" t="s">
        <v>770</v>
      </c>
      <c r="D335" s="45"/>
      <c r="E335" s="45"/>
      <c r="F335" s="91">
        <f>F333-F218-F219-F220-F221</f>
        <v>843751066</v>
      </c>
      <c r="G335" s="91">
        <f t="shared" ref="G335:M335" si="342">G333-G218</f>
        <v>0</v>
      </c>
      <c r="H335" s="91">
        <f t="shared" si="342"/>
        <v>123623318.88867611</v>
      </c>
      <c r="I335" s="91">
        <f t="shared" si="342"/>
        <v>0</v>
      </c>
      <c r="J335" s="91">
        <f t="shared" si="342"/>
        <v>0</v>
      </c>
      <c r="K335" s="91">
        <f t="shared" si="342"/>
        <v>516485392.16569066</v>
      </c>
      <c r="L335" s="91">
        <f t="shared" si="342"/>
        <v>0</v>
      </c>
      <c r="M335" s="91">
        <f t="shared" si="342"/>
        <v>0</v>
      </c>
      <c r="N335" s="91"/>
      <c r="O335" s="91">
        <f>O333-O218</f>
        <v>57756583.629516207</v>
      </c>
      <c r="P335" s="91">
        <f>P333-P218</f>
        <v>0</v>
      </c>
      <c r="Q335" s="91">
        <f>Q333-Q218</f>
        <v>0</v>
      </c>
      <c r="R335" s="91"/>
      <c r="S335" s="91">
        <f t="shared" ref="S335:AD335" si="343">S333-S218</f>
        <v>0</v>
      </c>
      <c r="T335" s="91">
        <f t="shared" si="343"/>
        <v>9282793.2294150442</v>
      </c>
      <c r="U335" s="91">
        <f t="shared" si="343"/>
        <v>0</v>
      </c>
      <c r="V335" s="91">
        <f t="shared" si="343"/>
        <v>12963443.703119226</v>
      </c>
      <c r="W335" s="91">
        <f t="shared" si="343"/>
        <v>23791489.565877698</v>
      </c>
      <c r="X335" s="91">
        <f t="shared" si="343"/>
        <v>5561431.4547028812</v>
      </c>
      <c r="Y335" s="91">
        <f t="shared" si="343"/>
        <v>10375666.576134797</v>
      </c>
      <c r="Z335" s="91">
        <f t="shared" si="343"/>
        <v>2648295.6800802387</v>
      </c>
      <c r="AA335" s="91">
        <f t="shared" si="343"/>
        <v>2200275.5586109683</v>
      </c>
      <c r="AB335" s="91">
        <f t="shared" si="343"/>
        <v>1814382.8487628764</v>
      </c>
      <c r="AC335" s="91">
        <f t="shared" si="343"/>
        <v>11537187.7496015</v>
      </c>
      <c r="AD335" s="91">
        <f t="shared" si="343"/>
        <v>2077842.4946816051</v>
      </c>
      <c r="AE335" s="91"/>
      <c r="AF335" s="91">
        <f>AF333-AF218</f>
        <v>56459202.694911122</v>
      </c>
      <c r="AG335" s="91"/>
      <c r="AH335" s="91">
        <f>AH333-AH218</f>
        <v>7173759.7602191055</v>
      </c>
      <c r="AI335" s="91"/>
      <c r="AJ335" s="91">
        <f>AJ333-AJ218</f>
        <v>0</v>
      </c>
      <c r="AK335" s="90">
        <f>SUM(H335:AJ335)</f>
        <v>843751066.00000012</v>
      </c>
      <c r="AL335" s="87" t="str">
        <f>IF(ABS(AK335-F335)&lt;1,"ok","err")</f>
        <v>ok</v>
      </c>
    </row>
    <row r="336" spans="1:38" x14ac:dyDescent="0.5">
      <c r="D336" s="45"/>
      <c r="E336" s="45"/>
      <c r="Y336" s="86"/>
      <c r="AL336" s="87"/>
    </row>
    <row r="337" spans="1:38" x14ac:dyDescent="0.5">
      <c r="A337" s="22" t="s">
        <v>810</v>
      </c>
      <c r="D337" s="322"/>
      <c r="E337" s="45"/>
      <c r="Y337" s="86"/>
      <c r="AL337" s="87"/>
    </row>
    <row r="338" spans="1:38" x14ac:dyDescent="0.5">
      <c r="A338" s="22"/>
      <c r="D338" s="322"/>
      <c r="E338" s="45"/>
      <c r="Y338" s="86"/>
      <c r="AL338" s="87"/>
    </row>
    <row r="339" spans="1:38" x14ac:dyDescent="0.5">
      <c r="A339" s="23" t="s">
        <v>1495</v>
      </c>
      <c r="D339" s="322"/>
      <c r="E339" s="45"/>
      <c r="Y339" s="86"/>
      <c r="AL339" s="87"/>
    </row>
    <row r="340" spans="1:38" x14ac:dyDescent="0.5">
      <c r="A340" s="86">
        <v>500</v>
      </c>
      <c r="B340" s="86" t="s">
        <v>1487</v>
      </c>
      <c r="C340" s="86" t="s">
        <v>1557</v>
      </c>
      <c r="D340" s="322" t="s">
        <v>717</v>
      </c>
      <c r="E340" s="45"/>
      <c r="F340" s="89">
        <f>'Jurisdictional Study'!F1350</f>
        <v>4272282</v>
      </c>
      <c r="H340" s="90">
        <f t="shared" ref="H340:H345" si="344">IF(VLOOKUP($D340,$C$5:$AJ$596,6,)=0,0,((VLOOKUP($D340,$C$5:$AJ$596,6,)/VLOOKUP($D340,$C$5:$AJ$596,4,))*$F340))</f>
        <v>3814694.5851780977</v>
      </c>
      <c r="I340" s="90">
        <f t="shared" ref="I340:I345" si="345">IF(VLOOKUP($D340,$C$5:$AJ$596,7,)=0,0,((VLOOKUP($D340,$C$5:$AJ$596,7,)/VLOOKUP($D340,$C$5:$AJ$596,4,))*$F340))</f>
        <v>0</v>
      </c>
      <c r="J340" s="90">
        <f t="shared" ref="J340:J345" si="346">IF(VLOOKUP($D340,$C$5:$AJ$596,8,)=0,0,((VLOOKUP($D340,$C$5:$AJ$596,8,)/VLOOKUP($D340,$C$5:$AJ$596,4,))*$F340))</f>
        <v>0</v>
      </c>
      <c r="K340" s="90">
        <f t="shared" ref="K340:K345" si="347">IF(VLOOKUP($D340,$C$5:$AJ$596,9,)=0,0,((VLOOKUP($D340,$C$5:$AJ$596,9,)/VLOOKUP($D340,$C$5:$AJ$596,4,))*$F340))</f>
        <v>457587.41482190206</v>
      </c>
      <c r="L340" s="90">
        <f t="shared" ref="L340:L345" si="348">IF(VLOOKUP($D340,$C$5:$AJ$596,10,)=0,0,((VLOOKUP($D340,$C$5:$AJ$596,10,)/VLOOKUP($D340,$C$5:$AJ$596,4,))*$F340))</f>
        <v>0</v>
      </c>
      <c r="M340" s="90">
        <f t="shared" ref="M340:M345" si="349">IF(VLOOKUP($D340,$C$5:$AJ$596,11,)=0,0,((VLOOKUP($D340,$C$5:$AJ$596,11,)/VLOOKUP($D340,$C$5:$AJ$596,4,))*$F340))</f>
        <v>0</v>
      </c>
      <c r="N340" s="90"/>
      <c r="O340" s="90">
        <f t="shared" ref="O340:O345" si="350">IF(VLOOKUP($D340,$C$5:$AJ$596,13,)=0,0,((VLOOKUP($D340,$C$5:$AJ$596,13,)/VLOOKUP($D340,$C$5:$AJ$596,4,))*$F340))</f>
        <v>0</v>
      </c>
      <c r="P340" s="90">
        <f t="shared" ref="P340:P345" si="351">IF(VLOOKUP($D340,$C$5:$AJ$596,14,)=0,0,((VLOOKUP($D340,$C$5:$AJ$596,14,)/VLOOKUP($D340,$C$5:$AJ$596,4,))*$F340))</f>
        <v>0</v>
      </c>
      <c r="Q340" s="90">
        <f t="shared" ref="Q340:Q345" si="352">IF(VLOOKUP($D340,$C$5:$AJ$596,15,)=0,0,((VLOOKUP($D340,$C$5:$AJ$596,15,)/VLOOKUP($D340,$C$5:$AJ$596,4,))*$F340))</f>
        <v>0</v>
      </c>
      <c r="R340" s="90"/>
      <c r="S340" s="90">
        <f t="shared" ref="S340:S345" si="353">IF(VLOOKUP($D340,$C$5:$AJ$596,17,)=0,0,((VLOOKUP($D340,$C$5:$AJ$596,17,)/VLOOKUP($D340,$C$5:$AJ$596,4,))*$F340))</f>
        <v>0</v>
      </c>
      <c r="T340" s="90">
        <f t="shared" ref="T340:T345" si="354">IF(VLOOKUP($D340,$C$5:$AJ$596,18,)=0,0,((VLOOKUP($D340,$C$5:$AJ$596,18,)/VLOOKUP($D340,$C$5:$AJ$596,4,))*$F340))</f>
        <v>0</v>
      </c>
      <c r="U340" s="90">
        <f t="shared" ref="U340:U345" si="355">IF(VLOOKUP($D340,$C$5:$AJ$596,19,)=0,0,((VLOOKUP($D340,$C$5:$AJ$596,19,)/VLOOKUP($D340,$C$5:$AJ$596,4,))*$F340))</f>
        <v>0</v>
      </c>
      <c r="V340" s="90">
        <f t="shared" ref="V340:V345" si="356">IF(VLOOKUP($D340,$C$5:$AJ$596,20,)=0,0,((VLOOKUP($D340,$C$5:$AJ$596,20,)/VLOOKUP($D340,$C$5:$AJ$596,4,))*$F340))</f>
        <v>0</v>
      </c>
      <c r="W340" s="90">
        <f t="shared" ref="W340:W345" si="357">IF(VLOOKUP($D340,$C$5:$AJ$596,21,)=0,0,((VLOOKUP($D340,$C$5:$AJ$596,21,)/VLOOKUP($D340,$C$5:$AJ$596,4,))*$F340))</f>
        <v>0</v>
      </c>
      <c r="X340" s="90">
        <f t="shared" ref="X340:X345" si="358">IF(VLOOKUP($D340,$C$5:$AJ$596,22,)=0,0,((VLOOKUP($D340,$C$5:$AJ$596,22,)/VLOOKUP($D340,$C$5:$AJ$596,4,))*$F340))</f>
        <v>0</v>
      </c>
      <c r="Y340" s="90">
        <f t="shared" ref="Y340:Y345" si="359">IF(VLOOKUP($D340,$C$5:$AJ$596,23,)=0,0,((VLOOKUP($D340,$C$5:$AJ$596,23,)/VLOOKUP($D340,$C$5:$AJ$596,4,))*$F340))</f>
        <v>0</v>
      </c>
      <c r="Z340" s="90">
        <f t="shared" ref="Z340:Z345" si="360">IF(VLOOKUP($D340,$C$5:$AJ$596,24,)=0,0,((VLOOKUP($D340,$C$5:$AJ$596,24,)/VLOOKUP($D340,$C$5:$AJ$596,4,))*$F340))</f>
        <v>0</v>
      </c>
      <c r="AA340" s="90">
        <f t="shared" ref="AA340:AA345" si="361">IF(VLOOKUP($D340,$C$5:$AJ$596,25,)=0,0,((VLOOKUP($D340,$C$5:$AJ$596,25,)/VLOOKUP($D340,$C$5:$AJ$596,4,))*$F340))</f>
        <v>0</v>
      </c>
      <c r="AB340" s="90">
        <f t="shared" ref="AB340:AB345" si="362">IF(VLOOKUP($D340,$C$5:$AJ$596,26,)=0,0,((VLOOKUP($D340,$C$5:$AJ$596,26,)/VLOOKUP($D340,$C$5:$AJ$596,4,))*$F340))</f>
        <v>0</v>
      </c>
      <c r="AC340" s="90">
        <f t="shared" ref="AC340:AC345" si="363">IF(VLOOKUP($D340,$C$5:$AJ$596,27,)=0,0,((VLOOKUP($D340,$C$5:$AJ$596,27,)/VLOOKUP($D340,$C$5:$AJ$596,4,))*$F340))</f>
        <v>0</v>
      </c>
      <c r="AD340" s="90">
        <f t="shared" ref="AD340:AD345" si="364">IF(VLOOKUP($D340,$C$5:$AJ$596,28,)=0,0,((VLOOKUP($D340,$C$5:$AJ$596,28,)/VLOOKUP($D340,$C$5:$AJ$596,4,))*$F340))</f>
        <v>0</v>
      </c>
      <c r="AE340" s="90"/>
      <c r="AF340" s="90">
        <f t="shared" ref="AF340:AF345" si="365">IF(VLOOKUP($D340,$C$5:$AJ$596,30,)=0,0,((VLOOKUP($D340,$C$5:$AJ$596,30,)/VLOOKUP($D340,$C$5:$AJ$596,4,))*$F340))</f>
        <v>0</v>
      </c>
      <c r="AG340" s="90"/>
      <c r="AH340" s="90">
        <f t="shared" ref="AH340:AH345" si="366">IF(VLOOKUP($D340,$C$5:$AJ$596,32,)=0,0,((VLOOKUP($D340,$C$5:$AJ$596,32,)/VLOOKUP($D340,$C$5:$AJ$596,4,))*$F340))</f>
        <v>0</v>
      </c>
      <c r="AI340" s="90"/>
      <c r="AJ340" s="90">
        <f t="shared" ref="AJ340:AJ345" si="367">IF(VLOOKUP($D340,$C$5:$AJ$596,34,)=0,0,((VLOOKUP($D340,$C$5:$AJ$596,34,)/VLOOKUP($D340,$C$5:$AJ$596,4,))*$F340))</f>
        <v>0</v>
      </c>
      <c r="AK340" s="90">
        <f t="shared" ref="AK340:AK358" si="368">SUM(H340:AJ340)</f>
        <v>4272282</v>
      </c>
      <c r="AL340" s="87" t="str">
        <f t="shared" ref="AL340:AL358" si="369">IF(ABS(AK340-F340)&lt;1,"ok","err")</f>
        <v>ok</v>
      </c>
    </row>
    <row r="341" spans="1:38" x14ac:dyDescent="0.5">
      <c r="A341" s="100">
        <v>501</v>
      </c>
      <c r="B341" s="86" t="s">
        <v>1489</v>
      </c>
      <c r="C341" s="86" t="s">
        <v>1558</v>
      </c>
      <c r="D341" s="322" t="s">
        <v>104</v>
      </c>
      <c r="E341" s="45"/>
      <c r="F341" s="90">
        <f>'Jurisdictional Study'!F1341</f>
        <v>2438484</v>
      </c>
      <c r="H341" s="90">
        <f t="shared" si="344"/>
        <v>0</v>
      </c>
      <c r="I341" s="90">
        <f t="shared" si="345"/>
        <v>0</v>
      </c>
      <c r="J341" s="90">
        <f t="shared" si="346"/>
        <v>0</v>
      </c>
      <c r="K341" s="90">
        <f t="shared" si="347"/>
        <v>2438484</v>
      </c>
      <c r="L341" s="90">
        <f t="shared" si="348"/>
        <v>0</v>
      </c>
      <c r="M341" s="90">
        <f t="shared" si="349"/>
        <v>0</v>
      </c>
      <c r="N341" s="90"/>
      <c r="O341" s="90">
        <f t="shared" si="350"/>
        <v>0</v>
      </c>
      <c r="P341" s="90">
        <f t="shared" si="351"/>
        <v>0</v>
      </c>
      <c r="Q341" s="90">
        <f t="shared" si="352"/>
        <v>0</v>
      </c>
      <c r="R341" s="90"/>
      <c r="S341" s="90">
        <f t="shared" si="353"/>
        <v>0</v>
      </c>
      <c r="T341" s="90">
        <f t="shared" si="354"/>
        <v>0</v>
      </c>
      <c r="U341" s="90">
        <f t="shared" si="355"/>
        <v>0</v>
      </c>
      <c r="V341" s="90">
        <f t="shared" si="356"/>
        <v>0</v>
      </c>
      <c r="W341" s="90">
        <f t="shared" si="357"/>
        <v>0</v>
      </c>
      <c r="X341" s="90">
        <f t="shared" si="358"/>
        <v>0</v>
      </c>
      <c r="Y341" s="90">
        <f t="shared" si="359"/>
        <v>0</v>
      </c>
      <c r="Z341" s="90">
        <f t="shared" si="360"/>
        <v>0</v>
      </c>
      <c r="AA341" s="90">
        <f t="shared" si="361"/>
        <v>0</v>
      </c>
      <c r="AB341" s="90">
        <f t="shared" si="362"/>
        <v>0</v>
      </c>
      <c r="AC341" s="90">
        <f t="shared" si="363"/>
        <v>0</v>
      </c>
      <c r="AD341" s="90">
        <f t="shared" si="364"/>
        <v>0</v>
      </c>
      <c r="AE341" s="90"/>
      <c r="AF341" s="90">
        <f t="shared" si="365"/>
        <v>0</v>
      </c>
      <c r="AG341" s="90"/>
      <c r="AH341" s="90">
        <f t="shared" si="366"/>
        <v>0</v>
      </c>
      <c r="AI341" s="90"/>
      <c r="AJ341" s="90">
        <f t="shared" si="367"/>
        <v>0</v>
      </c>
      <c r="AK341" s="90">
        <f t="shared" si="368"/>
        <v>2438484</v>
      </c>
      <c r="AL341" s="87" t="str">
        <f t="shared" si="369"/>
        <v>ok</v>
      </c>
    </row>
    <row r="342" spans="1:38" x14ac:dyDescent="0.5">
      <c r="A342" s="86">
        <v>502</v>
      </c>
      <c r="B342" s="86" t="s">
        <v>1491</v>
      </c>
      <c r="C342" s="86" t="s">
        <v>1559</v>
      </c>
      <c r="D342" s="45" t="s">
        <v>709</v>
      </c>
      <c r="E342" s="45"/>
      <c r="F342" s="90">
        <f>'Jurisdictional Study'!F1351</f>
        <v>9649494</v>
      </c>
      <c r="H342" s="90">
        <f t="shared" si="344"/>
        <v>9649494</v>
      </c>
      <c r="I342" s="90">
        <f t="shared" si="345"/>
        <v>0</v>
      </c>
      <c r="J342" s="90">
        <f t="shared" si="346"/>
        <v>0</v>
      </c>
      <c r="K342" s="90">
        <f t="shared" si="347"/>
        <v>0</v>
      </c>
      <c r="L342" s="90">
        <f t="shared" si="348"/>
        <v>0</v>
      </c>
      <c r="M342" s="90">
        <f t="shared" si="349"/>
        <v>0</v>
      </c>
      <c r="N342" s="90"/>
      <c r="O342" s="90">
        <f t="shared" si="350"/>
        <v>0</v>
      </c>
      <c r="P342" s="90">
        <f t="shared" si="351"/>
        <v>0</v>
      </c>
      <c r="Q342" s="90">
        <f t="shared" si="352"/>
        <v>0</v>
      </c>
      <c r="R342" s="90"/>
      <c r="S342" s="90">
        <f t="shared" si="353"/>
        <v>0</v>
      </c>
      <c r="T342" s="90">
        <f t="shared" si="354"/>
        <v>0</v>
      </c>
      <c r="U342" s="90">
        <f t="shared" si="355"/>
        <v>0</v>
      </c>
      <c r="V342" s="90">
        <f t="shared" si="356"/>
        <v>0</v>
      </c>
      <c r="W342" s="90">
        <f t="shared" si="357"/>
        <v>0</v>
      </c>
      <c r="X342" s="90">
        <f t="shared" si="358"/>
        <v>0</v>
      </c>
      <c r="Y342" s="90">
        <f t="shared" si="359"/>
        <v>0</v>
      </c>
      <c r="Z342" s="90">
        <f t="shared" si="360"/>
        <v>0</v>
      </c>
      <c r="AA342" s="90">
        <f t="shared" si="361"/>
        <v>0</v>
      </c>
      <c r="AB342" s="90">
        <f t="shared" si="362"/>
        <v>0</v>
      </c>
      <c r="AC342" s="90">
        <f t="shared" si="363"/>
        <v>0</v>
      </c>
      <c r="AD342" s="90">
        <f t="shared" si="364"/>
        <v>0</v>
      </c>
      <c r="AE342" s="90"/>
      <c r="AF342" s="90">
        <f t="shared" si="365"/>
        <v>0</v>
      </c>
      <c r="AG342" s="90"/>
      <c r="AH342" s="90">
        <f t="shared" si="366"/>
        <v>0</v>
      </c>
      <c r="AI342" s="90"/>
      <c r="AJ342" s="90">
        <f t="shared" si="367"/>
        <v>0</v>
      </c>
      <c r="AK342" s="90">
        <f t="shared" si="368"/>
        <v>9649494</v>
      </c>
      <c r="AL342" s="87" t="str">
        <f t="shared" si="369"/>
        <v>ok</v>
      </c>
    </row>
    <row r="343" spans="1:38" x14ac:dyDescent="0.5">
      <c r="A343" s="86">
        <v>505</v>
      </c>
      <c r="B343" s="86" t="s">
        <v>1493</v>
      </c>
      <c r="C343" s="86" t="s">
        <v>1560</v>
      </c>
      <c r="D343" s="45" t="s">
        <v>709</v>
      </c>
      <c r="E343" s="45"/>
      <c r="F343" s="90">
        <f>'Jurisdictional Study'!F1352</f>
        <v>6673009</v>
      </c>
      <c r="H343" s="90">
        <f t="shared" si="344"/>
        <v>6673009</v>
      </c>
      <c r="I343" s="90">
        <f t="shared" si="345"/>
        <v>0</v>
      </c>
      <c r="J343" s="90">
        <f t="shared" si="346"/>
        <v>0</v>
      </c>
      <c r="K343" s="90">
        <f t="shared" si="347"/>
        <v>0</v>
      </c>
      <c r="L343" s="90">
        <f t="shared" si="348"/>
        <v>0</v>
      </c>
      <c r="M343" s="90">
        <f t="shared" si="349"/>
        <v>0</v>
      </c>
      <c r="N343" s="90"/>
      <c r="O343" s="90">
        <f t="shared" si="350"/>
        <v>0</v>
      </c>
      <c r="P343" s="90">
        <f t="shared" si="351"/>
        <v>0</v>
      </c>
      <c r="Q343" s="90">
        <f t="shared" si="352"/>
        <v>0</v>
      </c>
      <c r="R343" s="90"/>
      <c r="S343" s="90">
        <f t="shared" si="353"/>
        <v>0</v>
      </c>
      <c r="T343" s="90">
        <f t="shared" si="354"/>
        <v>0</v>
      </c>
      <c r="U343" s="90">
        <f t="shared" si="355"/>
        <v>0</v>
      </c>
      <c r="V343" s="90">
        <f t="shared" si="356"/>
        <v>0</v>
      </c>
      <c r="W343" s="90">
        <f t="shared" si="357"/>
        <v>0</v>
      </c>
      <c r="X343" s="90">
        <f t="shared" si="358"/>
        <v>0</v>
      </c>
      <c r="Y343" s="90">
        <f t="shared" si="359"/>
        <v>0</v>
      </c>
      <c r="Z343" s="90">
        <f t="shared" si="360"/>
        <v>0</v>
      </c>
      <c r="AA343" s="90">
        <f t="shared" si="361"/>
        <v>0</v>
      </c>
      <c r="AB343" s="90">
        <f t="shared" si="362"/>
        <v>0</v>
      </c>
      <c r="AC343" s="90">
        <f t="shared" si="363"/>
        <v>0</v>
      </c>
      <c r="AD343" s="90">
        <f t="shared" si="364"/>
        <v>0</v>
      </c>
      <c r="AE343" s="90"/>
      <c r="AF343" s="90">
        <f t="shared" si="365"/>
        <v>0</v>
      </c>
      <c r="AG343" s="90"/>
      <c r="AH343" s="90">
        <f t="shared" si="366"/>
        <v>0</v>
      </c>
      <c r="AI343" s="90"/>
      <c r="AJ343" s="90">
        <f t="shared" si="367"/>
        <v>0</v>
      </c>
      <c r="AK343" s="90">
        <f t="shared" si="368"/>
        <v>6673009</v>
      </c>
      <c r="AL343" s="87" t="str">
        <f t="shared" si="369"/>
        <v>ok</v>
      </c>
    </row>
    <row r="344" spans="1:38" x14ac:dyDescent="0.5">
      <c r="A344" s="86">
        <v>506</v>
      </c>
      <c r="B344" s="86" t="s">
        <v>1496</v>
      </c>
      <c r="C344" s="86" t="s">
        <v>1561</v>
      </c>
      <c r="D344" s="45" t="s">
        <v>709</v>
      </c>
      <c r="E344" s="45"/>
      <c r="F344" s="90">
        <f>'Jurisdictional Study'!F1353</f>
        <v>4006010</v>
      </c>
      <c r="H344" s="90">
        <f t="shared" si="344"/>
        <v>4006010</v>
      </c>
      <c r="I344" s="90">
        <f t="shared" si="345"/>
        <v>0</v>
      </c>
      <c r="J344" s="90">
        <f t="shared" si="346"/>
        <v>0</v>
      </c>
      <c r="K344" s="90">
        <f t="shared" si="347"/>
        <v>0</v>
      </c>
      <c r="L344" s="90">
        <f t="shared" si="348"/>
        <v>0</v>
      </c>
      <c r="M344" s="90">
        <f t="shared" si="349"/>
        <v>0</v>
      </c>
      <c r="N344" s="90"/>
      <c r="O344" s="90">
        <f t="shared" si="350"/>
        <v>0</v>
      </c>
      <c r="P344" s="90">
        <f t="shared" si="351"/>
        <v>0</v>
      </c>
      <c r="Q344" s="90">
        <f t="shared" si="352"/>
        <v>0</v>
      </c>
      <c r="R344" s="90"/>
      <c r="S344" s="90">
        <f t="shared" si="353"/>
        <v>0</v>
      </c>
      <c r="T344" s="90">
        <f t="shared" si="354"/>
        <v>0</v>
      </c>
      <c r="U344" s="90">
        <f t="shared" si="355"/>
        <v>0</v>
      </c>
      <c r="V344" s="90">
        <f t="shared" si="356"/>
        <v>0</v>
      </c>
      <c r="W344" s="90">
        <f t="shared" si="357"/>
        <v>0</v>
      </c>
      <c r="X344" s="90">
        <f t="shared" si="358"/>
        <v>0</v>
      </c>
      <c r="Y344" s="90">
        <f t="shared" si="359"/>
        <v>0</v>
      </c>
      <c r="Z344" s="90">
        <f t="shared" si="360"/>
        <v>0</v>
      </c>
      <c r="AA344" s="90">
        <f t="shared" si="361"/>
        <v>0</v>
      </c>
      <c r="AB344" s="90">
        <f t="shared" si="362"/>
        <v>0</v>
      </c>
      <c r="AC344" s="90">
        <f t="shared" si="363"/>
        <v>0</v>
      </c>
      <c r="AD344" s="90">
        <f t="shared" si="364"/>
        <v>0</v>
      </c>
      <c r="AE344" s="90"/>
      <c r="AF344" s="90">
        <f t="shared" si="365"/>
        <v>0</v>
      </c>
      <c r="AG344" s="90"/>
      <c r="AH344" s="90">
        <f t="shared" si="366"/>
        <v>0</v>
      </c>
      <c r="AI344" s="90"/>
      <c r="AJ344" s="90">
        <f t="shared" si="367"/>
        <v>0</v>
      </c>
      <c r="AK344" s="90">
        <f t="shared" si="368"/>
        <v>4006010</v>
      </c>
      <c r="AL344" s="87" t="str">
        <f t="shared" si="369"/>
        <v>ok</v>
      </c>
    </row>
    <row r="345" spans="1:38" x14ac:dyDescent="0.5">
      <c r="A345" s="86">
        <v>507</v>
      </c>
      <c r="B345" s="86" t="s">
        <v>353</v>
      </c>
      <c r="C345" s="86" t="s">
        <v>132</v>
      </c>
      <c r="D345" s="45" t="s">
        <v>709</v>
      </c>
      <c r="E345" s="45"/>
      <c r="F345" s="90">
        <f>'Jurisdictional Study'!F1354</f>
        <v>0</v>
      </c>
      <c r="H345" s="90">
        <f t="shared" si="344"/>
        <v>0</v>
      </c>
      <c r="I345" s="90">
        <f t="shared" si="345"/>
        <v>0</v>
      </c>
      <c r="J345" s="90">
        <f t="shared" si="346"/>
        <v>0</v>
      </c>
      <c r="K345" s="90">
        <f t="shared" si="347"/>
        <v>0</v>
      </c>
      <c r="L345" s="90">
        <f t="shared" si="348"/>
        <v>0</v>
      </c>
      <c r="M345" s="90">
        <f t="shared" si="349"/>
        <v>0</v>
      </c>
      <c r="N345" s="90"/>
      <c r="O345" s="90">
        <f t="shared" si="350"/>
        <v>0</v>
      </c>
      <c r="P345" s="90">
        <f t="shared" si="351"/>
        <v>0</v>
      </c>
      <c r="Q345" s="90">
        <f t="shared" si="352"/>
        <v>0</v>
      </c>
      <c r="R345" s="90"/>
      <c r="S345" s="90">
        <f t="shared" si="353"/>
        <v>0</v>
      </c>
      <c r="T345" s="90">
        <f t="shared" si="354"/>
        <v>0</v>
      </c>
      <c r="U345" s="90">
        <f t="shared" si="355"/>
        <v>0</v>
      </c>
      <c r="V345" s="90">
        <f t="shared" si="356"/>
        <v>0</v>
      </c>
      <c r="W345" s="90">
        <f t="shared" si="357"/>
        <v>0</v>
      </c>
      <c r="X345" s="90">
        <f t="shared" si="358"/>
        <v>0</v>
      </c>
      <c r="Y345" s="90">
        <f t="shared" si="359"/>
        <v>0</v>
      </c>
      <c r="Z345" s="90">
        <f t="shared" si="360"/>
        <v>0</v>
      </c>
      <c r="AA345" s="90">
        <f t="shared" si="361"/>
        <v>0</v>
      </c>
      <c r="AB345" s="90">
        <f t="shared" si="362"/>
        <v>0</v>
      </c>
      <c r="AC345" s="90">
        <f t="shared" si="363"/>
        <v>0</v>
      </c>
      <c r="AD345" s="90">
        <f t="shared" si="364"/>
        <v>0</v>
      </c>
      <c r="AE345" s="90"/>
      <c r="AF345" s="90">
        <f t="shared" si="365"/>
        <v>0</v>
      </c>
      <c r="AG345" s="90"/>
      <c r="AH345" s="90">
        <f t="shared" si="366"/>
        <v>0</v>
      </c>
      <c r="AI345" s="90"/>
      <c r="AJ345" s="90">
        <f t="shared" si="367"/>
        <v>0</v>
      </c>
      <c r="AK345" s="90">
        <f t="shared" si="368"/>
        <v>0</v>
      </c>
      <c r="AL345" s="87" t="str">
        <f t="shared" si="369"/>
        <v>ok</v>
      </c>
    </row>
    <row r="346" spans="1:38" x14ac:dyDescent="0.5">
      <c r="D346" s="45"/>
      <c r="E346" s="45"/>
      <c r="F346" s="89"/>
      <c r="Y346" s="86"/>
      <c r="AK346" s="90"/>
      <c r="AL346" s="87"/>
    </row>
    <row r="347" spans="1:38" x14ac:dyDescent="0.5">
      <c r="B347" s="86" t="s">
        <v>1498</v>
      </c>
      <c r="C347" s="86" t="s">
        <v>707</v>
      </c>
      <c r="D347" s="45"/>
      <c r="E347" s="45"/>
      <c r="F347" s="89">
        <f>SUM(F340:F346)</f>
        <v>27039279</v>
      </c>
      <c r="H347" s="89">
        <f t="shared" ref="H347:M347" si="370">SUM(H340:H346)</f>
        <v>24143207.5851781</v>
      </c>
      <c r="I347" s="89">
        <f t="shared" si="370"/>
        <v>0</v>
      </c>
      <c r="J347" s="89">
        <f t="shared" si="370"/>
        <v>0</v>
      </c>
      <c r="K347" s="89">
        <f t="shared" si="370"/>
        <v>2896071.4148219023</v>
      </c>
      <c r="L347" s="89">
        <f t="shared" si="370"/>
        <v>0</v>
      </c>
      <c r="M347" s="89">
        <f t="shared" si="370"/>
        <v>0</v>
      </c>
      <c r="O347" s="89">
        <f>SUM(O340:O346)</f>
        <v>0</v>
      </c>
      <c r="P347" s="89">
        <f>SUM(P340:P346)</f>
        <v>0</v>
      </c>
      <c r="Q347" s="89">
        <f>SUM(Q340:Q346)</f>
        <v>0</v>
      </c>
      <c r="S347" s="89">
        <f t="shared" ref="S347:AD347" si="371">SUM(S340:S346)</f>
        <v>0</v>
      </c>
      <c r="T347" s="89">
        <f t="shared" si="371"/>
        <v>0</v>
      </c>
      <c r="U347" s="89">
        <f t="shared" si="371"/>
        <v>0</v>
      </c>
      <c r="V347" s="89">
        <f t="shared" si="371"/>
        <v>0</v>
      </c>
      <c r="W347" s="89">
        <f t="shared" si="371"/>
        <v>0</v>
      </c>
      <c r="X347" s="89">
        <f t="shared" si="371"/>
        <v>0</v>
      </c>
      <c r="Y347" s="89">
        <f t="shared" si="371"/>
        <v>0</v>
      </c>
      <c r="Z347" s="89">
        <f t="shared" si="371"/>
        <v>0</v>
      </c>
      <c r="AA347" s="89">
        <f t="shared" si="371"/>
        <v>0</v>
      </c>
      <c r="AB347" s="89">
        <f t="shared" si="371"/>
        <v>0</v>
      </c>
      <c r="AC347" s="89">
        <f t="shared" si="371"/>
        <v>0</v>
      </c>
      <c r="AD347" s="89">
        <f t="shared" si="371"/>
        <v>0</v>
      </c>
      <c r="AF347" s="89">
        <f>SUM(AF340:AF346)</f>
        <v>0</v>
      </c>
      <c r="AH347" s="89">
        <f>SUM(AH340:AH346)</f>
        <v>0</v>
      </c>
      <c r="AJ347" s="89">
        <f>SUM(AJ340:AJ346)</f>
        <v>0</v>
      </c>
      <c r="AK347" s="90">
        <f t="shared" si="368"/>
        <v>27039279</v>
      </c>
      <c r="AL347" s="87" t="str">
        <f t="shared" si="369"/>
        <v>ok</v>
      </c>
    </row>
    <row r="348" spans="1:38" x14ac:dyDescent="0.5">
      <c r="D348" s="45"/>
      <c r="E348" s="45"/>
      <c r="F348" s="89"/>
      <c r="Y348" s="86"/>
      <c r="AK348" s="90"/>
      <c r="AL348" s="87"/>
    </row>
    <row r="349" spans="1:38" x14ac:dyDescent="0.5">
      <c r="A349" s="23" t="s">
        <v>1499</v>
      </c>
      <c r="D349" s="45"/>
      <c r="E349" s="45"/>
      <c r="F349" s="89"/>
      <c r="Y349" s="86"/>
      <c r="AK349" s="90"/>
      <c r="AL349" s="87"/>
    </row>
    <row r="350" spans="1:38" x14ac:dyDescent="0.5">
      <c r="A350" s="86">
        <v>510</v>
      </c>
      <c r="B350" s="86" t="s">
        <v>560</v>
      </c>
      <c r="C350" s="86" t="s">
        <v>1562</v>
      </c>
      <c r="D350" s="322" t="s">
        <v>718</v>
      </c>
      <c r="E350" s="45"/>
      <c r="F350" s="89">
        <f>'Jurisdictional Study'!F1342</f>
        <v>11171048</v>
      </c>
      <c r="H350" s="90">
        <f>IF(VLOOKUP($D350,$C$5:$AJ$596,6,)=0,0,((VLOOKUP($D350,$C$5:$AJ$596,6,)/VLOOKUP($D350,$C$5:$AJ$596,4,))*$F350))</f>
        <v>1214039.7248355139</v>
      </c>
      <c r="I350" s="90">
        <f>IF(VLOOKUP($D350,$C$5:$AJ$596,7,)=0,0,((VLOOKUP($D350,$C$5:$AJ$596,7,)/VLOOKUP($D350,$C$5:$AJ$596,4,))*$F350))</f>
        <v>0</v>
      </c>
      <c r="J350" s="90">
        <f>IF(VLOOKUP($D350,$C$5:$AJ$596,8,)=0,0,((VLOOKUP($D350,$C$5:$AJ$596,8,)/VLOOKUP($D350,$C$5:$AJ$596,4,))*$F350))</f>
        <v>0</v>
      </c>
      <c r="K350" s="90">
        <f>IF(VLOOKUP($D350,$C$5:$AJ$596,9,)=0,0,((VLOOKUP($D350,$C$5:$AJ$596,9,)/VLOOKUP($D350,$C$5:$AJ$596,4,))*$F350))</f>
        <v>9957008.275164485</v>
      </c>
      <c r="L350" s="90">
        <f>IF(VLOOKUP($D350,$C$5:$AJ$596,10,)=0,0,((VLOOKUP($D350,$C$5:$AJ$596,10,)/VLOOKUP($D350,$C$5:$AJ$596,4,))*$F350))</f>
        <v>0</v>
      </c>
      <c r="M350" s="90">
        <f>IF(VLOOKUP($D350,$C$5:$AJ$596,11,)=0,0,((VLOOKUP($D350,$C$5:$AJ$596,11,)/VLOOKUP($D350,$C$5:$AJ$596,4,))*$F350))</f>
        <v>0</v>
      </c>
      <c r="N350" s="90"/>
      <c r="O350" s="90">
        <f>IF(VLOOKUP($D350,$C$5:$AJ$596,13,)=0,0,((VLOOKUP($D350,$C$5:$AJ$596,13,)/VLOOKUP($D350,$C$5:$AJ$596,4,))*$F350))</f>
        <v>0</v>
      </c>
      <c r="P350" s="90">
        <f>IF(VLOOKUP($D350,$C$5:$AJ$596,14,)=0,0,((VLOOKUP($D350,$C$5:$AJ$596,14,)/VLOOKUP($D350,$C$5:$AJ$596,4,))*$F350))</f>
        <v>0</v>
      </c>
      <c r="Q350" s="90">
        <f>IF(VLOOKUP($D350,$C$5:$AJ$596,15,)=0,0,((VLOOKUP($D350,$C$5:$AJ$596,15,)/VLOOKUP($D350,$C$5:$AJ$596,4,))*$F350))</f>
        <v>0</v>
      </c>
      <c r="R350" s="90"/>
      <c r="S350" s="90">
        <f>IF(VLOOKUP($D350,$C$5:$AJ$596,17,)=0,0,((VLOOKUP($D350,$C$5:$AJ$596,17,)/VLOOKUP($D350,$C$5:$AJ$596,4,))*$F350))</f>
        <v>0</v>
      </c>
      <c r="T350" s="90">
        <f>IF(VLOOKUP($D350,$C$5:$AJ$596,18,)=0,0,((VLOOKUP($D350,$C$5:$AJ$596,18,)/VLOOKUP($D350,$C$5:$AJ$596,4,))*$F350))</f>
        <v>0</v>
      </c>
      <c r="U350" s="90">
        <f>IF(VLOOKUP($D350,$C$5:$AJ$596,19,)=0,0,((VLOOKUP($D350,$C$5:$AJ$596,19,)/VLOOKUP($D350,$C$5:$AJ$596,4,))*$F350))</f>
        <v>0</v>
      </c>
      <c r="V350" s="90">
        <f>IF(VLOOKUP($D350,$C$5:$AJ$596,20,)=0,0,((VLOOKUP($D350,$C$5:$AJ$596,20,)/VLOOKUP($D350,$C$5:$AJ$596,4,))*$F350))</f>
        <v>0</v>
      </c>
      <c r="W350" s="90">
        <f>IF(VLOOKUP($D350,$C$5:$AJ$596,21,)=0,0,((VLOOKUP($D350,$C$5:$AJ$596,21,)/VLOOKUP($D350,$C$5:$AJ$596,4,))*$F350))</f>
        <v>0</v>
      </c>
      <c r="X350" s="90">
        <f>IF(VLOOKUP($D350,$C$5:$AJ$596,22,)=0,0,((VLOOKUP($D350,$C$5:$AJ$596,22,)/VLOOKUP($D350,$C$5:$AJ$596,4,))*$F350))</f>
        <v>0</v>
      </c>
      <c r="Y350" s="90">
        <f>IF(VLOOKUP($D350,$C$5:$AJ$596,23,)=0,0,((VLOOKUP($D350,$C$5:$AJ$596,23,)/VLOOKUP($D350,$C$5:$AJ$596,4,))*$F350))</f>
        <v>0</v>
      </c>
      <c r="Z350" s="90">
        <f>IF(VLOOKUP($D350,$C$5:$AJ$596,24,)=0,0,((VLOOKUP($D350,$C$5:$AJ$596,24,)/VLOOKUP($D350,$C$5:$AJ$596,4,))*$F350))</f>
        <v>0</v>
      </c>
      <c r="AA350" s="90">
        <f>IF(VLOOKUP($D350,$C$5:$AJ$596,25,)=0,0,((VLOOKUP($D350,$C$5:$AJ$596,25,)/VLOOKUP($D350,$C$5:$AJ$596,4,))*$F350))</f>
        <v>0</v>
      </c>
      <c r="AB350" s="90">
        <f>IF(VLOOKUP($D350,$C$5:$AJ$596,26,)=0,0,((VLOOKUP($D350,$C$5:$AJ$596,26,)/VLOOKUP($D350,$C$5:$AJ$596,4,))*$F350))</f>
        <v>0</v>
      </c>
      <c r="AC350" s="90">
        <f>IF(VLOOKUP($D350,$C$5:$AJ$596,27,)=0,0,((VLOOKUP($D350,$C$5:$AJ$596,27,)/VLOOKUP($D350,$C$5:$AJ$596,4,))*$F350))</f>
        <v>0</v>
      </c>
      <c r="AD350" s="90">
        <f>IF(VLOOKUP($D350,$C$5:$AJ$596,28,)=0,0,((VLOOKUP($D350,$C$5:$AJ$596,28,)/VLOOKUP($D350,$C$5:$AJ$596,4,))*$F350))</f>
        <v>0</v>
      </c>
      <c r="AE350" s="90"/>
      <c r="AF350" s="90">
        <f>IF(VLOOKUP($D350,$C$5:$AJ$596,30,)=0,0,((VLOOKUP($D350,$C$5:$AJ$596,30,)/VLOOKUP($D350,$C$5:$AJ$596,4,))*$F350))</f>
        <v>0</v>
      </c>
      <c r="AG350" s="90"/>
      <c r="AH350" s="90">
        <f>IF(VLOOKUP($D350,$C$5:$AJ$596,32,)=0,0,((VLOOKUP($D350,$C$5:$AJ$596,32,)/VLOOKUP($D350,$C$5:$AJ$596,4,))*$F350))</f>
        <v>0</v>
      </c>
      <c r="AI350" s="90"/>
      <c r="AJ350" s="90">
        <f>IF(VLOOKUP($D350,$C$5:$AJ$596,34,)=0,0,((VLOOKUP($D350,$C$5:$AJ$596,34,)/VLOOKUP($D350,$C$5:$AJ$596,4,))*$F350))</f>
        <v>0</v>
      </c>
      <c r="AK350" s="90">
        <f t="shared" si="368"/>
        <v>11171047.999999998</v>
      </c>
      <c r="AL350" s="87" t="str">
        <f t="shared" si="369"/>
        <v>ok</v>
      </c>
    </row>
    <row r="351" spans="1:38" x14ac:dyDescent="0.5">
      <c r="A351" s="86">
        <v>511</v>
      </c>
      <c r="B351" s="86" t="s">
        <v>559</v>
      </c>
      <c r="C351" s="86" t="s">
        <v>1563</v>
      </c>
      <c r="D351" s="322" t="s">
        <v>709</v>
      </c>
      <c r="E351" s="45"/>
      <c r="F351" s="90">
        <f>'Jurisdictional Study'!F1355</f>
        <v>1477460</v>
      </c>
      <c r="H351" s="90">
        <f>IF(VLOOKUP($D351,$C$5:$AJ$596,6,)=0,0,((VLOOKUP($D351,$C$5:$AJ$596,6,)/VLOOKUP($D351,$C$5:$AJ$596,4,))*$F351))</f>
        <v>1477460</v>
      </c>
      <c r="I351" s="90">
        <f>IF(VLOOKUP($D351,$C$5:$AJ$596,7,)=0,0,((VLOOKUP($D351,$C$5:$AJ$596,7,)/VLOOKUP($D351,$C$5:$AJ$596,4,))*$F351))</f>
        <v>0</v>
      </c>
      <c r="J351" s="90">
        <f>IF(VLOOKUP($D351,$C$5:$AJ$596,8,)=0,0,((VLOOKUP($D351,$C$5:$AJ$596,8,)/VLOOKUP($D351,$C$5:$AJ$596,4,))*$F351))</f>
        <v>0</v>
      </c>
      <c r="K351" s="90">
        <f>IF(VLOOKUP($D351,$C$5:$AJ$596,9,)=0,0,((VLOOKUP($D351,$C$5:$AJ$596,9,)/VLOOKUP($D351,$C$5:$AJ$596,4,))*$F351))</f>
        <v>0</v>
      </c>
      <c r="L351" s="90">
        <f>IF(VLOOKUP($D351,$C$5:$AJ$596,10,)=0,0,((VLOOKUP($D351,$C$5:$AJ$596,10,)/VLOOKUP($D351,$C$5:$AJ$596,4,))*$F351))</f>
        <v>0</v>
      </c>
      <c r="M351" s="90">
        <f>IF(VLOOKUP($D351,$C$5:$AJ$596,11,)=0,0,((VLOOKUP($D351,$C$5:$AJ$596,11,)/VLOOKUP($D351,$C$5:$AJ$596,4,))*$F351))</f>
        <v>0</v>
      </c>
      <c r="N351" s="90"/>
      <c r="O351" s="90">
        <f>IF(VLOOKUP($D351,$C$5:$AJ$596,13,)=0,0,((VLOOKUP($D351,$C$5:$AJ$596,13,)/VLOOKUP($D351,$C$5:$AJ$596,4,))*$F351))</f>
        <v>0</v>
      </c>
      <c r="P351" s="90">
        <f>IF(VLOOKUP($D351,$C$5:$AJ$596,14,)=0,0,((VLOOKUP($D351,$C$5:$AJ$596,14,)/VLOOKUP($D351,$C$5:$AJ$596,4,))*$F351))</f>
        <v>0</v>
      </c>
      <c r="Q351" s="90">
        <f>IF(VLOOKUP($D351,$C$5:$AJ$596,15,)=0,0,((VLOOKUP($D351,$C$5:$AJ$596,15,)/VLOOKUP($D351,$C$5:$AJ$596,4,))*$F351))</f>
        <v>0</v>
      </c>
      <c r="R351" s="90"/>
      <c r="S351" s="90">
        <f>IF(VLOOKUP($D351,$C$5:$AJ$596,17,)=0,0,((VLOOKUP($D351,$C$5:$AJ$596,17,)/VLOOKUP($D351,$C$5:$AJ$596,4,))*$F351))</f>
        <v>0</v>
      </c>
      <c r="T351" s="90">
        <f>IF(VLOOKUP($D351,$C$5:$AJ$596,18,)=0,0,((VLOOKUP($D351,$C$5:$AJ$596,18,)/VLOOKUP($D351,$C$5:$AJ$596,4,))*$F351))</f>
        <v>0</v>
      </c>
      <c r="U351" s="90">
        <f>IF(VLOOKUP($D351,$C$5:$AJ$596,19,)=0,0,((VLOOKUP($D351,$C$5:$AJ$596,19,)/VLOOKUP($D351,$C$5:$AJ$596,4,))*$F351))</f>
        <v>0</v>
      </c>
      <c r="V351" s="90">
        <f>IF(VLOOKUP($D351,$C$5:$AJ$596,20,)=0,0,((VLOOKUP($D351,$C$5:$AJ$596,20,)/VLOOKUP($D351,$C$5:$AJ$596,4,))*$F351))</f>
        <v>0</v>
      </c>
      <c r="W351" s="90">
        <f>IF(VLOOKUP($D351,$C$5:$AJ$596,21,)=0,0,((VLOOKUP($D351,$C$5:$AJ$596,21,)/VLOOKUP($D351,$C$5:$AJ$596,4,))*$F351))</f>
        <v>0</v>
      </c>
      <c r="X351" s="90">
        <f>IF(VLOOKUP($D351,$C$5:$AJ$596,22,)=0,0,((VLOOKUP($D351,$C$5:$AJ$596,22,)/VLOOKUP($D351,$C$5:$AJ$596,4,))*$F351))</f>
        <v>0</v>
      </c>
      <c r="Y351" s="90">
        <f>IF(VLOOKUP($D351,$C$5:$AJ$596,23,)=0,0,((VLOOKUP($D351,$C$5:$AJ$596,23,)/VLOOKUP($D351,$C$5:$AJ$596,4,))*$F351))</f>
        <v>0</v>
      </c>
      <c r="Z351" s="90">
        <f>IF(VLOOKUP($D351,$C$5:$AJ$596,24,)=0,0,((VLOOKUP($D351,$C$5:$AJ$596,24,)/VLOOKUP($D351,$C$5:$AJ$596,4,))*$F351))</f>
        <v>0</v>
      </c>
      <c r="AA351" s="90">
        <f>IF(VLOOKUP($D351,$C$5:$AJ$596,25,)=0,0,((VLOOKUP($D351,$C$5:$AJ$596,25,)/VLOOKUP($D351,$C$5:$AJ$596,4,))*$F351))</f>
        <v>0</v>
      </c>
      <c r="AB351" s="90">
        <f>IF(VLOOKUP($D351,$C$5:$AJ$596,26,)=0,0,((VLOOKUP($D351,$C$5:$AJ$596,26,)/VLOOKUP($D351,$C$5:$AJ$596,4,))*$F351))</f>
        <v>0</v>
      </c>
      <c r="AC351" s="90">
        <f>IF(VLOOKUP($D351,$C$5:$AJ$596,27,)=0,0,((VLOOKUP($D351,$C$5:$AJ$596,27,)/VLOOKUP($D351,$C$5:$AJ$596,4,))*$F351))</f>
        <v>0</v>
      </c>
      <c r="AD351" s="90">
        <f>IF(VLOOKUP($D351,$C$5:$AJ$596,28,)=0,0,((VLOOKUP($D351,$C$5:$AJ$596,28,)/VLOOKUP($D351,$C$5:$AJ$596,4,))*$F351))</f>
        <v>0</v>
      </c>
      <c r="AE351" s="90"/>
      <c r="AF351" s="90">
        <f>IF(VLOOKUP($D351,$C$5:$AJ$596,30,)=0,0,((VLOOKUP($D351,$C$5:$AJ$596,30,)/VLOOKUP($D351,$C$5:$AJ$596,4,))*$F351))</f>
        <v>0</v>
      </c>
      <c r="AG351" s="90"/>
      <c r="AH351" s="90">
        <f>IF(VLOOKUP($D351,$C$5:$AJ$596,32,)=0,0,((VLOOKUP($D351,$C$5:$AJ$596,32,)/VLOOKUP($D351,$C$5:$AJ$596,4,))*$F351))</f>
        <v>0</v>
      </c>
      <c r="AI351" s="90"/>
      <c r="AJ351" s="90">
        <f>IF(VLOOKUP($D351,$C$5:$AJ$596,34,)=0,0,((VLOOKUP($D351,$C$5:$AJ$596,34,)/VLOOKUP($D351,$C$5:$AJ$596,4,))*$F351))</f>
        <v>0</v>
      </c>
      <c r="AK351" s="90">
        <f t="shared" si="368"/>
        <v>1477460</v>
      </c>
      <c r="AL351" s="87" t="str">
        <f t="shared" si="369"/>
        <v>ok</v>
      </c>
    </row>
    <row r="352" spans="1:38" x14ac:dyDescent="0.5">
      <c r="A352" s="86">
        <v>512</v>
      </c>
      <c r="B352" s="86" t="s">
        <v>1502</v>
      </c>
      <c r="C352" s="86" t="s">
        <v>1564</v>
      </c>
      <c r="D352" s="322" t="s">
        <v>104</v>
      </c>
      <c r="E352" s="45"/>
      <c r="F352" s="90">
        <f>'Jurisdictional Study'!F1343</f>
        <v>9693149</v>
      </c>
      <c r="H352" s="90">
        <f>IF(VLOOKUP($D352,$C$5:$AJ$596,6,)=0,0,((VLOOKUP($D352,$C$5:$AJ$596,6,)/VLOOKUP($D352,$C$5:$AJ$596,4,))*$F352))</f>
        <v>0</v>
      </c>
      <c r="I352" s="90">
        <f>IF(VLOOKUP($D352,$C$5:$AJ$596,7,)=0,0,((VLOOKUP($D352,$C$5:$AJ$596,7,)/VLOOKUP($D352,$C$5:$AJ$596,4,))*$F352))</f>
        <v>0</v>
      </c>
      <c r="J352" s="90">
        <f>IF(VLOOKUP($D352,$C$5:$AJ$596,8,)=0,0,((VLOOKUP($D352,$C$5:$AJ$596,8,)/VLOOKUP($D352,$C$5:$AJ$596,4,))*$F352))</f>
        <v>0</v>
      </c>
      <c r="K352" s="90">
        <f>IF(VLOOKUP($D352,$C$5:$AJ$596,9,)=0,0,((VLOOKUP($D352,$C$5:$AJ$596,9,)/VLOOKUP($D352,$C$5:$AJ$596,4,))*$F352))</f>
        <v>9693149</v>
      </c>
      <c r="L352" s="90">
        <f>IF(VLOOKUP($D352,$C$5:$AJ$596,10,)=0,0,((VLOOKUP($D352,$C$5:$AJ$596,10,)/VLOOKUP($D352,$C$5:$AJ$596,4,))*$F352))</f>
        <v>0</v>
      </c>
      <c r="M352" s="90">
        <f>IF(VLOOKUP($D352,$C$5:$AJ$596,11,)=0,0,((VLOOKUP($D352,$C$5:$AJ$596,11,)/VLOOKUP($D352,$C$5:$AJ$596,4,))*$F352))</f>
        <v>0</v>
      </c>
      <c r="N352" s="90"/>
      <c r="O352" s="90">
        <f>IF(VLOOKUP($D352,$C$5:$AJ$596,13,)=0,0,((VLOOKUP($D352,$C$5:$AJ$596,13,)/VLOOKUP($D352,$C$5:$AJ$596,4,))*$F352))</f>
        <v>0</v>
      </c>
      <c r="P352" s="90">
        <f>IF(VLOOKUP($D352,$C$5:$AJ$596,14,)=0,0,((VLOOKUP($D352,$C$5:$AJ$596,14,)/VLOOKUP($D352,$C$5:$AJ$596,4,))*$F352))</f>
        <v>0</v>
      </c>
      <c r="Q352" s="90">
        <f>IF(VLOOKUP($D352,$C$5:$AJ$596,15,)=0,0,((VLOOKUP($D352,$C$5:$AJ$596,15,)/VLOOKUP($D352,$C$5:$AJ$596,4,))*$F352))</f>
        <v>0</v>
      </c>
      <c r="R352" s="90"/>
      <c r="S352" s="90">
        <f>IF(VLOOKUP($D352,$C$5:$AJ$596,17,)=0,0,((VLOOKUP($D352,$C$5:$AJ$596,17,)/VLOOKUP($D352,$C$5:$AJ$596,4,))*$F352))</f>
        <v>0</v>
      </c>
      <c r="T352" s="90">
        <f>IF(VLOOKUP($D352,$C$5:$AJ$596,18,)=0,0,((VLOOKUP($D352,$C$5:$AJ$596,18,)/VLOOKUP($D352,$C$5:$AJ$596,4,))*$F352))</f>
        <v>0</v>
      </c>
      <c r="U352" s="90">
        <f>IF(VLOOKUP($D352,$C$5:$AJ$596,19,)=0,0,((VLOOKUP($D352,$C$5:$AJ$596,19,)/VLOOKUP($D352,$C$5:$AJ$596,4,))*$F352))</f>
        <v>0</v>
      </c>
      <c r="V352" s="90">
        <f>IF(VLOOKUP($D352,$C$5:$AJ$596,20,)=0,0,((VLOOKUP($D352,$C$5:$AJ$596,20,)/VLOOKUP($D352,$C$5:$AJ$596,4,))*$F352))</f>
        <v>0</v>
      </c>
      <c r="W352" s="90">
        <f>IF(VLOOKUP($D352,$C$5:$AJ$596,21,)=0,0,((VLOOKUP($D352,$C$5:$AJ$596,21,)/VLOOKUP($D352,$C$5:$AJ$596,4,))*$F352))</f>
        <v>0</v>
      </c>
      <c r="X352" s="90">
        <f>IF(VLOOKUP($D352,$C$5:$AJ$596,22,)=0,0,((VLOOKUP($D352,$C$5:$AJ$596,22,)/VLOOKUP($D352,$C$5:$AJ$596,4,))*$F352))</f>
        <v>0</v>
      </c>
      <c r="Y352" s="90">
        <f>IF(VLOOKUP($D352,$C$5:$AJ$596,23,)=0,0,((VLOOKUP($D352,$C$5:$AJ$596,23,)/VLOOKUP($D352,$C$5:$AJ$596,4,))*$F352))</f>
        <v>0</v>
      </c>
      <c r="Z352" s="90">
        <f>IF(VLOOKUP($D352,$C$5:$AJ$596,24,)=0,0,((VLOOKUP($D352,$C$5:$AJ$596,24,)/VLOOKUP($D352,$C$5:$AJ$596,4,))*$F352))</f>
        <v>0</v>
      </c>
      <c r="AA352" s="90">
        <f>IF(VLOOKUP($D352,$C$5:$AJ$596,25,)=0,0,((VLOOKUP($D352,$C$5:$AJ$596,25,)/VLOOKUP($D352,$C$5:$AJ$596,4,))*$F352))</f>
        <v>0</v>
      </c>
      <c r="AB352" s="90">
        <f>IF(VLOOKUP($D352,$C$5:$AJ$596,26,)=0,0,((VLOOKUP($D352,$C$5:$AJ$596,26,)/VLOOKUP($D352,$C$5:$AJ$596,4,))*$F352))</f>
        <v>0</v>
      </c>
      <c r="AC352" s="90">
        <f>IF(VLOOKUP($D352,$C$5:$AJ$596,27,)=0,0,((VLOOKUP($D352,$C$5:$AJ$596,27,)/VLOOKUP($D352,$C$5:$AJ$596,4,))*$F352))</f>
        <v>0</v>
      </c>
      <c r="AD352" s="90">
        <f>IF(VLOOKUP($D352,$C$5:$AJ$596,28,)=0,0,((VLOOKUP($D352,$C$5:$AJ$596,28,)/VLOOKUP($D352,$C$5:$AJ$596,4,))*$F352))</f>
        <v>0</v>
      </c>
      <c r="AE352" s="90"/>
      <c r="AF352" s="90">
        <f>IF(VLOOKUP($D352,$C$5:$AJ$596,30,)=0,0,((VLOOKUP($D352,$C$5:$AJ$596,30,)/VLOOKUP($D352,$C$5:$AJ$596,4,))*$F352))</f>
        <v>0</v>
      </c>
      <c r="AG352" s="90"/>
      <c r="AH352" s="90">
        <f>IF(VLOOKUP($D352,$C$5:$AJ$596,32,)=0,0,((VLOOKUP($D352,$C$5:$AJ$596,32,)/VLOOKUP($D352,$C$5:$AJ$596,4,))*$F352))</f>
        <v>0</v>
      </c>
      <c r="AI352" s="90"/>
      <c r="AJ352" s="90">
        <f>IF(VLOOKUP($D352,$C$5:$AJ$596,34,)=0,0,((VLOOKUP($D352,$C$5:$AJ$596,34,)/VLOOKUP($D352,$C$5:$AJ$596,4,))*$F352))</f>
        <v>0</v>
      </c>
      <c r="AK352" s="90">
        <f t="shared" si="368"/>
        <v>9693149</v>
      </c>
      <c r="AL352" s="87" t="str">
        <f t="shared" si="369"/>
        <v>ok</v>
      </c>
    </row>
    <row r="353" spans="1:38" x14ac:dyDescent="0.5">
      <c r="A353" s="86">
        <v>513</v>
      </c>
      <c r="B353" s="86" t="s">
        <v>1503</v>
      </c>
      <c r="C353" s="86" t="s">
        <v>1565</v>
      </c>
      <c r="D353" s="322" t="s">
        <v>104</v>
      </c>
      <c r="E353" s="45"/>
      <c r="F353" s="90">
        <f>'Jurisdictional Study'!F1344</f>
        <v>1990323</v>
      </c>
      <c r="H353" s="90">
        <f>IF(VLOOKUP($D353,$C$5:$AJ$596,6,)=0,0,((VLOOKUP($D353,$C$5:$AJ$596,6,)/VLOOKUP($D353,$C$5:$AJ$596,4,))*$F353))</f>
        <v>0</v>
      </c>
      <c r="I353" s="90">
        <f>IF(VLOOKUP($D353,$C$5:$AJ$596,7,)=0,0,((VLOOKUP($D353,$C$5:$AJ$596,7,)/VLOOKUP($D353,$C$5:$AJ$596,4,))*$F353))</f>
        <v>0</v>
      </c>
      <c r="J353" s="90">
        <f>IF(VLOOKUP($D353,$C$5:$AJ$596,8,)=0,0,((VLOOKUP($D353,$C$5:$AJ$596,8,)/VLOOKUP($D353,$C$5:$AJ$596,4,))*$F353))</f>
        <v>0</v>
      </c>
      <c r="K353" s="90">
        <f>IF(VLOOKUP($D353,$C$5:$AJ$596,9,)=0,0,((VLOOKUP($D353,$C$5:$AJ$596,9,)/VLOOKUP($D353,$C$5:$AJ$596,4,))*$F353))</f>
        <v>1990323</v>
      </c>
      <c r="L353" s="90">
        <f>IF(VLOOKUP($D353,$C$5:$AJ$596,10,)=0,0,((VLOOKUP($D353,$C$5:$AJ$596,10,)/VLOOKUP($D353,$C$5:$AJ$596,4,))*$F353))</f>
        <v>0</v>
      </c>
      <c r="M353" s="90">
        <f>IF(VLOOKUP($D353,$C$5:$AJ$596,11,)=0,0,((VLOOKUP($D353,$C$5:$AJ$596,11,)/VLOOKUP($D353,$C$5:$AJ$596,4,))*$F353))</f>
        <v>0</v>
      </c>
      <c r="N353" s="90"/>
      <c r="O353" s="90">
        <f>IF(VLOOKUP($D353,$C$5:$AJ$596,13,)=0,0,((VLOOKUP($D353,$C$5:$AJ$596,13,)/VLOOKUP($D353,$C$5:$AJ$596,4,))*$F353))</f>
        <v>0</v>
      </c>
      <c r="P353" s="90">
        <f>IF(VLOOKUP($D353,$C$5:$AJ$596,14,)=0,0,((VLOOKUP($D353,$C$5:$AJ$596,14,)/VLOOKUP($D353,$C$5:$AJ$596,4,))*$F353))</f>
        <v>0</v>
      </c>
      <c r="Q353" s="90">
        <f>IF(VLOOKUP($D353,$C$5:$AJ$596,15,)=0,0,((VLOOKUP($D353,$C$5:$AJ$596,15,)/VLOOKUP($D353,$C$5:$AJ$596,4,))*$F353))</f>
        <v>0</v>
      </c>
      <c r="R353" s="90"/>
      <c r="S353" s="90">
        <f>IF(VLOOKUP($D353,$C$5:$AJ$596,17,)=0,0,((VLOOKUP($D353,$C$5:$AJ$596,17,)/VLOOKUP($D353,$C$5:$AJ$596,4,))*$F353))</f>
        <v>0</v>
      </c>
      <c r="T353" s="90">
        <f>IF(VLOOKUP($D353,$C$5:$AJ$596,18,)=0,0,((VLOOKUP($D353,$C$5:$AJ$596,18,)/VLOOKUP($D353,$C$5:$AJ$596,4,))*$F353))</f>
        <v>0</v>
      </c>
      <c r="U353" s="90">
        <f>IF(VLOOKUP($D353,$C$5:$AJ$596,19,)=0,0,((VLOOKUP($D353,$C$5:$AJ$596,19,)/VLOOKUP($D353,$C$5:$AJ$596,4,))*$F353))</f>
        <v>0</v>
      </c>
      <c r="V353" s="90">
        <f>IF(VLOOKUP($D353,$C$5:$AJ$596,20,)=0,0,((VLOOKUP($D353,$C$5:$AJ$596,20,)/VLOOKUP($D353,$C$5:$AJ$596,4,))*$F353))</f>
        <v>0</v>
      </c>
      <c r="W353" s="90">
        <f>IF(VLOOKUP($D353,$C$5:$AJ$596,21,)=0,0,((VLOOKUP($D353,$C$5:$AJ$596,21,)/VLOOKUP($D353,$C$5:$AJ$596,4,))*$F353))</f>
        <v>0</v>
      </c>
      <c r="X353" s="90">
        <f>IF(VLOOKUP($D353,$C$5:$AJ$596,22,)=0,0,((VLOOKUP($D353,$C$5:$AJ$596,22,)/VLOOKUP($D353,$C$5:$AJ$596,4,))*$F353))</f>
        <v>0</v>
      </c>
      <c r="Y353" s="90">
        <f>IF(VLOOKUP($D353,$C$5:$AJ$596,23,)=0,0,((VLOOKUP($D353,$C$5:$AJ$596,23,)/VLOOKUP($D353,$C$5:$AJ$596,4,))*$F353))</f>
        <v>0</v>
      </c>
      <c r="Z353" s="90">
        <f>IF(VLOOKUP($D353,$C$5:$AJ$596,24,)=0,0,((VLOOKUP($D353,$C$5:$AJ$596,24,)/VLOOKUP($D353,$C$5:$AJ$596,4,))*$F353))</f>
        <v>0</v>
      </c>
      <c r="AA353" s="90">
        <f>IF(VLOOKUP($D353,$C$5:$AJ$596,25,)=0,0,((VLOOKUP($D353,$C$5:$AJ$596,25,)/VLOOKUP($D353,$C$5:$AJ$596,4,))*$F353))</f>
        <v>0</v>
      </c>
      <c r="AB353" s="90">
        <f>IF(VLOOKUP($D353,$C$5:$AJ$596,26,)=0,0,((VLOOKUP($D353,$C$5:$AJ$596,26,)/VLOOKUP($D353,$C$5:$AJ$596,4,))*$F353))</f>
        <v>0</v>
      </c>
      <c r="AC353" s="90">
        <f>IF(VLOOKUP($D353,$C$5:$AJ$596,27,)=0,0,((VLOOKUP($D353,$C$5:$AJ$596,27,)/VLOOKUP($D353,$C$5:$AJ$596,4,))*$F353))</f>
        <v>0</v>
      </c>
      <c r="AD353" s="90">
        <f>IF(VLOOKUP($D353,$C$5:$AJ$596,28,)=0,0,((VLOOKUP($D353,$C$5:$AJ$596,28,)/VLOOKUP($D353,$C$5:$AJ$596,4,))*$F353))</f>
        <v>0</v>
      </c>
      <c r="AE353" s="90"/>
      <c r="AF353" s="90">
        <f>IF(VLOOKUP($D353,$C$5:$AJ$596,30,)=0,0,((VLOOKUP($D353,$C$5:$AJ$596,30,)/VLOOKUP($D353,$C$5:$AJ$596,4,))*$F353))</f>
        <v>0</v>
      </c>
      <c r="AG353" s="90"/>
      <c r="AH353" s="90">
        <f>IF(VLOOKUP($D353,$C$5:$AJ$596,32,)=0,0,((VLOOKUP($D353,$C$5:$AJ$596,32,)/VLOOKUP($D353,$C$5:$AJ$596,4,))*$F353))</f>
        <v>0</v>
      </c>
      <c r="AI353" s="90"/>
      <c r="AJ353" s="90">
        <f>IF(VLOOKUP($D353,$C$5:$AJ$596,34,)=0,0,((VLOOKUP($D353,$C$5:$AJ$596,34,)/VLOOKUP($D353,$C$5:$AJ$596,4,))*$F353))</f>
        <v>0</v>
      </c>
      <c r="AK353" s="90">
        <f t="shared" si="368"/>
        <v>1990323</v>
      </c>
      <c r="AL353" s="87" t="str">
        <f t="shared" si="369"/>
        <v>ok</v>
      </c>
    </row>
    <row r="354" spans="1:38" x14ac:dyDescent="0.5">
      <c r="A354" s="86">
        <v>514</v>
      </c>
      <c r="B354" s="86" t="s">
        <v>1506</v>
      </c>
      <c r="C354" s="86" t="s">
        <v>1566</v>
      </c>
      <c r="D354" s="322" t="s">
        <v>104</v>
      </c>
      <c r="E354" s="45"/>
      <c r="F354" s="90">
        <f>'Jurisdictional Study'!F1356</f>
        <v>433991</v>
      </c>
      <c r="H354" s="90">
        <f>IF(VLOOKUP($D354,$C$5:$AJ$596,6,)=0,0,((VLOOKUP($D354,$C$5:$AJ$596,6,)/VLOOKUP($D354,$C$5:$AJ$596,4,))*$F354))</f>
        <v>0</v>
      </c>
      <c r="I354" s="90">
        <f>IF(VLOOKUP($D354,$C$5:$AJ$596,7,)=0,0,((VLOOKUP($D354,$C$5:$AJ$596,7,)/VLOOKUP($D354,$C$5:$AJ$596,4,))*$F354))</f>
        <v>0</v>
      </c>
      <c r="J354" s="90">
        <f>IF(VLOOKUP($D354,$C$5:$AJ$596,8,)=0,0,((VLOOKUP($D354,$C$5:$AJ$596,8,)/VLOOKUP($D354,$C$5:$AJ$596,4,))*$F354))</f>
        <v>0</v>
      </c>
      <c r="K354" s="90">
        <f>IF(VLOOKUP($D354,$C$5:$AJ$596,9,)=0,0,((VLOOKUP($D354,$C$5:$AJ$596,9,)/VLOOKUP($D354,$C$5:$AJ$596,4,))*$F354))</f>
        <v>433991</v>
      </c>
      <c r="L354" s="90">
        <f>IF(VLOOKUP($D354,$C$5:$AJ$596,10,)=0,0,((VLOOKUP($D354,$C$5:$AJ$596,10,)/VLOOKUP($D354,$C$5:$AJ$596,4,))*$F354))</f>
        <v>0</v>
      </c>
      <c r="M354" s="90">
        <f>IF(VLOOKUP($D354,$C$5:$AJ$596,11,)=0,0,((VLOOKUP($D354,$C$5:$AJ$596,11,)/VLOOKUP($D354,$C$5:$AJ$596,4,))*$F354))</f>
        <v>0</v>
      </c>
      <c r="N354" s="90"/>
      <c r="O354" s="90">
        <f>IF(VLOOKUP($D354,$C$5:$AJ$596,13,)=0,0,((VLOOKUP($D354,$C$5:$AJ$596,13,)/VLOOKUP($D354,$C$5:$AJ$596,4,))*$F354))</f>
        <v>0</v>
      </c>
      <c r="P354" s="90">
        <f>IF(VLOOKUP($D354,$C$5:$AJ$596,14,)=0,0,((VLOOKUP($D354,$C$5:$AJ$596,14,)/VLOOKUP($D354,$C$5:$AJ$596,4,))*$F354))</f>
        <v>0</v>
      </c>
      <c r="Q354" s="90">
        <f>IF(VLOOKUP($D354,$C$5:$AJ$596,15,)=0,0,((VLOOKUP($D354,$C$5:$AJ$596,15,)/VLOOKUP($D354,$C$5:$AJ$596,4,))*$F354))</f>
        <v>0</v>
      </c>
      <c r="R354" s="90"/>
      <c r="S354" s="90">
        <f>IF(VLOOKUP($D354,$C$5:$AJ$596,17,)=0,0,((VLOOKUP($D354,$C$5:$AJ$596,17,)/VLOOKUP($D354,$C$5:$AJ$596,4,))*$F354))</f>
        <v>0</v>
      </c>
      <c r="T354" s="90">
        <f>IF(VLOOKUP($D354,$C$5:$AJ$596,18,)=0,0,((VLOOKUP($D354,$C$5:$AJ$596,18,)/VLOOKUP($D354,$C$5:$AJ$596,4,))*$F354))</f>
        <v>0</v>
      </c>
      <c r="U354" s="90">
        <f>IF(VLOOKUP($D354,$C$5:$AJ$596,19,)=0,0,((VLOOKUP($D354,$C$5:$AJ$596,19,)/VLOOKUP($D354,$C$5:$AJ$596,4,))*$F354))</f>
        <v>0</v>
      </c>
      <c r="V354" s="90">
        <f>IF(VLOOKUP($D354,$C$5:$AJ$596,20,)=0,0,((VLOOKUP($D354,$C$5:$AJ$596,20,)/VLOOKUP($D354,$C$5:$AJ$596,4,))*$F354))</f>
        <v>0</v>
      </c>
      <c r="W354" s="90">
        <f>IF(VLOOKUP($D354,$C$5:$AJ$596,21,)=0,0,((VLOOKUP($D354,$C$5:$AJ$596,21,)/VLOOKUP($D354,$C$5:$AJ$596,4,))*$F354))</f>
        <v>0</v>
      </c>
      <c r="X354" s="90">
        <f>IF(VLOOKUP($D354,$C$5:$AJ$596,22,)=0,0,((VLOOKUP($D354,$C$5:$AJ$596,22,)/VLOOKUP($D354,$C$5:$AJ$596,4,))*$F354))</f>
        <v>0</v>
      </c>
      <c r="Y354" s="90">
        <f>IF(VLOOKUP($D354,$C$5:$AJ$596,23,)=0,0,((VLOOKUP($D354,$C$5:$AJ$596,23,)/VLOOKUP($D354,$C$5:$AJ$596,4,))*$F354))</f>
        <v>0</v>
      </c>
      <c r="Z354" s="90">
        <f>IF(VLOOKUP($D354,$C$5:$AJ$596,24,)=0,0,((VLOOKUP($D354,$C$5:$AJ$596,24,)/VLOOKUP($D354,$C$5:$AJ$596,4,))*$F354))</f>
        <v>0</v>
      </c>
      <c r="AA354" s="90">
        <f>IF(VLOOKUP($D354,$C$5:$AJ$596,25,)=0,0,((VLOOKUP($D354,$C$5:$AJ$596,25,)/VLOOKUP($D354,$C$5:$AJ$596,4,))*$F354))</f>
        <v>0</v>
      </c>
      <c r="AB354" s="90">
        <f>IF(VLOOKUP($D354,$C$5:$AJ$596,26,)=0,0,((VLOOKUP($D354,$C$5:$AJ$596,26,)/VLOOKUP($D354,$C$5:$AJ$596,4,))*$F354))</f>
        <v>0</v>
      </c>
      <c r="AC354" s="90">
        <f>IF(VLOOKUP($D354,$C$5:$AJ$596,27,)=0,0,((VLOOKUP($D354,$C$5:$AJ$596,27,)/VLOOKUP($D354,$C$5:$AJ$596,4,))*$F354))</f>
        <v>0</v>
      </c>
      <c r="AD354" s="90">
        <f>IF(VLOOKUP($D354,$C$5:$AJ$596,28,)=0,0,((VLOOKUP($D354,$C$5:$AJ$596,28,)/VLOOKUP($D354,$C$5:$AJ$596,4,))*$F354))</f>
        <v>0</v>
      </c>
      <c r="AE354" s="90"/>
      <c r="AF354" s="90">
        <f>IF(VLOOKUP($D354,$C$5:$AJ$596,30,)=0,0,((VLOOKUP($D354,$C$5:$AJ$596,30,)/VLOOKUP($D354,$C$5:$AJ$596,4,))*$F354))</f>
        <v>0</v>
      </c>
      <c r="AG354" s="90"/>
      <c r="AH354" s="90">
        <f>IF(VLOOKUP($D354,$C$5:$AJ$596,32,)=0,0,((VLOOKUP($D354,$C$5:$AJ$596,32,)/VLOOKUP($D354,$C$5:$AJ$596,4,))*$F354))</f>
        <v>0</v>
      </c>
      <c r="AI354" s="90"/>
      <c r="AJ354" s="90">
        <f>IF(VLOOKUP($D354,$C$5:$AJ$596,34,)=0,0,((VLOOKUP($D354,$C$5:$AJ$596,34,)/VLOOKUP($D354,$C$5:$AJ$596,4,))*$F354))</f>
        <v>0</v>
      </c>
      <c r="AK354" s="90">
        <f t="shared" si="368"/>
        <v>433991</v>
      </c>
      <c r="AL354" s="87" t="str">
        <f t="shared" si="369"/>
        <v>ok</v>
      </c>
    </row>
    <row r="355" spans="1:38" x14ac:dyDescent="0.5">
      <c r="D355" s="322"/>
      <c r="E355" s="45"/>
      <c r="F355" s="89"/>
      <c r="Y355" s="86"/>
      <c r="AK355" s="90"/>
      <c r="AL355" s="87"/>
    </row>
    <row r="356" spans="1:38" x14ac:dyDescent="0.5">
      <c r="B356" s="86" t="s">
        <v>1508</v>
      </c>
      <c r="C356" s="86" t="s">
        <v>1003</v>
      </c>
      <c r="D356" s="322"/>
      <c r="E356" s="45"/>
      <c r="F356" s="89">
        <f>SUM(F350:F355)</f>
        <v>24765971</v>
      </c>
      <c r="H356" s="89">
        <f t="shared" ref="H356:M356" si="372">SUM(H350:H355)</f>
        <v>2691499.7248355141</v>
      </c>
      <c r="I356" s="89">
        <f t="shared" si="372"/>
        <v>0</v>
      </c>
      <c r="J356" s="89">
        <f t="shared" si="372"/>
        <v>0</v>
      </c>
      <c r="K356" s="89">
        <f t="shared" si="372"/>
        <v>22074471.275164485</v>
      </c>
      <c r="L356" s="89">
        <f t="shared" si="372"/>
        <v>0</v>
      </c>
      <c r="M356" s="89">
        <f t="shared" si="372"/>
        <v>0</v>
      </c>
      <c r="O356" s="89">
        <f>SUM(O350:O355)</f>
        <v>0</v>
      </c>
      <c r="P356" s="89">
        <f>SUM(P350:P355)</f>
        <v>0</v>
      </c>
      <c r="Q356" s="89">
        <f>SUM(Q350:Q355)</f>
        <v>0</v>
      </c>
      <c r="S356" s="89">
        <f t="shared" ref="S356:AD356" si="373">SUM(S350:S355)</f>
        <v>0</v>
      </c>
      <c r="T356" s="89">
        <f t="shared" si="373"/>
        <v>0</v>
      </c>
      <c r="U356" s="89">
        <f t="shared" si="373"/>
        <v>0</v>
      </c>
      <c r="V356" s="89">
        <f t="shared" si="373"/>
        <v>0</v>
      </c>
      <c r="W356" s="89">
        <f t="shared" si="373"/>
        <v>0</v>
      </c>
      <c r="X356" s="89">
        <f t="shared" si="373"/>
        <v>0</v>
      </c>
      <c r="Y356" s="89">
        <f t="shared" si="373"/>
        <v>0</v>
      </c>
      <c r="Z356" s="89">
        <f t="shared" si="373"/>
        <v>0</v>
      </c>
      <c r="AA356" s="89">
        <f t="shared" si="373"/>
        <v>0</v>
      </c>
      <c r="AB356" s="89">
        <f t="shared" si="373"/>
        <v>0</v>
      </c>
      <c r="AC356" s="89">
        <f t="shared" si="373"/>
        <v>0</v>
      </c>
      <c r="AD356" s="89">
        <f t="shared" si="373"/>
        <v>0</v>
      </c>
      <c r="AF356" s="89">
        <f>SUM(AF350:AF355)</f>
        <v>0</v>
      </c>
      <c r="AH356" s="89">
        <f>SUM(AH350:AH355)</f>
        <v>0</v>
      </c>
      <c r="AJ356" s="89">
        <f>SUM(AJ350:AJ355)</f>
        <v>0</v>
      </c>
      <c r="AK356" s="90">
        <f t="shared" si="368"/>
        <v>24765971</v>
      </c>
      <c r="AL356" s="87" t="str">
        <f t="shared" si="369"/>
        <v>ok</v>
      </c>
    </row>
    <row r="357" spans="1:38" x14ac:dyDescent="0.5">
      <c r="D357" s="322"/>
      <c r="E357" s="45"/>
      <c r="F357" s="89"/>
      <c r="H357" s="89"/>
      <c r="I357" s="89"/>
      <c r="J357" s="89"/>
      <c r="K357" s="89"/>
      <c r="L357" s="89"/>
      <c r="M357" s="89"/>
      <c r="O357" s="89"/>
      <c r="P357" s="89"/>
      <c r="Q357" s="89"/>
      <c r="S357" s="89"/>
      <c r="T357" s="89"/>
      <c r="U357" s="89"/>
      <c r="V357" s="89"/>
      <c r="W357" s="89"/>
      <c r="X357" s="89"/>
      <c r="Y357" s="89"/>
      <c r="Z357" s="89"/>
      <c r="AA357" s="89"/>
      <c r="AB357" s="89"/>
      <c r="AC357" s="89"/>
      <c r="AD357" s="89"/>
      <c r="AF357" s="89"/>
      <c r="AH357" s="89"/>
      <c r="AJ357" s="89"/>
      <c r="AK357" s="90"/>
      <c r="AL357" s="87"/>
    </row>
    <row r="358" spans="1:38" x14ac:dyDescent="0.5">
      <c r="B358" s="86" t="s">
        <v>1509</v>
      </c>
      <c r="D358" s="322"/>
      <c r="E358" s="45"/>
      <c r="F358" s="89">
        <f>F347+F356</f>
        <v>51805250</v>
      </c>
      <c r="H358" s="89">
        <f t="shared" ref="H358:M358" si="374">H347+H356</f>
        <v>26834707.310013615</v>
      </c>
      <c r="I358" s="89">
        <f t="shared" si="374"/>
        <v>0</v>
      </c>
      <c r="J358" s="89">
        <f t="shared" si="374"/>
        <v>0</v>
      </c>
      <c r="K358" s="89">
        <f t="shared" si="374"/>
        <v>24970542.689986385</v>
      </c>
      <c r="L358" s="89">
        <f t="shared" si="374"/>
        <v>0</v>
      </c>
      <c r="M358" s="89">
        <f t="shared" si="374"/>
        <v>0</v>
      </c>
      <c r="O358" s="89">
        <f>O347+O356</f>
        <v>0</v>
      </c>
      <c r="P358" s="89">
        <f>P347+P356</f>
        <v>0</v>
      </c>
      <c r="Q358" s="89">
        <f>Q347+Q356</f>
        <v>0</v>
      </c>
      <c r="S358" s="89">
        <f t="shared" ref="S358:AD358" si="375">S347+S356</f>
        <v>0</v>
      </c>
      <c r="T358" s="89">
        <f t="shared" si="375"/>
        <v>0</v>
      </c>
      <c r="U358" s="89">
        <f t="shared" si="375"/>
        <v>0</v>
      </c>
      <c r="V358" s="89">
        <f t="shared" si="375"/>
        <v>0</v>
      </c>
      <c r="W358" s="89">
        <f t="shared" si="375"/>
        <v>0</v>
      </c>
      <c r="X358" s="89">
        <f t="shared" si="375"/>
        <v>0</v>
      </c>
      <c r="Y358" s="89">
        <f t="shared" si="375"/>
        <v>0</v>
      </c>
      <c r="Z358" s="89">
        <f t="shared" si="375"/>
        <v>0</v>
      </c>
      <c r="AA358" s="89">
        <f t="shared" si="375"/>
        <v>0</v>
      </c>
      <c r="AB358" s="89">
        <f t="shared" si="375"/>
        <v>0</v>
      </c>
      <c r="AC358" s="89">
        <f t="shared" si="375"/>
        <v>0</v>
      </c>
      <c r="AD358" s="89">
        <f t="shared" si="375"/>
        <v>0</v>
      </c>
      <c r="AF358" s="89">
        <f>AF347+AF356</f>
        <v>0</v>
      </c>
      <c r="AH358" s="89">
        <f>AH347+AH356</f>
        <v>0</v>
      </c>
      <c r="AJ358" s="89">
        <f>AJ347+AJ356</f>
        <v>0</v>
      </c>
      <c r="AK358" s="90">
        <f t="shared" si="368"/>
        <v>51805250</v>
      </c>
      <c r="AL358" s="87" t="str">
        <f t="shared" si="369"/>
        <v>ok</v>
      </c>
    </row>
    <row r="359" spans="1:38" x14ac:dyDescent="0.5">
      <c r="D359" s="322"/>
      <c r="E359" s="45"/>
      <c r="F359" s="89"/>
      <c r="Y359" s="86"/>
      <c r="AK359" s="90"/>
      <c r="AL359" s="87"/>
    </row>
    <row r="360" spans="1:38" x14ac:dyDescent="0.5">
      <c r="A360" s="23" t="s">
        <v>1599</v>
      </c>
      <c r="D360" s="322"/>
      <c r="E360" s="45"/>
      <c r="Y360" s="86"/>
      <c r="AL360" s="87"/>
    </row>
    <row r="361" spans="1:38" x14ac:dyDescent="0.5">
      <c r="A361" s="101">
        <v>535</v>
      </c>
      <c r="B361" s="86" t="s">
        <v>1487</v>
      </c>
      <c r="C361" s="86" t="s">
        <v>1746</v>
      </c>
      <c r="D361" s="322" t="s">
        <v>719</v>
      </c>
      <c r="E361" s="45"/>
      <c r="F361" s="89">
        <f>'Jurisdictional Study'!F1357</f>
        <v>0</v>
      </c>
      <c r="H361" s="90">
        <f t="shared" ref="H361:H366" si="376">IF(VLOOKUP($D361,$C$5:$AJ$596,6,)=0,0,((VLOOKUP($D361,$C$5:$AJ$596,6,)/VLOOKUP($D361,$C$5:$AJ$596,4,))*$F361))</f>
        <v>0</v>
      </c>
      <c r="I361" s="90">
        <f t="shared" ref="I361:I366" si="377">IF(VLOOKUP($D361,$C$5:$AJ$596,7,)=0,0,((VLOOKUP($D361,$C$5:$AJ$596,7,)/VLOOKUP($D361,$C$5:$AJ$596,4,))*$F361))</f>
        <v>0</v>
      </c>
      <c r="J361" s="90">
        <f t="shared" ref="J361:J366" si="378">IF(VLOOKUP($D361,$C$5:$AJ$596,8,)=0,0,((VLOOKUP($D361,$C$5:$AJ$596,8,)/VLOOKUP($D361,$C$5:$AJ$596,4,))*$F361))</f>
        <v>0</v>
      </c>
      <c r="K361" s="90">
        <f t="shared" ref="K361:K366" si="379">IF(VLOOKUP($D361,$C$5:$AJ$596,9,)=0,0,((VLOOKUP($D361,$C$5:$AJ$596,9,)/VLOOKUP($D361,$C$5:$AJ$596,4,))*$F361))</f>
        <v>0</v>
      </c>
      <c r="L361" s="90">
        <f t="shared" ref="L361:L366" si="380">IF(VLOOKUP($D361,$C$5:$AJ$596,10,)=0,0,((VLOOKUP($D361,$C$5:$AJ$596,10,)/VLOOKUP($D361,$C$5:$AJ$596,4,))*$F361))</f>
        <v>0</v>
      </c>
      <c r="M361" s="90">
        <f t="shared" ref="M361:M366" si="381">IF(VLOOKUP($D361,$C$5:$AJ$596,11,)=0,0,((VLOOKUP($D361,$C$5:$AJ$596,11,)/VLOOKUP($D361,$C$5:$AJ$596,4,))*$F361))</f>
        <v>0</v>
      </c>
      <c r="N361" s="90"/>
      <c r="O361" s="90">
        <f t="shared" ref="O361:O366" si="382">IF(VLOOKUP($D361,$C$5:$AJ$596,13,)=0,0,((VLOOKUP($D361,$C$5:$AJ$596,13,)/VLOOKUP($D361,$C$5:$AJ$596,4,))*$F361))</f>
        <v>0</v>
      </c>
      <c r="P361" s="90">
        <f t="shared" ref="P361:P366" si="383">IF(VLOOKUP($D361,$C$5:$AJ$596,14,)=0,0,((VLOOKUP($D361,$C$5:$AJ$596,14,)/VLOOKUP($D361,$C$5:$AJ$596,4,))*$F361))</f>
        <v>0</v>
      </c>
      <c r="Q361" s="90">
        <f t="shared" ref="Q361:Q366" si="384">IF(VLOOKUP($D361,$C$5:$AJ$596,15,)=0,0,((VLOOKUP($D361,$C$5:$AJ$596,15,)/VLOOKUP($D361,$C$5:$AJ$596,4,))*$F361))</f>
        <v>0</v>
      </c>
      <c r="R361" s="90"/>
      <c r="S361" s="90">
        <f t="shared" ref="S361:S366" si="385">IF(VLOOKUP($D361,$C$5:$AJ$596,17,)=0,0,((VLOOKUP($D361,$C$5:$AJ$596,17,)/VLOOKUP($D361,$C$5:$AJ$596,4,))*$F361))</f>
        <v>0</v>
      </c>
      <c r="T361" s="90">
        <f t="shared" ref="T361:T366" si="386">IF(VLOOKUP($D361,$C$5:$AJ$596,18,)=0,0,((VLOOKUP($D361,$C$5:$AJ$596,18,)/VLOOKUP($D361,$C$5:$AJ$596,4,))*$F361))</f>
        <v>0</v>
      </c>
      <c r="U361" s="90">
        <f t="shared" ref="U361:U366" si="387">IF(VLOOKUP($D361,$C$5:$AJ$596,19,)=0,0,((VLOOKUP($D361,$C$5:$AJ$596,19,)/VLOOKUP($D361,$C$5:$AJ$596,4,))*$F361))</f>
        <v>0</v>
      </c>
      <c r="V361" s="90">
        <f t="shared" ref="V361:V366" si="388">IF(VLOOKUP($D361,$C$5:$AJ$596,20,)=0,0,((VLOOKUP($D361,$C$5:$AJ$596,20,)/VLOOKUP($D361,$C$5:$AJ$596,4,))*$F361))</f>
        <v>0</v>
      </c>
      <c r="W361" s="90">
        <f t="shared" ref="W361:W366" si="389">IF(VLOOKUP($D361,$C$5:$AJ$596,21,)=0,0,((VLOOKUP($D361,$C$5:$AJ$596,21,)/VLOOKUP($D361,$C$5:$AJ$596,4,))*$F361))</f>
        <v>0</v>
      </c>
      <c r="X361" s="90">
        <f t="shared" ref="X361:X366" si="390">IF(VLOOKUP($D361,$C$5:$AJ$596,22,)=0,0,((VLOOKUP($D361,$C$5:$AJ$596,22,)/VLOOKUP($D361,$C$5:$AJ$596,4,))*$F361))</f>
        <v>0</v>
      </c>
      <c r="Y361" s="90">
        <f t="shared" ref="Y361:Y366" si="391">IF(VLOOKUP($D361,$C$5:$AJ$596,23,)=0,0,((VLOOKUP($D361,$C$5:$AJ$596,23,)/VLOOKUP($D361,$C$5:$AJ$596,4,))*$F361))</f>
        <v>0</v>
      </c>
      <c r="Z361" s="90">
        <f t="shared" ref="Z361:Z366" si="392">IF(VLOOKUP($D361,$C$5:$AJ$596,24,)=0,0,((VLOOKUP($D361,$C$5:$AJ$596,24,)/VLOOKUP($D361,$C$5:$AJ$596,4,))*$F361))</f>
        <v>0</v>
      </c>
      <c r="AA361" s="90">
        <f t="shared" ref="AA361:AA366" si="393">IF(VLOOKUP($D361,$C$5:$AJ$596,25,)=0,0,((VLOOKUP($D361,$C$5:$AJ$596,25,)/VLOOKUP($D361,$C$5:$AJ$596,4,))*$F361))</f>
        <v>0</v>
      </c>
      <c r="AB361" s="90">
        <f t="shared" ref="AB361:AB366" si="394">IF(VLOOKUP($D361,$C$5:$AJ$596,26,)=0,0,((VLOOKUP($D361,$C$5:$AJ$596,26,)/VLOOKUP($D361,$C$5:$AJ$596,4,))*$F361))</f>
        <v>0</v>
      </c>
      <c r="AC361" s="90">
        <f t="shared" ref="AC361:AC366" si="395">IF(VLOOKUP($D361,$C$5:$AJ$596,27,)=0,0,((VLOOKUP($D361,$C$5:$AJ$596,27,)/VLOOKUP($D361,$C$5:$AJ$596,4,))*$F361))</f>
        <v>0</v>
      </c>
      <c r="AD361" s="90">
        <f t="shared" ref="AD361:AD366" si="396">IF(VLOOKUP($D361,$C$5:$AJ$596,28,)=0,0,((VLOOKUP($D361,$C$5:$AJ$596,28,)/VLOOKUP($D361,$C$5:$AJ$596,4,))*$F361))</f>
        <v>0</v>
      </c>
      <c r="AE361" s="90"/>
      <c r="AF361" s="90">
        <f t="shared" ref="AF361:AF366" si="397">IF(VLOOKUP($D361,$C$5:$AJ$596,30,)=0,0,((VLOOKUP($D361,$C$5:$AJ$596,30,)/VLOOKUP($D361,$C$5:$AJ$596,4,))*$F361))</f>
        <v>0</v>
      </c>
      <c r="AG361" s="90"/>
      <c r="AH361" s="90">
        <f t="shared" ref="AH361:AH366" si="398">IF(VLOOKUP($D361,$C$5:$AJ$596,32,)=0,0,((VLOOKUP($D361,$C$5:$AJ$596,32,)/VLOOKUP($D361,$C$5:$AJ$596,4,))*$F361))</f>
        <v>0</v>
      </c>
      <c r="AI361" s="90"/>
      <c r="AJ361" s="90">
        <f t="shared" ref="AJ361:AJ366" si="399">IF(VLOOKUP($D361,$C$5:$AJ$596,34,)=0,0,((VLOOKUP($D361,$C$5:$AJ$596,34,)/VLOOKUP($D361,$C$5:$AJ$596,4,))*$F361))</f>
        <v>0</v>
      </c>
      <c r="AK361" s="90">
        <f t="shared" ref="AK361:AK366" si="400">SUM(H361:AJ361)</f>
        <v>0</v>
      </c>
      <c r="AL361" s="87" t="str">
        <f t="shared" ref="AL361:AL366" si="401">IF(ABS(AK361-F361)&lt;1,"ok","err")</f>
        <v>ok</v>
      </c>
    </row>
    <row r="362" spans="1:38" x14ac:dyDescent="0.5">
      <c r="A362" s="102">
        <v>536</v>
      </c>
      <c r="B362" s="86" t="s">
        <v>1606</v>
      </c>
      <c r="C362" s="86" t="s">
        <v>1747</v>
      </c>
      <c r="D362" s="322" t="s">
        <v>709</v>
      </c>
      <c r="E362" s="45"/>
      <c r="F362" s="90">
        <v>0</v>
      </c>
      <c r="H362" s="90">
        <f t="shared" si="376"/>
        <v>0</v>
      </c>
      <c r="I362" s="90">
        <f t="shared" si="377"/>
        <v>0</v>
      </c>
      <c r="J362" s="90">
        <f t="shared" si="378"/>
        <v>0</v>
      </c>
      <c r="K362" s="90">
        <f t="shared" si="379"/>
        <v>0</v>
      </c>
      <c r="L362" s="90">
        <f t="shared" si="380"/>
        <v>0</v>
      </c>
      <c r="M362" s="90">
        <f t="shared" si="381"/>
        <v>0</v>
      </c>
      <c r="N362" s="90"/>
      <c r="O362" s="90">
        <f t="shared" si="382"/>
        <v>0</v>
      </c>
      <c r="P362" s="90">
        <f t="shared" si="383"/>
        <v>0</v>
      </c>
      <c r="Q362" s="90">
        <f t="shared" si="384"/>
        <v>0</v>
      </c>
      <c r="R362" s="90"/>
      <c r="S362" s="90">
        <f t="shared" si="385"/>
        <v>0</v>
      </c>
      <c r="T362" s="90">
        <f t="shared" si="386"/>
        <v>0</v>
      </c>
      <c r="U362" s="90">
        <f t="shared" si="387"/>
        <v>0</v>
      </c>
      <c r="V362" s="90">
        <f t="shared" si="388"/>
        <v>0</v>
      </c>
      <c r="W362" s="90">
        <f t="shared" si="389"/>
        <v>0</v>
      </c>
      <c r="X362" s="90">
        <f t="shared" si="390"/>
        <v>0</v>
      </c>
      <c r="Y362" s="90">
        <f t="shared" si="391"/>
        <v>0</v>
      </c>
      <c r="Z362" s="90">
        <f t="shared" si="392"/>
        <v>0</v>
      </c>
      <c r="AA362" s="90">
        <f t="shared" si="393"/>
        <v>0</v>
      </c>
      <c r="AB362" s="90">
        <f t="shared" si="394"/>
        <v>0</v>
      </c>
      <c r="AC362" s="90">
        <f t="shared" si="395"/>
        <v>0</v>
      </c>
      <c r="AD362" s="90">
        <f t="shared" si="396"/>
        <v>0</v>
      </c>
      <c r="AE362" s="90"/>
      <c r="AF362" s="90">
        <f t="shared" si="397"/>
        <v>0</v>
      </c>
      <c r="AG362" s="90"/>
      <c r="AH362" s="90">
        <f t="shared" si="398"/>
        <v>0</v>
      </c>
      <c r="AI362" s="90"/>
      <c r="AJ362" s="90">
        <f t="shared" si="399"/>
        <v>0</v>
      </c>
      <c r="AK362" s="90">
        <f t="shared" si="400"/>
        <v>0</v>
      </c>
      <c r="AL362" s="87" t="str">
        <f t="shared" si="401"/>
        <v>ok</v>
      </c>
    </row>
    <row r="363" spans="1:38" x14ac:dyDescent="0.5">
      <c r="A363" s="86">
        <v>537</v>
      </c>
      <c r="B363" s="86" t="s">
        <v>1605</v>
      </c>
      <c r="C363" s="86" t="s">
        <v>1748</v>
      </c>
      <c r="D363" s="322" t="s">
        <v>709</v>
      </c>
      <c r="E363" s="45"/>
      <c r="F363" s="90">
        <v>0</v>
      </c>
      <c r="H363" s="90">
        <f t="shared" si="376"/>
        <v>0</v>
      </c>
      <c r="I363" s="90">
        <f t="shared" si="377"/>
        <v>0</v>
      </c>
      <c r="J363" s="90">
        <f t="shared" si="378"/>
        <v>0</v>
      </c>
      <c r="K363" s="90">
        <f t="shared" si="379"/>
        <v>0</v>
      </c>
      <c r="L363" s="90">
        <f t="shared" si="380"/>
        <v>0</v>
      </c>
      <c r="M363" s="90">
        <f t="shared" si="381"/>
        <v>0</v>
      </c>
      <c r="N363" s="90"/>
      <c r="O363" s="90">
        <f t="shared" si="382"/>
        <v>0</v>
      </c>
      <c r="P363" s="90">
        <f t="shared" si="383"/>
        <v>0</v>
      </c>
      <c r="Q363" s="90">
        <f t="shared" si="384"/>
        <v>0</v>
      </c>
      <c r="R363" s="90"/>
      <c r="S363" s="90">
        <f t="shared" si="385"/>
        <v>0</v>
      </c>
      <c r="T363" s="90">
        <f t="shared" si="386"/>
        <v>0</v>
      </c>
      <c r="U363" s="90">
        <f t="shared" si="387"/>
        <v>0</v>
      </c>
      <c r="V363" s="90">
        <f t="shared" si="388"/>
        <v>0</v>
      </c>
      <c r="W363" s="90">
        <f t="shared" si="389"/>
        <v>0</v>
      </c>
      <c r="X363" s="90">
        <f t="shared" si="390"/>
        <v>0</v>
      </c>
      <c r="Y363" s="90">
        <f t="shared" si="391"/>
        <v>0</v>
      </c>
      <c r="Z363" s="90">
        <f t="shared" si="392"/>
        <v>0</v>
      </c>
      <c r="AA363" s="90">
        <f t="shared" si="393"/>
        <v>0</v>
      </c>
      <c r="AB363" s="90">
        <f t="shared" si="394"/>
        <v>0</v>
      </c>
      <c r="AC363" s="90">
        <f t="shared" si="395"/>
        <v>0</v>
      </c>
      <c r="AD363" s="90">
        <f t="shared" si="396"/>
        <v>0</v>
      </c>
      <c r="AE363" s="90"/>
      <c r="AF363" s="90">
        <f t="shared" si="397"/>
        <v>0</v>
      </c>
      <c r="AG363" s="90"/>
      <c r="AH363" s="90">
        <f t="shared" si="398"/>
        <v>0</v>
      </c>
      <c r="AI363" s="90"/>
      <c r="AJ363" s="90">
        <f t="shared" si="399"/>
        <v>0</v>
      </c>
      <c r="AK363" s="90">
        <f t="shared" si="400"/>
        <v>0</v>
      </c>
      <c r="AL363" s="87" t="str">
        <f t="shared" si="401"/>
        <v>ok</v>
      </c>
    </row>
    <row r="364" spans="1:38" x14ac:dyDescent="0.5">
      <c r="A364" s="100">
        <v>538</v>
      </c>
      <c r="B364" s="86" t="s">
        <v>1493</v>
      </c>
      <c r="C364" s="86" t="s">
        <v>1749</v>
      </c>
      <c r="D364" s="322" t="s">
        <v>709</v>
      </c>
      <c r="E364" s="45"/>
      <c r="F364" s="90">
        <f>'Jurisdictional Study'!F1358</f>
        <v>0</v>
      </c>
      <c r="H364" s="90">
        <f t="shared" si="376"/>
        <v>0</v>
      </c>
      <c r="I364" s="90">
        <f t="shared" si="377"/>
        <v>0</v>
      </c>
      <c r="J364" s="90">
        <f t="shared" si="378"/>
        <v>0</v>
      </c>
      <c r="K364" s="90">
        <f t="shared" si="379"/>
        <v>0</v>
      </c>
      <c r="L364" s="90">
        <f t="shared" si="380"/>
        <v>0</v>
      </c>
      <c r="M364" s="90">
        <f t="shared" si="381"/>
        <v>0</v>
      </c>
      <c r="N364" s="90"/>
      <c r="O364" s="90">
        <f t="shared" si="382"/>
        <v>0</v>
      </c>
      <c r="P364" s="90">
        <f t="shared" si="383"/>
        <v>0</v>
      </c>
      <c r="Q364" s="90">
        <f t="shared" si="384"/>
        <v>0</v>
      </c>
      <c r="R364" s="90"/>
      <c r="S364" s="90">
        <f t="shared" si="385"/>
        <v>0</v>
      </c>
      <c r="T364" s="90">
        <f t="shared" si="386"/>
        <v>0</v>
      </c>
      <c r="U364" s="90">
        <f t="shared" si="387"/>
        <v>0</v>
      </c>
      <c r="V364" s="90">
        <f t="shared" si="388"/>
        <v>0</v>
      </c>
      <c r="W364" s="90">
        <f t="shared" si="389"/>
        <v>0</v>
      </c>
      <c r="X364" s="90">
        <f t="shared" si="390"/>
        <v>0</v>
      </c>
      <c r="Y364" s="90">
        <f t="shared" si="391"/>
        <v>0</v>
      </c>
      <c r="Z364" s="90">
        <f t="shared" si="392"/>
        <v>0</v>
      </c>
      <c r="AA364" s="90">
        <f t="shared" si="393"/>
        <v>0</v>
      </c>
      <c r="AB364" s="90">
        <f t="shared" si="394"/>
        <v>0</v>
      </c>
      <c r="AC364" s="90">
        <f t="shared" si="395"/>
        <v>0</v>
      </c>
      <c r="AD364" s="90">
        <f t="shared" si="396"/>
        <v>0</v>
      </c>
      <c r="AE364" s="90"/>
      <c r="AF364" s="90">
        <f t="shared" si="397"/>
        <v>0</v>
      </c>
      <c r="AG364" s="90"/>
      <c r="AH364" s="90">
        <f t="shared" si="398"/>
        <v>0</v>
      </c>
      <c r="AI364" s="90"/>
      <c r="AJ364" s="90">
        <f t="shared" si="399"/>
        <v>0</v>
      </c>
      <c r="AK364" s="90">
        <f t="shared" si="400"/>
        <v>0</v>
      </c>
      <c r="AL364" s="87" t="str">
        <f t="shared" si="401"/>
        <v>ok</v>
      </c>
    </row>
    <row r="365" spans="1:38" x14ac:dyDescent="0.5">
      <c r="A365" s="86">
        <v>539</v>
      </c>
      <c r="B365" s="86" t="s">
        <v>649</v>
      </c>
      <c r="C365" s="86" t="s">
        <v>1750</v>
      </c>
      <c r="D365" s="322" t="s">
        <v>709</v>
      </c>
      <c r="E365" s="45"/>
      <c r="F365" s="90">
        <f>'Jurisdictional Study'!F1359</f>
        <v>0</v>
      </c>
      <c r="H365" s="90">
        <f t="shared" si="376"/>
        <v>0</v>
      </c>
      <c r="I365" s="90">
        <f t="shared" si="377"/>
        <v>0</v>
      </c>
      <c r="J365" s="90">
        <f t="shared" si="378"/>
        <v>0</v>
      </c>
      <c r="K365" s="90">
        <f t="shared" si="379"/>
        <v>0</v>
      </c>
      <c r="L365" s="90">
        <f t="shared" si="380"/>
        <v>0</v>
      </c>
      <c r="M365" s="90">
        <f t="shared" si="381"/>
        <v>0</v>
      </c>
      <c r="N365" s="90"/>
      <c r="O365" s="90">
        <f t="shared" si="382"/>
        <v>0</v>
      </c>
      <c r="P365" s="90">
        <f t="shared" si="383"/>
        <v>0</v>
      </c>
      <c r="Q365" s="90">
        <f t="shared" si="384"/>
        <v>0</v>
      </c>
      <c r="R365" s="90"/>
      <c r="S365" s="90">
        <f t="shared" si="385"/>
        <v>0</v>
      </c>
      <c r="T365" s="90">
        <f t="shared" si="386"/>
        <v>0</v>
      </c>
      <c r="U365" s="90">
        <f t="shared" si="387"/>
        <v>0</v>
      </c>
      <c r="V365" s="90">
        <f t="shared" si="388"/>
        <v>0</v>
      </c>
      <c r="W365" s="90">
        <f t="shared" si="389"/>
        <v>0</v>
      </c>
      <c r="X365" s="90">
        <f t="shared" si="390"/>
        <v>0</v>
      </c>
      <c r="Y365" s="90">
        <f t="shared" si="391"/>
        <v>0</v>
      </c>
      <c r="Z365" s="90">
        <f t="shared" si="392"/>
        <v>0</v>
      </c>
      <c r="AA365" s="90">
        <f t="shared" si="393"/>
        <v>0</v>
      </c>
      <c r="AB365" s="90">
        <f t="shared" si="394"/>
        <v>0</v>
      </c>
      <c r="AC365" s="90">
        <f t="shared" si="395"/>
        <v>0</v>
      </c>
      <c r="AD365" s="90">
        <f t="shared" si="396"/>
        <v>0</v>
      </c>
      <c r="AE365" s="90"/>
      <c r="AF365" s="90">
        <f t="shared" si="397"/>
        <v>0</v>
      </c>
      <c r="AG365" s="90"/>
      <c r="AH365" s="90">
        <f t="shared" si="398"/>
        <v>0</v>
      </c>
      <c r="AI365" s="90"/>
      <c r="AJ365" s="90">
        <f t="shared" si="399"/>
        <v>0</v>
      </c>
      <c r="AK365" s="90">
        <f t="shared" si="400"/>
        <v>0</v>
      </c>
      <c r="AL365" s="87" t="str">
        <f t="shared" si="401"/>
        <v>ok</v>
      </c>
    </row>
    <row r="366" spans="1:38" x14ac:dyDescent="0.5">
      <c r="A366" s="100">
        <v>540</v>
      </c>
      <c r="B366" s="86" t="s">
        <v>353</v>
      </c>
      <c r="C366" s="86" t="s">
        <v>1751</v>
      </c>
      <c r="D366" s="322" t="s">
        <v>709</v>
      </c>
      <c r="E366" s="45"/>
      <c r="F366" s="90">
        <v>0</v>
      </c>
      <c r="H366" s="90">
        <f t="shared" si="376"/>
        <v>0</v>
      </c>
      <c r="I366" s="90">
        <f t="shared" si="377"/>
        <v>0</v>
      </c>
      <c r="J366" s="90">
        <f t="shared" si="378"/>
        <v>0</v>
      </c>
      <c r="K366" s="90">
        <f t="shared" si="379"/>
        <v>0</v>
      </c>
      <c r="L366" s="90">
        <f t="shared" si="380"/>
        <v>0</v>
      </c>
      <c r="M366" s="90">
        <f t="shared" si="381"/>
        <v>0</v>
      </c>
      <c r="N366" s="90"/>
      <c r="O366" s="90">
        <f t="shared" si="382"/>
        <v>0</v>
      </c>
      <c r="P366" s="90">
        <f t="shared" si="383"/>
        <v>0</v>
      </c>
      <c r="Q366" s="90">
        <f t="shared" si="384"/>
        <v>0</v>
      </c>
      <c r="R366" s="90"/>
      <c r="S366" s="90">
        <f t="shared" si="385"/>
        <v>0</v>
      </c>
      <c r="T366" s="90">
        <f t="shared" si="386"/>
        <v>0</v>
      </c>
      <c r="U366" s="90">
        <f t="shared" si="387"/>
        <v>0</v>
      </c>
      <c r="V366" s="90">
        <f t="shared" si="388"/>
        <v>0</v>
      </c>
      <c r="W366" s="90">
        <f t="shared" si="389"/>
        <v>0</v>
      </c>
      <c r="X366" s="90">
        <f t="shared" si="390"/>
        <v>0</v>
      </c>
      <c r="Y366" s="90">
        <f t="shared" si="391"/>
        <v>0</v>
      </c>
      <c r="Z366" s="90">
        <f t="shared" si="392"/>
        <v>0</v>
      </c>
      <c r="AA366" s="90">
        <f t="shared" si="393"/>
        <v>0</v>
      </c>
      <c r="AB366" s="90">
        <f t="shared" si="394"/>
        <v>0</v>
      </c>
      <c r="AC366" s="90">
        <f t="shared" si="395"/>
        <v>0</v>
      </c>
      <c r="AD366" s="90">
        <f t="shared" si="396"/>
        <v>0</v>
      </c>
      <c r="AE366" s="90"/>
      <c r="AF366" s="90">
        <f t="shared" si="397"/>
        <v>0</v>
      </c>
      <c r="AG366" s="90"/>
      <c r="AH366" s="90">
        <f t="shared" si="398"/>
        <v>0</v>
      </c>
      <c r="AI366" s="90"/>
      <c r="AJ366" s="90">
        <f t="shared" si="399"/>
        <v>0</v>
      </c>
      <c r="AK366" s="90">
        <f t="shared" si="400"/>
        <v>0</v>
      </c>
      <c r="AL366" s="87" t="str">
        <f t="shared" si="401"/>
        <v>ok</v>
      </c>
    </row>
    <row r="367" spans="1:38" x14ac:dyDescent="0.5">
      <c r="D367" s="322"/>
      <c r="E367" s="45"/>
      <c r="F367" s="89"/>
      <c r="Y367" s="86"/>
      <c r="AK367" s="90"/>
      <c r="AL367" s="87"/>
    </row>
    <row r="368" spans="1:38" x14ac:dyDescent="0.5">
      <c r="B368" s="86" t="s">
        <v>1602</v>
      </c>
      <c r="C368" s="86" t="s">
        <v>710</v>
      </c>
      <c r="D368" s="322"/>
      <c r="E368" s="45"/>
      <c r="F368" s="89">
        <f>SUM(F361:F367)</f>
        <v>0</v>
      </c>
      <c r="H368" s="89">
        <f t="shared" ref="H368:M368" si="402">SUM(H361:H367)</f>
        <v>0</v>
      </c>
      <c r="I368" s="89">
        <f t="shared" si="402"/>
        <v>0</v>
      </c>
      <c r="J368" s="89">
        <f t="shared" si="402"/>
        <v>0</v>
      </c>
      <c r="K368" s="89">
        <f t="shared" si="402"/>
        <v>0</v>
      </c>
      <c r="L368" s="89">
        <f t="shared" si="402"/>
        <v>0</v>
      </c>
      <c r="M368" s="89">
        <f t="shared" si="402"/>
        <v>0</v>
      </c>
      <c r="O368" s="89">
        <f>SUM(O361:O367)</f>
        <v>0</v>
      </c>
      <c r="P368" s="89">
        <f>SUM(P361:P367)</f>
        <v>0</v>
      </c>
      <c r="Q368" s="89">
        <f>SUM(Q361:Q367)</f>
        <v>0</v>
      </c>
      <c r="S368" s="89">
        <f t="shared" ref="S368:AD368" si="403">SUM(S361:S367)</f>
        <v>0</v>
      </c>
      <c r="T368" s="89">
        <f t="shared" si="403"/>
        <v>0</v>
      </c>
      <c r="U368" s="89">
        <f t="shared" si="403"/>
        <v>0</v>
      </c>
      <c r="V368" s="89">
        <f t="shared" si="403"/>
        <v>0</v>
      </c>
      <c r="W368" s="89">
        <f t="shared" si="403"/>
        <v>0</v>
      </c>
      <c r="X368" s="89">
        <f t="shared" si="403"/>
        <v>0</v>
      </c>
      <c r="Y368" s="89">
        <f t="shared" si="403"/>
        <v>0</v>
      </c>
      <c r="Z368" s="89">
        <f t="shared" si="403"/>
        <v>0</v>
      </c>
      <c r="AA368" s="89">
        <f t="shared" si="403"/>
        <v>0</v>
      </c>
      <c r="AB368" s="89">
        <f t="shared" si="403"/>
        <v>0</v>
      </c>
      <c r="AC368" s="89">
        <f t="shared" si="403"/>
        <v>0</v>
      </c>
      <c r="AD368" s="89">
        <f t="shared" si="403"/>
        <v>0</v>
      </c>
      <c r="AF368" s="89">
        <f>SUM(AF361:AF367)</f>
        <v>0</v>
      </c>
      <c r="AH368" s="89">
        <f>SUM(AH361:AH367)</f>
        <v>0</v>
      </c>
      <c r="AJ368" s="89">
        <f>SUM(AJ361:AJ367)</f>
        <v>0</v>
      </c>
      <c r="AK368" s="90">
        <f>SUM(H368:AJ368)</f>
        <v>0</v>
      </c>
      <c r="AL368" s="87" t="str">
        <f>IF(ABS(AK368-F368)&lt;1,"ok","err")</f>
        <v>ok</v>
      </c>
    </row>
    <row r="369" spans="1:38" x14ac:dyDescent="0.5">
      <c r="D369" s="322"/>
      <c r="E369" s="45"/>
      <c r="F369" s="89"/>
      <c r="Y369" s="86"/>
      <c r="AL369" s="87"/>
    </row>
    <row r="370" spans="1:38" x14ac:dyDescent="0.5">
      <c r="A370" s="23" t="s">
        <v>1600</v>
      </c>
      <c r="D370" s="322"/>
      <c r="E370" s="45"/>
      <c r="F370" s="89"/>
      <c r="Y370" s="86"/>
      <c r="AL370" s="87"/>
    </row>
    <row r="371" spans="1:38" x14ac:dyDescent="0.5">
      <c r="A371" s="101">
        <v>541</v>
      </c>
      <c r="B371" s="86" t="s">
        <v>560</v>
      </c>
      <c r="C371" s="86" t="s">
        <v>1752</v>
      </c>
      <c r="D371" s="322" t="s">
        <v>720</v>
      </c>
      <c r="E371" s="45"/>
      <c r="F371" s="89">
        <f>'Jurisdictional Study'!F1360</f>
        <v>160360</v>
      </c>
      <c r="H371" s="90">
        <f>IF(VLOOKUP($D371,$C$5:$AJ$596,6,)=0,0,((VLOOKUP($D371,$C$5:$AJ$596,6,)/VLOOKUP($D371,$C$5:$AJ$596,4,))*$F371))</f>
        <v>104959.76417742841</v>
      </c>
      <c r="I371" s="90">
        <f>IF(VLOOKUP($D371,$C$5:$AJ$596,7,)=0,0,((VLOOKUP($D371,$C$5:$AJ$596,7,)/VLOOKUP($D371,$C$5:$AJ$596,4,))*$F371))</f>
        <v>0</v>
      </c>
      <c r="J371" s="90">
        <f>IF(VLOOKUP($D371,$C$5:$AJ$596,8,)=0,0,((VLOOKUP($D371,$C$5:$AJ$596,8,)/VLOOKUP($D371,$C$5:$AJ$596,4,))*$F371))</f>
        <v>0</v>
      </c>
      <c r="K371" s="90">
        <f>IF(VLOOKUP($D371,$C$5:$AJ$596,9,)=0,0,((VLOOKUP($D371,$C$5:$AJ$596,9,)/VLOOKUP($D371,$C$5:$AJ$596,4,))*$F371))</f>
        <v>55400.235822571594</v>
      </c>
      <c r="L371" s="90">
        <f>IF(VLOOKUP($D371,$C$5:$AJ$596,10,)=0,0,((VLOOKUP($D371,$C$5:$AJ$596,10,)/VLOOKUP($D371,$C$5:$AJ$596,4,))*$F371))</f>
        <v>0</v>
      </c>
      <c r="M371" s="90">
        <f>IF(VLOOKUP($D371,$C$5:$AJ$596,11,)=0,0,((VLOOKUP($D371,$C$5:$AJ$596,11,)/VLOOKUP($D371,$C$5:$AJ$596,4,))*$F371))</f>
        <v>0</v>
      </c>
      <c r="N371" s="90"/>
      <c r="O371" s="90">
        <f>IF(VLOOKUP($D371,$C$5:$AJ$596,13,)=0,0,((VLOOKUP($D371,$C$5:$AJ$596,13,)/VLOOKUP($D371,$C$5:$AJ$596,4,))*$F371))</f>
        <v>0</v>
      </c>
      <c r="P371" s="90">
        <f>IF(VLOOKUP($D371,$C$5:$AJ$596,14,)=0,0,((VLOOKUP($D371,$C$5:$AJ$596,14,)/VLOOKUP($D371,$C$5:$AJ$596,4,))*$F371))</f>
        <v>0</v>
      </c>
      <c r="Q371" s="90">
        <f>IF(VLOOKUP($D371,$C$5:$AJ$596,15,)=0,0,((VLOOKUP($D371,$C$5:$AJ$596,15,)/VLOOKUP($D371,$C$5:$AJ$596,4,))*$F371))</f>
        <v>0</v>
      </c>
      <c r="R371" s="90"/>
      <c r="S371" s="90">
        <f>IF(VLOOKUP($D371,$C$5:$AJ$596,17,)=0,0,((VLOOKUP($D371,$C$5:$AJ$596,17,)/VLOOKUP($D371,$C$5:$AJ$596,4,))*$F371))</f>
        <v>0</v>
      </c>
      <c r="T371" s="90">
        <f>IF(VLOOKUP($D371,$C$5:$AJ$596,18,)=0,0,((VLOOKUP($D371,$C$5:$AJ$596,18,)/VLOOKUP($D371,$C$5:$AJ$596,4,))*$F371))</f>
        <v>0</v>
      </c>
      <c r="U371" s="90">
        <f>IF(VLOOKUP($D371,$C$5:$AJ$596,19,)=0,0,((VLOOKUP($D371,$C$5:$AJ$596,19,)/VLOOKUP($D371,$C$5:$AJ$596,4,))*$F371))</f>
        <v>0</v>
      </c>
      <c r="V371" s="90">
        <f>IF(VLOOKUP($D371,$C$5:$AJ$596,20,)=0,0,((VLOOKUP($D371,$C$5:$AJ$596,20,)/VLOOKUP($D371,$C$5:$AJ$596,4,))*$F371))</f>
        <v>0</v>
      </c>
      <c r="W371" s="90">
        <f>IF(VLOOKUP($D371,$C$5:$AJ$596,21,)=0,0,((VLOOKUP($D371,$C$5:$AJ$596,21,)/VLOOKUP($D371,$C$5:$AJ$596,4,))*$F371))</f>
        <v>0</v>
      </c>
      <c r="X371" s="90">
        <f>IF(VLOOKUP($D371,$C$5:$AJ$596,22,)=0,0,((VLOOKUP($D371,$C$5:$AJ$596,22,)/VLOOKUP($D371,$C$5:$AJ$596,4,))*$F371))</f>
        <v>0</v>
      </c>
      <c r="Y371" s="90">
        <f>IF(VLOOKUP($D371,$C$5:$AJ$596,23,)=0,0,((VLOOKUP($D371,$C$5:$AJ$596,23,)/VLOOKUP($D371,$C$5:$AJ$596,4,))*$F371))</f>
        <v>0</v>
      </c>
      <c r="Z371" s="90">
        <f>IF(VLOOKUP($D371,$C$5:$AJ$596,24,)=0,0,((VLOOKUP($D371,$C$5:$AJ$596,24,)/VLOOKUP($D371,$C$5:$AJ$596,4,))*$F371))</f>
        <v>0</v>
      </c>
      <c r="AA371" s="90">
        <f>IF(VLOOKUP($D371,$C$5:$AJ$596,25,)=0,0,((VLOOKUP($D371,$C$5:$AJ$596,25,)/VLOOKUP($D371,$C$5:$AJ$596,4,))*$F371))</f>
        <v>0</v>
      </c>
      <c r="AB371" s="90">
        <f>IF(VLOOKUP($D371,$C$5:$AJ$596,26,)=0,0,((VLOOKUP($D371,$C$5:$AJ$596,26,)/VLOOKUP($D371,$C$5:$AJ$596,4,))*$F371))</f>
        <v>0</v>
      </c>
      <c r="AC371" s="90">
        <f>IF(VLOOKUP($D371,$C$5:$AJ$596,27,)=0,0,((VLOOKUP($D371,$C$5:$AJ$596,27,)/VLOOKUP($D371,$C$5:$AJ$596,4,))*$F371))</f>
        <v>0</v>
      </c>
      <c r="AD371" s="90">
        <f>IF(VLOOKUP($D371,$C$5:$AJ$596,28,)=0,0,((VLOOKUP($D371,$C$5:$AJ$596,28,)/VLOOKUP($D371,$C$5:$AJ$596,4,))*$F371))</f>
        <v>0</v>
      </c>
      <c r="AE371" s="90"/>
      <c r="AF371" s="90">
        <f>IF(VLOOKUP($D371,$C$5:$AJ$596,30,)=0,0,((VLOOKUP($D371,$C$5:$AJ$596,30,)/VLOOKUP($D371,$C$5:$AJ$596,4,))*$F371))</f>
        <v>0</v>
      </c>
      <c r="AG371" s="90"/>
      <c r="AH371" s="90">
        <f>IF(VLOOKUP($D371,$C$5:$AJ$596,32,)=0,0,((VLOOKUP($D371,$C$5:$AJ$596,32,)/VLOOKUP($D371,$C$5:$AJ$596,4,))*$F371))</f>
        <v>0</v>
      </c>
      <c r="AI371" s="90"/>
      <c r="AJ371" s="90">
        <f>IF(VLOOKUP($D371,$C$5:$AJ$596,34,)=0,0,((VLOOKUP($D371,$C$5:$AJ$596,34,)/VLOOKUP($D371,$C$5:$AJ$596,4,))*$F371))</f>
        <v>0</v>
      </c>
      <c r="AK371" s="90">
        <f>SUM(H371:AJ371)</f>
        <v>160360</v>
      </c>
      <c r="AL371" s="87" t="str">
        <f>IF(ABS(AK371-F371)&lt;1,"ok","err")</f>
        <v>ok</v>
      </c>
    </row>
    <row r="372" spans="1:38" x14ac:dyDescent="0.5">
      <c r="A372" s="101">
        <v>542</v>
      </c>
      <c r="B372" s="86" t="s">
        <v>559</v>
      </c>
      <c r="C372" s="86" t="s">
        <v>1753</v>
      </c>
      <c r="D372" s="322" t="s">
        <v>709</v>
      </c>
      <c r="E372" s="45"/>
      <c r="F372" s="90">
        <f>'Jurisdictional Study'!F1361</f>
        <v>43386</v>
      </c>
      <c r="H372" s="90">
        <f>IF(VLOOKUP($D372,$C$5:$AJ$596,6,)=0,0,((VLOOKUP($D372,$C$5:$AJ$596,6,)/VLOOKUP($D372,$C$5:$AJ$596,4,))*$F372))</f>
        <v>43386</v>
      </c>
      <c r="I372" s="90">
        <f>IF(VLOOKUP($D372,$C$5:$AJ$596,7,)=0,0,((VLOOKUP($D372,$C$5:$AJ$596,7,)/VLOOKUP($D372,$C$5:$AJ$596,4,))*$F372))</f>
        <v>0</v>
      </c>
      <c r="J372" s="90">
        <f>IF(VLOOKUP($D372,$C$5:$AJ$596,8,)=0,0,((VLOOKUP($D372,$C$5:$AJ$596,8,)/VLOOKUP($D372,$C$5:$AJ$596,4,))*$F372))</f>
        <v>0</v>
      </c>
      <c r="K372" s="90">
        <f>IF(VLOOKUP($D372,$C$5:$AJ$596,9,)=0,0,((VLOOKUP($D372,$C$5:$AJ$596,9,)/VLOOKUP($D372,$C$5:$AJ$596,4,))*$F372))</f>
        <v>0</v>
      </c>
      <c r="L372" s="90">
        <f>IF(VLOOKUP($D372,$C$5:$AJ$596,10,)=0,0,((VLOOKUP($D372,$C$5:$AJ$596,10,)/VLOOKUP($D372,$C$5:$AJ$596,4,))*$F372))</f>
        <v>0</v>
      </c>
      <c r="M372" s="90">
        <f>IF(VLOOKUP($D372,$C$5:$AJ$596,11,)=0,0,((VLOOKUP($D372,$C$5:$AJ$596,11,)/VLOOKUP($D372,$C$5:$AJ$596,4,))*$F372))</f>
        <v>0</v>
      </c>
      <c r="N372" s="90"/>
      <c r="O372" s="90">
        <f>IF(VLOOKUP($D372,$C$5:$AJ$596,13,)=0,0,((VLOOKUP($D372,$C$5:$AJ$596,13,)/VLOOKUP($D372,$C$5:$AJ$596,4,))*$F372))</f>
        <v>0</v>
      </c>
      <c r="P372" s="90">
        <f>IF(VLOOKUP($D372,$C$5:$AJ$596,14,)=0,0,((VLOOKUP($D372,$C$5:$AJ$596,14,)/VLOOKUP($D372,$C$5:$AJ$596,4,))*$F372))</f>
        <v>0</v>
      </c>
      <c r="Q372" s="90">
        <f>IF(VLOOKUP($D372,$C$5:$AJ$596,15,)=0,0,((VLOOKUP($D372,$C$5:$AJ$596,15,)/VLOOKUP($D372,$C$5:$AJ$596,4,))*$F372))</f>
        <v>0</v>
      </c>
      <c r="R372" s="90"/>
      <c r="S372" s="90">
        <f>IF(VLOOKUP($D372,$C$5:$AJ$596,17,)=0,0,((VLOOKUP($D372,$C$5:$AJ$596,17,)/VLOOKUP($D372,$C$5:$AJ$596,4,))*$F372))</f>
        <v>0</v>
      </c>
      <c r="T372" s="90">
        <f>IF(VLOOKUP($D372,$C$5:$AJ$596,18,)=0,0,((VLOOKUP($D372,$C$5:$AJ$596,18,)/VLOOKUP($D372,$C$5:$AJ$596,4,))*$F372))</f>
        <v>0</v>
      </c>
      <c r="U372" s="90">
        <f>IF(VLOOKUP($D372,$C$5:$AJ$596,19,)=0,0,((VLOOKUP($D372,$C$5:$AJ$596,19,)/VLOOKUP($D372,$C$5:$AJ$596,4,))*$F372))</f>
        <v>0</v>
      </c>
      <c r="V372" s="90">
        <f>IF(VLOOKUP($D372,$C$5:$AJ$596,20,)=0,0,((VLOOKUP($D372,$C$5:$AJ$596,20,)/VLOOKUP($D372,$C$5:$AJ$596,4,))*$F372))</f>
        <v>0</v>
      </c>
      <c r="W372" s="90">
        <f>IF(VLOOKUP($D372,$C$5:$AJ$596,21,)=0,0,((VLOOKUP($D372,$C$5:$AJ$596,21,)/VLOOKUP($D372,$C$5:$AJ$596,4,))*$F372))</f>
        <v>0</v>
      </c>
      <c r="X372" s="90">
        <f>IF(VLOOKUP($D372,$C$5:$AJ$596,22,)=0,0,((VLOOKUP($D372,$C$5:$AJ$596,22,)/VLOOKUP($D372,$C$5:$AJ$596,4,))*$F372))</f>
        <v>0</v>
      </c>
      <c r="Y372" s="90">
        <f>IF(VLOOKUP($D372,$C$5:$AJ$596,23,)=0,0,((VLOOKUP($D372,$C$5:$AJ$596,23,)/VLOOKUP($D372,$C$5:$AJ$596,4,))*$F372))</f>
        <v>0</v>
      </c>
      <c r="Z372" s="90">
        <f>IF(VLOOKUP($D372,$C$5:$AJ$596,24,)=0,0,((VLOOKUP($D372,$C$5:$AJ$596,24,)/VLOOKUP($D372,$C$5:$AJ$596,4,))*$F372))</f>
        <v>0</v>
      </c>
      <c r="AA372" s="90">
        <f>IF(VLOOKUP($D372,$C$5:$AJ$596,25,)=0,0,((VLOOKUP($D372,$C$5:$AJ$596,25,)/VLOOKUP($D372,$C$5:$AJ$596,4,))*$F372))</f>
        <v>0</v>
      </c>
      <c r="AB372" s="90">
        <f>IF(VLOOKUP($D372,$C$5:$AJ$596,26,)=0,0,((VLOOKUP($D372,$C$5:$AJ$596,26,)/VLOOKUP($D372,$C$5:$AJ$596,4,))*$F372))</f>
        <v>0</v>
      </c>
      <c r="AC372" s="90">
        <f>IF(VLOOKUP($D372,$C$5:$AJ$596,27,)=0,0,((VLOOKUP($D372,$C$5:$AJ$596,27,)/VLOOKUP($D372,$C$5:$AJ$596,4,))*$F372))</f>
        <v>0</v>
      </c>
      <c r="AD372" s="90">
        <f>IF(VLOOKUP($D372,$C$5:$AJ$596,28,)=0,0,((VLOOKUP($D372,$C$5:$AJ$596,28,)/VLOOKUP($D372,$C$5:$AJ$596,4,))*$F372))</f>
        <v>0</v>
      </c>
      <c r="AE372" s="90"/>
      <c r="AF372" s="90">
        <f>IF(VLOOKUP($D372,$C$5:$AJ$596,30,)=0,0,((VLOOKUP($D372,$C$5:$AJ$596,30,)/VLOOKUP($D372,$C$5:$AJ$596,4,))*$F372))</f>
        <v>0</v>
      </c>
      <c r="AG372" s="90"/>
      <c r="AH372" s="90">
        <f>IF(VLOOKUP($D372,$C$5:$AJ$596,32,)=0,0,((VLOOKUP($D372,$C$5:$AJ$596,32,)/VLOOKUP($D372,$C$5:$AJ$596,4,))*$F372))</f>
        <v>0</v>
      </c>
      <c r="AI372" s="90"/>
      <c r="AJ372" s="90">
        <f>IF(VLOOKUP($D372,$C$5:$AJ$596,34,)=0,0,((VLOOKUP($D372,$C$5:$AJ$596,34,)/VLOOKUP($D372,$C$5:$AJ$596,4,))*$F372))</f>
        <v>0</v>
      </c>
      <c r="AK372" s="90">
        <f>SUM(H372:AJ372)</f>
        <v>43386</v>
      </c>
      <c r="AL372" s="87" t="str">
        <f>IF(ABS(AK372-F372)&lt;1,"ok","err")</f>
        <v>ok</v>
      </c>
    </row>
    <row r="373" spans="1:38" x14ac:dyDescent="0.5">
      <c r="A373" s="101">
        <v>543</v>
      </c>
      <c r="B373" s="86" t="s">
        <v>1601</v>
      </c>
      <c r="C373" s="86" t="s">
        <v>1754</v>
      </c>
      <c r="D373" s="322" t="s">
        <v>709</v>
      </c>
      <c r="E373" s="45"/>
      <c r="F373" s="90">
        <f>'Jurisdictional Study'!F1362</f>
        <v>911</v>
      </c>
      <c r="H373" s="90">
        <f>IF(VLOOKUP($D373,$C$5:$AJ$596,6,)=0,0,((VLOOKUP($D373,$C$5:$AJ$596,6,)/VLOOKUP($D373,$C$5:$AJ$596,4,))*$F373))</f>
        <v>911</v>
      </c>
      <c r="I373" s="90">
        <f>IF(VLOOKUP($D373,$C$5:$AJ$596,7,)=0,0,((VLOOKUP($D373,$C$5:$AJ$596,7,)/VLOOKUP($D373,$C$5:$AJ$596,4,))*$F373))</f>
        <v>0</v>
      </c>
      <c r="J373" s="90">
        <f>IF(VLOOKUP($D373,$C$5:$AJ$596,8,)=0,0,((VLOOKUP($D373,$C$5:$AJ$596,8,)/VLOOKUP($D373,$C$5:$AJ$596,4,))*$F373))</f>
        <v>0</v>
      </c>
      <c r="K373" s="90">
        <f>IF(VLOOKUP($D373,$C$5:$AJ$596,9,)=0,0,((VLOOKUP($D373,$C$5:$AJ$596,9,)/VLOOKUP($D373,$C$5:$AJ$596,4,))*$F373))</f>
        <v>0</v>
      </c>
      <c r="L373" s="90">
        <f>IF(VLOOKUP($D373,$C$5:$AJ$596,10,)=0,0,((VLOOKUP($D373,$C$5:$AJ$596,10,)/VLOOKUP($D373,$C$5:$AJ$596,4,))*$F373))</f>
        <v>0</v>
      </c>
      <c r="M373" s="90">
        <f>IF(VLOOKUP($D373,$C$5:$AJ$596,11,)=0,0,((VLOOKUP($D373,$C$5:$AJ$596,11,)/VLOOKUP($D373,$C$5:$AJ$596,4,))*$F373))</f>
        <v>0</v>
      </c>
      <c r="N373" s="90"/>
      <c r="O373" s="90">
        <f>IF(VLOOKUP($D373,$C$5:$AJ$596,13,)=0,0,((VLOOKUP($D373,$C$5:$AJ$596,13,)/VLOOKUP($D373,$C$5:$AJ$596,4,))*$F373))</f>
        <v>0</v>
      </c>
      <c r="P373" s="90">
        <f>IF(VLOOKUP($D373,$C$5:$AJ$596,14,)=0,0,((VLOOKUP($D373,$C$5:$AJ$596,14,)/VLOOKUP($D373,$C$5:$AJ$596,4,))*$F373))</f>
        <v>0</v>
      </c>
      <c r="Q373" s="90">
        <f>IF(VLOOKUP($D373,$C$5:$AJ$596,15,)=0,0,((VLOOKUP($D373,$C$5:$AJ$596,15,)/VLOOKUP($D373,$C$5:$AJ$596,4,))*$F373))</f>
        <v>0</v>
      </c>
      <c r="R373" s="90"/>
      <c r="S373" s="90">
        <f>IF(VLOOKUP($D373,$C$5:$AJ$596,17,)=0,0,((VLOOKUP($D373,$C$5:$AJ$596,17,)/VLOOKUP($D373,$C$5:$AJ$596,4,))*$F373))</f>
        <v>0</v>
      </c>
      <c r="T373" s="90">
        <f>IF(VLOOKUP($D373,$C$5:$AJ$596,18,)=0,0,((VLOOKUP($D373,$C$5:$AJ$596,18,)/VLOOKUP($D373,$C$5:$AJ$596,4,))*$F373))</f>
        <v>0</v>
      </c>
      <c r="U373" s="90">
        <f>IF(VLOOKUP($D373,$C$5:$AJ$596,19,)=0,0,((VLOOKUP($D373,$C$5:$AJ$596,19,)/VLOOKUP($D373,$C$5:$AJ$596,4,))*$F373))</f>
        <v>0</v>
      </c>
      <c r="V373" s="90">
        <f>IF(VLOOKUP($D373,$C$5:$AJ$596,20,)=0,0,((VLOOKUP($D373,$C$5:$AJ$596,20,)/VLOOKUP($D373,$C$5:$AJ$596,4,))*$F373))</f>
        <v>0</v>
      </c>
      <c r="W373" s="90">
        <f>IF(VLOOKUP($D373,$C$5:$AJ$596,21,)=0,0,((VLOOKUP($D373,$C$5:$AJ$596,21,)/VLOOKUP($D373,$C$5:$AJ$596,4,))*$F373))</f>
        <v>0</v>
      </c>
      <c r="X373" s="90">
        <f>IF(VLOOKUP($D373,$C$5:$AJ$596,22,)=0,0,((VLOOKUP($D373,$C$5:$AJ$596,22,)/VLOOKUP($D373,$C$5:$AJ$596,4,))*$F373))</f>
        <v>0</v>
      </c>
      <c r="Y373" s="90">
        <f>IF(VLOOKUP($D373,$C$5:$AJ$596,23,)=0,0,((VLOOKUP($D373,$C$5:$AJ$596,23,)/VLOOKUP($D373,$C$5:$AJ$596,4,))*$F373))</f>
        <v>0</v>
      </c>
      <c r="Z373" s="90">
        <f>IF(VLOOKUP($D373,$C$5:$AJ$596,24,)=0,0,((VLOOKUP($D373,$C$5:$AJ$596,24,)/VLOOKUP($D373,$C$5:$AJ$596,4,))*$F373))</f>
        <v>0</v>
      </c>
      <c r="AA373" s="90">
        <f>IF(VLOOKUP($D373,$C$5:$AJ$596,25,)=0,0,((VLOOKUP($D373,$C$5:$AJ$596,25,)/VLOOKUP($D373,$C$5:$AJ$596,4,))*$F373))</f>
        <v>0</v>
      </c>
      <c r="AB373" s="90">
        <f>IF(VLOOKUP($D373,$C$5:$AJ$596,26,)=0,0,((VLOOKUP($D373,$C$5:$AJ$596,26,)/VLOOKUP($D373,$C$5:$AJ$596,4,))*$F373))</f>
        <v>0</v>
      </c>
      <c r="AC373" s="90">
        <f>IF(VLOOKUP($D373,$C$5:$AJ$596,27,)=0,0,((VLOOKUP($D373,$C$5:$AJ$596,27,)/VLOOKUP($D373,$C$5:$AJ$596,4,))*$F373))</f>
        <v>0</v>
      </c>
      <c r="AD373" s="90">
        <f>IF(VLOOKUP($D373,$C$5:$AJ$596,28,)=0,0,((VLOOKUP($D373,$C$5:$AJ$596,28,)/VLOOKUP($D373,$C$5:$AJ$596,4,))*$F373))</f>
        <v>0</v>
      </c>
      <c r="AE373" s="90"/>
      <c r="AF373" s="90">
        <f>IF(VLOOKUP($D373,$C$5:$AJ$596,30,)=0,0,((VLOOKUP($D373,$C$5:$AJ$596,30,)/VLOOKUP($D373,$C$5:$AJ$596,4,))*$F373))</f>
        <v>0</v>
      </c>
      <c r="AG373" s="90"/>
      <c r="AH373" s="90">
        <f>IF(VLOOKUP($D373,$C$5:$AJ$596,32,)=0,0,((VLOOKUP($D373,$C$5:$AJ$596,32,)/VLOOKUP($D373,$C$5:$AJ$596,4,))*$F373))</f>
        <v>0</v>
      </c>
      <c r="AI373" s="90"/>
      <c r="AJ373" s="90">
        <f>IF(VLOOKUP($D373,$C$5:$AJ$596,34,)=0,0,((VLOOKUP($D373,$C$5:$AJ$596,34,)/VLOOKUP($D373,$C$5:$AJ$596,4,))*$F373))</f>
        <v>0</v>
      </c>
      <c r="AK373" s="90">
        <f>SUM(H373:AJ373)</f>
        <v>911</v>
      </c>
      <c r="AL373" s="87" t="str">
        <f>IF(ABS(AK373-F373)&lt;1,"ok","err")</f>
        <v>ok</v>
      </c>
    </row>
    <row r="374" spans="1:38" x14ac:dyDescent="0.5">
      <c r="A374" s="86">
        <v>544</v>
      </c>
      <c r="B374" s="86" t="s">
        <v>1503</v>
      </c>
      <c r="C374" s="86" t="s">
        <v>1755</v>
      </c>
      <c r="D374" s="322" t="s">
        <v>104</v>
      </c>
      <c r="E374" s="45"/>
      <c r="F374" s="90">
        <f>'Jurisdictional Study'!F1363</f>
        <v>22712</v>
      </c>
      <c r="H374" s="90">
        <f>IF(VLOOKUP($D374,$C$5:$AJ$596,6,)=0,0,((VLOOKUP($D374,$C$5:$AJ$596,6,)/VLOOKUP($D374,$C$5:$AJ$596,4,))*$F374))</f>
        <v>0</v>
      </c>
      <c r="I374" s="90">
        <f>IF(VLOOKUP($D374,$C$5:$AJ$596,7,)=0,0,((VLOOKUP($D374,$C$5:$AJ$596,7,)/VLOOKUP($D374,$C$5:$AJ$596,4,))*$F374))</f>
        <v>0</v>
      </c>
      <c r="J374" s="90">
        <f>IF(VLOOKUP($D374,$C$5:$AJ$596,8,)=0,0,((VLOOKUP($D374,$C$5:$AJ$596,8,)/VLOOKUP($D374,$C$5:$AJ$596,4,))*$F374))</f>
        <v>0</v>
      </c>
      <c r="K374" s="90">
        <f>IF(VLOOKUP($D374,$C$5:$AJ$596,9,)=0,0,((VLOOKUP($D374,$C$5:$AJ$596,9,)/VLOOKUP($D374,$C$5:$AJ$596,4,))*$F374))</f>
        <v>22712</v>
      </c>
      <c r="L374" s="90">
        <f>IF(VLOOKUP($D374,$C$5:$AJ$596,10,)=0,0,((VLOOKUP($D374,$C$5:$AJ$596,10,)/VLOOKUP($D374,$C$5:$AJ$596,4,))*$F374))</f>
        <v>0</v>
      </c>
      <c r="M374" s="90">
        <f>IF(VLOOKUP($D374,$C$5:$AJ$596,11,)=0,0,((VLOOKUP($D374,$C$5:$AJ$596,11,)/VLOOKUP($D374,$C$5:$AJ$596,4,))*$F374))</f>
        <v>0</v>
      </c>
      <c r="N374" s="90"/>
      <c r="O374" s="90">
        <f>IF(VLOOKUP($D374,$C$5:$AJ$596,13,)=0,0,((VLOOKUP($D374,$C$5:$AJ$596,13,)/VLOOKUP($D374,$C$5:$AJ$596,4,))*$F374))</f>
        <v>0</v>
      </c>
      <c r="P374" s="90">
        <f>IF(VLOOKUP($D374,$C$5:$AJ$596,14,)=0,0,((VLOOKUP($D374,$C$5:$AJ$596,14,)/VLOOKUP($D374,$C$5:$AJ$596,4,))*$F374))</f>
        <v>0</v>
      </c>
      <c r="Q374" s="90">
        <f>IF(VLOOKUP($D374,$C$5:$AJ$596,15,)=0,0,((VLOOKUP($D374,$C$5:$AJ$596,15,)/VLOOKUP($D374,$C$5:$AJ$596,4,))*$F374))</f>
        <v>0</v>
      </c>
      <c r="R374" s="90"/>
      <c r="S374" s="90">
        <f>IF(VLOOKUP($D374,$C$5:$AJ$596,17,)=0,0,((VLOOKUP($D374,$C$5:$AJ$596,17,)/VLOOKUP($D374,$C$5:$AJ$596,4,))*$F374))</f>
        <v>0</v>
      </c>
      <c r="T374" s="90">
        <f>IF(VLOOKUP($D374,$C$5:$AJ$596,18,)=0,0,((VLOOKUP($D374,$C$5:$AJ$596,18,)/VLOOKUP($D374,$C$5:$AJ$596,4,))*$F374))</f>
        <v>0</v>
      </c>
      <c r="U374" s="90">
        <f>IF(VLOOKUP($D374,$C$5:$AJ$596,19,)=0,0,((VLOOKUP($D374,$C$5:$AJ$596,19,)/VLOOKUP($D374,$C$5:$AJ$596,4,))*$F374))</f>
        <v>0</v>
      </c>
      <c r="V374" s="90">
        <f>IF(VLOOKUP($D374,$C$5:$AJ$596,20,)=0,0,((VLOOKUP($D374,$C$5:$AJ$596,20,)/VLOOKUP($D374,$C$5:$AJ$596,4,))*$F374))</f>
        <v>0</v>
      </c>
      <c r="W374" s="90">
        <f>IF(VLOOKUP($D374,$C$5:$AJ$596,21,)=0,0,((VLOOKUP($D374,$C$5:$AJ$596,21,)/VLOOKUP($D374,$C$5:$AJ$596,4,))*$F374))</f>
        <v>0</v>
      </c>
      <c r="X374" s="90">
        <f>IF(VLOOKUP($D374,$C$5:$AJ$596,22,)=0,0,((VLOOKUP($D374,$C$5:$AJ$596,22,)/VLOOKUP($D374,$C$5:$AJ$596,4,))*$F374))</f>
        <v>0</v>
      </c>
      <c r="Y374" s="90">
        <f>IF(VLOOKUP($D374,$C$5:$AJ$596,23,)=0,0,((VLOOKUP($D374,$C$5:$AJ$596,23,)/VLOOKUP($D374,$C$5:$AJ$596,4,))*$F374))</f>
        <v>0</v>
      </c>
      <c r="Z374" s="90">
        <f>IF(VLOOKUP($D374,$C$5:$AJ$596,24,)=0,0,((VLOOKUP($D374,$C$5:$AJ$596,24,)/VLOOKUP($D374,$C$5:$AJ$596,4,))*$F374))</f>
        <v>0</v>
      </c>
      <c r="AA374" s="90">
        <f>IF(VLOOKUP($D374,$C$5:$AJ$596,25,)=0,0,((VLOOKUP($D374,$C$5:$AJ$596,25,)/VLOOKUP($D374,$C$5:$AJ$596,4,))*$F374))</f>
        <v>0</v>
      </c>
      <c r="AB374" s="90">
        <f>IF(VLOOKUP($D374,$C$5:$AJ$596,26,)=0,0,((VLOOKUP($D374,$C$5:$AJ$596,26,)/VLOOKUP($D374,$C$5:$AJ$596,4,))*$F374))</f>
        <v>0</v>
      </c>
      <c r="AC374" s="90">
        <f>IF(VLOOKUP($D374,$C$5:$AJ$596,27,)=0,0,((VLOOKUP($D374,$C$5:$AJ$596,27,)/VLOOKUP($D374,$C$5:$AJ$596,4,))*$F374))</f>
        <v>0</v>
      </c>
      <c r="AD374" s="90">
        <f>IF(VLOOKUP($D374,$C$5:$AJ$596,28,)=0,0,((VLOOKUP($D374,$C$5:$AJ$596,28,)/VLOOKUP($D374,$C$5:$AJ$596,4,))*$F374))</f>
        <v>0</v>
      </c>
      <c r="AE374" s="90"/>
      <c r="AF374" s="90">
        <f>IF(VLOOKUP($D374,$C$5:$AJ$596,30,)=0,0,((VLOOKUP($D374,$C$5:$AJ$596,30,)/VLOOKUP($D374,$C$5:$AJ$596,4,))*$F374))</f>
        <v>0</v>
      </c>
      <c r="AG374" s="90"/>
      <c r="AH374" s="90">
        <f>IF(VLOOKUP($D374,$C$5:$AJ$596,32,)=0,0,((VLOOKUP($D374,$C$5:$AJ$596,32,)/VLOOKUP($D374,$C$5:$AJ$596,4,))*$F374))</f>
        <v>0</v>
      </c>
      <c r="AI374" s="90"/>
      <c r="AJ374" s="90">
        <f>IF(VLOOKUP($D374,$C$5:$AJ$596,34,)=0,0,((VLOOKUP($D374,$C$5:$AJ$596,34,)/VLOOKUP($D374,$C$5:$AJ$596,4,))*$F374))</f>
        <v>0</v>
      </c>
      <c r="AK374" s="90">
        <f>SUM(H374:AJ374)</f>
        <v>22712</v>
      </c>
      <c r="AL374" s="87" t="str">
        <f>IF(ABS(AK374-F374)&lt;1,"ok","err")</f>
        <v>ok</v>
      </c>
    </row>
    <row r="375" spans="1:38" x14ac:dyDescent="0.5">
      <c r="A375" s="86">
        <v>545</v>
      </c>
      <c r="B375" s="86" t="s">
        <v>1607</v>
      </c>
      <c r="C375" s="86" t="s">
        <v>1756</v>
      </c>
      <c r="D375" s="322" t="s">
        <v>104</v>
      </c>
      <c r="E375" s="45"/>
      <c r="F375" s="90">
        <f>'Jurisdictional Study'!F1364</f>
        <v>669</v>
      </c>
      <c r="H375" s="90">
        <f>IF(VLOOKUP($D375,$C$5:$AJ$596,6,)=0,0,((VLOOKUP($D375,$C$5:$AJ$596,6,)/VLOOKUP($D375,$C$5:$AJ$596,4,))*$F375))</f>
        <v>0</v>
      </c>
      <c r="I375" s="90">
        <f>IF(VLOOKUP($D375,$C$5:$AJ$596,7,)=0,0,((VLOOKUP($D375,$C$5:$AJ$596,7,)/VLOOKUP($D375,$C$5:$AJ$596,4,))*$F375))</f>
        <v>0</v>
      </c>
      <c r="J375" s="90">
        <f>IF(VLOOKUP($D375,$C$5:$AJ$596,8,)=0,0,((VLOOKUP($D375,$C$5:$AJ$596,8,)/VLOOKUP($D375,$C$5:$AJ$596,4,))*$F375))</f>
        <v>0</v>
      </c>
      <c r="K375" s="90">
        <f>IF(VLOOKUP($D375,$C$5:$AJ$596,9,)=0,0,((VLOOKUP($D375,$C$5:$AJ$596,9,)/VLOOKUP($D375,$C$5:$AJ$596,4,))*$F375))</f>
        <v>669</v>
      </c>
      <c r="L375" s="90">
        <f>IF(VLOOKUP($D375,$C$5:$AJ$596,10,)=0,0,((VLOOKUP($D375,$C$5:$AJ$596,10,)/VLOOKUP($D375,$C$5:$AJ$596,4,))*$F375))</f>
        <v>0</v>
      </c>
      <c r="M375" s="90">
        <f>IF(VLOOKUP($D375,$C$5:$AJ$596,11,)=0,0,((VLOOKUP($D375,$C$5:$AJ$596,11,)/VLOOKUP($D375,$C$5:$AJ$596,4,))*$F375))</f>
        <v>0</v>
      </c>
      <c r="N375" s="90"/>
      <c r="O375" s="90">
        <f>IF(VLOOKUP($D375,$C$5:$AJ$596,13,)=0,0,((VLOOKUP($D375,$C$5:$AJ$596,13,)/VLOOKUP($D375,$C$5:$AJ$596,4,))*$F375))</f>
        <v>0</v>
      </c>
      <c r="P375" s="90">
        <f>IF(VLOOKUP($D375,$C$5:$AJ$596,14,)=0,0,((VLOOKUP($D375,$C$5:$AJ$596,14,)/VLOOKUP($D375,$C$5:$AJ$596,4,))*$F375))</f>
        <v>0</v>
      </c>
      <c r="Q375" s="90">
        <f>IF(VLOOKUP($D375,$C$5:$AJ$596,15,)=0,0,((VLOOKUP($D375,$C$5:$AJ$596,15,)/VLOOKUP($D375,$C$5:$AJ$596,4,))*$F375))</f>
        <v>0</v>
      </c>
      <c r="R375" s="90"/>
      <c r="S375" s="90">
        <f>IF(VLOOKUP($D375,$C$5:$AJ$596,17,)=0,0,((VLOOKUP($D375,$C$5:$AJ$596,17,)/VLOOKUP($D375,$C$5:$AJ$596,4,))*$F375))</f>
        <v>0</v>
      </c>
      <c r="T375" s="90">
        <f>IF(VLOOKUP($D375,$C$5:$AJ$596,18,)=0,0,((VLOOKUP($D375,$C$5:$AJ$596,18,)/VLOOKUP($D375,$C$5:$AJ$596,4,))*$F375))</f>
        <v>0</v>
      </c>
      <c r="U375" s="90">
        <f>IF(VLOOKUP($D375,$C$5:$AJ$596,19,)=0,0,((VLOOKUP($D375,$C$5:$AJ$596,19,)/VLOOKUP($D375,$C$5:$AJ$596,4,))*$F375))</f>
        <v>0</v>
      </c>
      <c r="V375" s="90">
        <f>IF(VLOOKUP($D375,$C$5:$AJ$596,20,)=0,0,((VLOOKUP($D375,$C$5:$AJ$596,20,)/VLOOKUP($D375,$C$5:$AJ$596,4,))*$F375))</f>
        <v>0</v>
      </c>
      <c r="W375" s="90">
        <f>IF(VLOOKUP($D375,$C$5:$AJ$596,21,)=0,0,((VLOOKUP($D375,$C$5:$AJ$596,21,)/VLOOKUP($D375,$C$5:$AJ$596,4,))*$F375))</f>
        <v>0</v>
      </c>
      <c r="X375" s="90">
        <f>IF(VLOOKUP($D375,$C$5:$AJ$596,22,)=0,0,((VLOOKUP($D375,$C$5:$AJ$596,22,)/VLOOKUP($D375,$C$5:$AJ$596,4,))*$F375))</f>
        <v>0</v>
      </c>
      <c r="Y375" s="90">
        <f>IF(VLOOKUP($D375,$C$5:$AJ$596,23,)=0,0,((VLOOKUP($D375,$C$5:$AJ$596,23,)/VLOOKUP($D375,$C$5:$AJ$596,4,))*$F375))</f>
        <v>0</v>
      </c>
      <c r="Z375" s="90">
        <f>IF(VLOOKUP($D375,$C$5:$AJ$596,24,)=0,0,((VLOOKUP($D375,$C$5:$AJ$596,24,)/VLOOKUP($D375,$C$5:$AJ$596,4,))*$F375))</f>
        <v>0</v>
      </c>
      <c r="AA375" s="90">
        <f>IF(VLOOKUP($D375,$C$5:$AJ$596,25,)=0,0,((VLOOKUP($D375,$C$5:$AJ$596,25,)/VLOOKUP($D375,$C$5:$AJ$596,4,))*$F375))</f>
        <v>0</v>
      </c>
      <c r="AB375" s="90">
        <f>IF(VLOOKUP($D375,$C$5:$AJ$596,26,)=0,0,((VLOOKUP($D375,$C$5:$AJ$596,26,)/VLOOKUP($D375,$C$5:$AJ$596,4,))*$F375))</f>
        <v>0</v>
      </c>
      <c r="AC375" s="90">
        <f>IF(VLOOKUP($D375,$C$5:$AJ$596,27,)=0,0,((VLOOKUP($D375,$C$5:$AJ$596,27,)/VLOOKUP($D375,$C$5:$AJ$596,4,))*$F375))</f>
        <v>0</v>
      </c>
      <c r="AD375" s="90">
        <f>IF(VLOOKUP($D375,$C$5:$AJ$596,28,)=0,0,((VLOOKUP($D375,$C$5:$AJ$596,28,)/VLOOKUP($D375,$C$5:$AJ$596,4,))*$F375))</f>
        <v>0</v>
      </c>
      <c r="AE375" s="90"/>
      <c r="AF375" s="90">
        <f>IF(VLOOKUP($D375,$C$5:$AJ$596,30,)=0,0,((VLOOKUP($D375,$C$5:$AJ$596,30,)/VLOOKUP($D375,$C$5:$AJ$596,4,))*$F375))</f>
        <v>0</v>
      </c>
      <c r="AG375" s="90"/>
      <c r="AH375" s="90">
        <f>IF(VLOOKUP($D375,$C$5:$AJ$596,32,)=0,0,((VLOOKUP($D375,$C$5:$AJ$596,32,)/VLOOKUP($D375,$C$5:$AJ$596,4,))*$F375))</f>
        <v>0</v>
      </c>
      <c r="AI375" s="90"/>
      <c r="AJ375" s="90">
        <f>IF(VLOOKUP($D375,$C$5:$AJ$596,34,)=0,0,((VLOOKUP($D375,$C$5:$AJ$596,34,)/VLOOKUP($D375,$C$5:$AJ$596,4,))*$F375))</f>
        <v>0</v>
      </c>
      <c r="AK375" s="90">
        <f>SUM(H375:AJ375)</f>
        <v>669</v>
      </c>
      <c r="AL375" s="87" t="str">
        <f>IF(ABS(AK375-F375)&lt;1,"ok","err")</f>
        <v>ok</v>
      </c>
    </row>
    <row r="376" spans="1:38" x14ac:dyDescent="0.5">
      <c r="D376" s="322"/>
      <c r="E376" s="45"/>
      <c r="F376" s="89"/>
      <c r="Y376" s="86"/>
      <c r="AL376" s="87"/>
    </row>
    <row r="377" spans="1:38" x14ac:dyDescent="0.5">
      <c r="B377" s="86" t="s">
        <v>1604</v>
      </c>
      <c r="C377" s="86" t="s">
        <v>711</v>
      </c>
      <c r="D377" s="322"/>
      <c r="E377" s="45"/>
      <c r="F377" s="89">
        <f>SUM(F371:F376)</f>
        <v>228038</v>
      </c>
      <c r="H377" s="89">
        <f t="shared" ref="H377:M377" si="404">SUM(H371:H376)</f>
        <v>149256.76417742841</v>
      </c>
      <c r="I377" s="89">
        <f t="shared" si="404"/>
        <v>0</v>
      </c>
      <c r="J377" s="89">
        <f t="shared" si="404"/>
        <v>0</v>
      </c>
      <c r="K377" s="89">
        <f t="shared" si="404"/>
        <v>78781.235822571587</v>
      </c>
      <c r="L377" s="89">
        <f t="shared" si="404"/>
        <v>0</v>
      </c>
      <c r="M377" s="89">
        <f t="shared" si="404"/>
        <v>0</v>
      </c>
      <c r="O377" s="89">
        <f>SUM(O371:O376)</f>
        <v>0</v>
      </c>
      <c r="P377" s="89">
        <f>SUM(P371:P376)</f>
        <v>0</v>
      </c>
      <c r="Q377" s="89">
        <f>SUM(Q371:Q376)</f>
        <v>0</v>
      </c>
      <c r="S377" s="89">
        <f t="shared" ref="S377:AD377" si="405">SUM(S371:S376)</f>
        <v>0</v>
      </c>
      <c r="T377" s="89">
        <f t="shared" si="405"/>
        <v>0</v>
      </c>
      <c r="U377" s="89">
        <f t="shared" si="405"/>
        <v>0</v>
      </c>
      <c r="V377" s="89">
        <f t="shared" si="405"/>
        <v>0</v>
      </c>
      <c r="W377" s="89">
        <f t="shared" si="405"/>
        <v>0</v>
      </c>
      <c r="X377" s="89">
        <f t="shared" si="405"/>
        <v>0</v>
      </c>
      <c r="Y377" s="89">
        <f t="shared" si="405"/>
        <v>0</v>
      </c>
      <c r="Z377" s="89">
        <f t="shared" si="405"/>
        <v>0</v>
      </c>
      <c r="AA377" s="89">
        <f t="shared" si="405"/>
        <v>0</v>
      </c>
      <c r="AB377" s="89">
        <f t="shared" si="405"/>
        <v>0</v>
      </c>
      <c r="AC377" s="89">
        <f t="shared" si="405"/>
        <v>0</v>
      </c>
      <c r="AD377" s="89">
        <f t="shared" si="405"/>
        <v>0</v>
      </c>
      <c r="AF377" s="89">
        <f>SUM(AF371:AF376)</f>
        <v>0</v>
      </c>
      <c r="AH377" s="89">
        <f>SUM(AH371:AH376)</f>
        <v>0</v>
      </c>
      <c r="AJ377" s="89">
        <f>SUM(AJ371:AJ376)</f>
        <v>0</v>
      </c>
      <c r="AK377" s="90">
        <f>SUM(H377:AJ377)</f>
        <v>228038</v>
      </c>
      <c r="AL377" s="87" t="str">
        <f>IF(ABS(AK377-F377)&lt;1,"ok","err")</f>
        <v>ok</v>
      </c>
    </row>
    <row r="378" spans="1:38" x14ac:dyDescent="0.5">
      <c r="D378" s="322"/>
      <c r="E378" s="45"/>
      <c r="F378" s="89"/>
      <c r="H378" s="89"/>
      <c r="I378" s="89"/>
      <c r="J378" s="89"/>
      <c r="K378" s="89"/>
      <c r="L378" s="89"/>
      <c r="M378" s="89"/>
      <c r="O378" s="89"/>
      <c r="P378" s="89"/>
      <c r="Q378" s="89"/>
      <c r="S378" s="89"/>
      <c r="T378" s="89"/>
      <c r="U378" s="89"/>
      <c r="V378" s="89"/>
      <c r="W378" s="89"/>
      <c r="X378" s="89"/>
      <c r="Y378" s="89"/>
      <c r="Z378" s="89"/>
      <c r="AA378" s="89"/>
      <c r="AB378" s="89"/>
      <c r="AC378" s="89"/>
      <c r="AD378" s="89"/>
      <c r="AF378" s="89"/>
      <c r="AH378" s="89"/>
      <c r="AJ378" s="89"/>
      <c r="AK378" s="90"/>
      <c r="AL378" s="87"/>
    </row>
    <row r="379" spans="1:38" x14ac:dyDescent="0.5">
      <c r="B379" s="86" t="s">
        <v>1603</v>
      </c>
      <c r="D379" s="322"/>
      <c r="E379" s="45"/>
      <c r="F379" s="89">
        <f>F368+F377</f>
        <v>228038</v>
      </c>
      <c r="H379" s="89">
        <f t="shared" ref="H379:M379" si="406">H368+H377</f>
        <v>149256.76417742841</v>
      </c>
      <c r="I379" s="89">
        <f t="shared" si="406"/>
        <v>0</v>
      </c>
      <c r="J379" s="89">
        <f t="shared" si="406"/>
        <v>0</v>
      </c>
      <c r="K379" s="89">
        <f t="shared" si="406"/>
        <v>78781.235822571587</v>
      </c>
      <c r="L379" s="89">
        <f t="shared" si="406"/>
        <v>0</v>
      </c>
      <c r="M379" s="89">
        <f t="shared" si="406"/>
        <v>0</v>
      </c>
      <c r="O379" s="89">
        <f>O368+O377</f>
        <v>0</v>
      </c>
      <c r="P379" s="89">
        <f>P368+P377</f>
        <v>0</v>
      </c>
      <c r="Q379" s="89">
        <f>Q368+Q377</f>
        <v>0</v>
      </c>
      <c r="S379" s="89">
        <f t="shared" ref="S379:AD379" si="407">S368+S377</f>
        <v>0</v>
      </c>
      <c r="T379" s="89">
        <f t="shared" si="407"/>
        <v>0</v>
      </c>
      <c r="U379" s="89">
        <f t="shared" si="407"/>
        <v>0</v>
      </c>
      <c r="V379" s="89">
        <f t="shared" si="407"/>
        <v>0</v>
      </c>
      <c r="W379" s="89">
        <f t="shared" si="407"/>
        <v>0</v>
      </c>
      <c r="X379" s="89">
        <f t="shared" si="407"/>
        <v>0</v>
      </c>
      <c r="Y379" s="89">
        <f t="shared" si="407"/>
        <v>0</v>
      </c>
      <c r="Z379" s="89">
        <f t="shared" si="407"/>
        <v>0</v>
      </c>
      <c r="AA379" s="89">
        <f t="shared" si="407"/>
        <v>0</v>
      </c>
      <c r="AB379" s="89">
        <f t="shared" si="407"/>
        <v>0</v>
      </c>
      <c r="AC379" s="89">
        <f t="shared" si="407"/>
        <v>0</v>
      </c>
      <c r="AD379" s="89">
        <f t="shared" si="407"/>
        <v>0</v>
      </c>
      <c r="AF379" s="89">
        <f>AF368+AF377</f>
        <v>0</v>
      </c>
      <c r="AH379" s="89">
        <f>AH368+AH377</f>
        <v>0</v>
      </c>
      <c r="AJ379" s="89">
        <f>AJ368+AJ377</f>
        <v>0</v>
      </c>
      <c r="AK379" s="90">
        <f>SUM(H379:AJ379)</f>
        <v>228038</v>
      </c>
      <c r="AL379" s="87" t="str">
        <f>IF(ABS(AK379-F379)&lt;1,"ok","err")</f>
        <v>ok</v>
      </c>
    </row>
    <row r="380" spans="1:38" x14ac:dyDescent="0.5">
      <c r="D380" s="322"/>
      <c r="E380" s="45"/>
      <c r="F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L380" s="87"/>
    </row>
    <row r="381" spans="1:38" x14ac:dyDescent="0.5">
      <c r="A381" s="22" t="s">
        <v>960</v>
      </c>
      <c r="D381" s="322"/>
      <c r="E381" s="45"/>
      <c r="F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L381" s="87"/>
    </row>
    <row r="382" spans="1:38" x14ac:dyDescent="0.5">
      <c r="D382" s="322"/>
      <c r="E382" s="45"/>
      <c r="F382" s="89"/>
      <c r="Y382" s="86"/>
      <c r="AK382" s="90"/>
      <c r="AL382" s="87"/>
    </row>
    <row r="383" spans="1:38" x14ac:dyDescent="0.5">
      <c r="A383" s="23" t="s">
        <v>1510</v>
      </c>
      <c r="D383" s="322"/>
      <c r="E383" s="45"/>
      <c r="F383" s="89"/>
      <c r="Y383" s="86"/>
      <c r="AK383" s="90"/>
      <c r="AL383" s="87"/>
    </row>
    <row r="384" spans="1:38" x14ac:dyDescent="0.5">
      <c r="A384" s="86">
        <v>546</v>
      </c>
      <c r="B384" s="86" t="s">
        <v>1487</v>
      </c>
      <c r="C384" s="86" t="s">
        <v>1567</v>
      </c>
      <c r="D384" s="322" t="s">
        <v>709</v>
      </c>
      <c r="E384" s="45"/>
      <c r="F384" s="89">
        <f>'Jurisdictional Study'!F1365</f>
        <v>527544</v>
      </c>
      <c r="H384" s="90">
        <f>IF(VLOOKUP($D384,$C$5:$AJ$596,6,)=0,0,((VLOOKUP($D384,$C$5:$AJ$596,6,)/VLOOKUP($D384,$C$5:$AJ$596,4,))*$F384))</f>
        <v>527544</v>
      </c>
      <c r="I384" s="90">
        <f>IF(VLOOKUP($D384,$C$5:$AJ$596,7,)=0,0,((VLOOKUP($D384,$C$5:$AJ$596,7,)/VLOOKUP($D384,$C$5:$AJ$596,4,))*$F384))</f>
        <v>0</v>
      </c>
      <c r="J384" s="90">
        <f>IF(VLOOKUP($D384,$C$5:$AJ$596,8,)=0,0,((VLOOKUP($D384,$C$5:$AJ$596,8,)/VLOOKUP($D384,$C$5:$AJ$596,4,))*$F384))</f>
        <v>0</v>
      </c>
      <c r="K384" s="90">
        <f>IF(VLOOKUP($D384,$C$5:$AJ$596,9,)=0,0,((VLOOKUP($D384,$C$5:$AJ$596,9,)/VLOOKUP($D384,$C$5:$AJ$596,4,))*$F384))</f>
        <v>0</v>
      </c>
      <c r="L384" s="90">
        <f>IF(VLOOKUP($D384,$C$5:$AJ$596,10,)=0,0,((VLOOKUP($D384,$C$5:$AJ$596,10,)/VLOOKUP($D384,$C$5:$AJ$596,4,))*$F384))</f>
        <v>0</v>
      </c>
      <c r="M384" s="90">
        <f>IF(VLOOKUP($D384,$C$5:$AJ$596,11,)=0,0,((VLOOKUP($D384,$C$5:$AJ$596,11,)/VLOOKUP($D384,$C$5:$AJ$596,4,))*$F384))</f>
        <v>0</v>
      </c>
      <c r="N384" s="90"/>
      <c r="O384" s="90">
        <f>IF(VLOOKUP($D384,$C$5:$AJ$596,13,)=0,0,((VLOOKUP($D384,$C$5:$AJ$596,13,)/VLOOKUP($D384,$C$5:$AJ$596,4,))*$F384))</f>
        <v>0</v>
      </c>
      <c r="P384" s="90">
        <f>IF(VLOOKUP($D384,$C$5:$AJ$596,14,)=0,0,((VLOOKUP($D384,$C$5:$AJ$596,14,)/VLOOKUP($D384,$C$5:$AJ$596,4,))*$F384))</f>
        <v>0</v>
      </c>
      <c r="Q384" s="90">
        <f>IF(VLOOKUP($D384,$C$5:$AJ$596,15,)=0,0,((VLOOKUP($D384,$C$5:$AJ$596,15,)/VLOOKUP($D384,$C$5:$AJ$596,4,))*$F384))</f>
        <v>0</v>
      </c>
      <c r="R384" s="90"/>
      <c r="S384" s="90">
        <f>IF(VLOOKUP($D384,$C$5:$AJ$596,17,)=0,0,((VLOOKUP($D384,$C$5:$AJ$596,17,)/VLOOKUP($D384,$C$5:$AJ$596,4,))*$F384))</f>
        <v>0</v>
      </c>
      <c r="T384" s="90">
        <f>IF(VLOOKUP($D384,$C$5:$AJ$596,18,)=0,0,((VLOOKUP($D384,$C$5:$AJ$596,18,)/VLOOKUP($D384,$C$5:$AJ$596,4,))*$F384))</f>
        <v>0</v>
      </c>
      <c r="U384" s="90">
        <f>IF(VLOOKUP($D384,$C$5:$AJ$596,19,)=0,0,((VLOOKUP($D384,$C$5:$AJ$596,19,)/VLOOKUP($D384,$C$5:$AJ$596,4,))*$F384))</f>
        <v>0</v>
      </c>
      <c r="V384" s="90">
        <f>IF(VLOOKUP($D384,$C$5:$AJ$596,20,)=0,0,((VLOOKUP($D384,$C$5:$AJ$596,20,)/VLOOKUP($D384,$C$5:$AJ$596,4,))*$F384))</f>
        <v>0</v>
      </c>
      <c r="W384" s="90">
        <f>IF(VLOOKUP($D384,$C$5:$AJ$596,21,)=0,0,((VLOOKUP($D384,$C$5:$AJ$596,21,)/VLOOKUP($D384,$C$5:$AJ$596,4,))*$F384))</f>
        <v>0</v>
      </c>
      <c r="X384" s="90">
        <f>IF(VLOOKUP($D384,$C$5:$AJ$596,22,)=0,0,((VLOOKUP($D384,$C$5:$AJ$596,22,)/VLOOKUP($D384,$C$5:$AJ$596,4,))*$F384))</f>
        <v>0</v>
      </c>
      <c r="Y384" s="90">
        <f>IF(VLOOKUP($D384,$C$5:$AJ$596,23,)=0,0,((VLOOKUP($D384,$C$5:$AJ$596,23,)/VLOOKUP($D384,$C$5:$AJ$596,4,))*$F384))</f>
        <v>0</v>
      </c>
      <c r="Z384" s="90">
        <f>IF(VLOOKUP($D384,$C$5:$AJ$596,24,)=0,0,((VLOOKUP($D384,$C$5:$AJ$596,24,)/VLOOKUP($D384,$C$5:$AJ$596,4,))*$F384))</f>
        <v>0</v>
      </c>
      <c r="AA384" s="90">
        <f>IF(VLOOKUP($D384,$C$5:$AJ$596,25,)=0,0,((VLOOKUP($D384,$C$5:$AJ$596,25,)/VLOOKUP($D384,$C$5:$AJ$596,4,))*$F384))</f>
        <v>0</v>
      </c>
      <c r="AB384" s="90">
        <f>IF(VLOOKUP($D384,$C$5:$AJ$596,26,)=0,0,((VLOOKUP($D384,$C$5:$AJ$596,26,)/VLOOKUP($D384,$C$5:$AJ$596,4,))*$F384))</f>
        <v>0</v>
      </c>
      <c r="AC384" s="90">
        <f>IF(VLOOKUP($D384,$C$5:$AJ$596,27,)=0,0,((VLOOKUP($D384,$C$5:$AJ$596,27,)/VLOOKUP($D384,$C$5:$AJ$596,4,))*$F384))</f>
        <v>0</v>
      </c>
      <c r="AD384" s="90">
        <f>IF(VLOOKUP($D384,$C$5:$AJ$596,28,)=0,0,((VLOOKUP($D384,$C$5:$AJ$596,28,)/VLOOKUP($D384,$C$5:$AJ$596,4,))*$F384))</f>
        <v>0</v>
      </c>
      <c r="AE384" s="90"/>
      <c r="AF384" s="90">
        <f>IF(VLOOKUP($D384,$C$5:$AJ$596,30,)=0,0,((VLOOKUP($D384,$C$5:$AJ$596,30,)/VLOOKUP($D384,$C$5:$AJ$596,4,))*$F384))</f>
        <v>0</v>
      </c>
      <c r="AG384" s="90"/>
      <c r="AH384" s="90">
        <f>IF(VLOOKUP($D384,$C$5:$AJ$596,32,)=0,0,((VLOOKUP($D384,$C$5:$AJ$596,32,)/VLOOKUP($D384,$C$5:$AJ$596,4,))*$F384))</f>
        <v>0</v>
      </c>
      <c r="AI384" s="90"/>
      <c r="AJ384" s="90">
        <f>IF(VLOOKUP($D384,$C$5:$AJ$596,34,)=0,0,((VLOOKUP($D384,$C$5:$AJ$596,34,)/VLOOKUP($D384,$C$5:$AJ$596,4,))*$F384))</f>
        <v>0</v>
      </c>
      <c r="AK384" s="90">
        <f t="shared" ref="AK384:AK390" si="408">SUM(H384:AJ384)</f>
        <v>527544</v>
      </c>
      <c r="AL384" s="87" t="str">
        <f t="shared" ref="AL384:AL390" si="409">IF(ABS(AK384-F384)&lt;1,"ok","err")</f>
        <v>ok</v>
      </c>
    </row>
    <row r="385" spans="1:38" x14ac:dyDescent="0.5">
      <c r="A385" s="86">
        <v>547</v>
      </c>
      <c r="B385" s="86" t="s">
        <v>1489</v>
      </c>
      <c r="C385" s="86" t="s">
        <v>1568</v>
      </c>
      <c r="D385" s="322" t="s">
        <v>104</v>
      </c>
      <c r="E385" s="45"/>
      <c r="F385" s="90">
        <f>'Jurisdictional Study'!F1345</f>
        <v>0</v>
      </c>
      <c r="H385" s="90">
        <f>IF(VLOOKUP($D385,$C$5:$AJ$596,6,)=0,0,((VLOOKUP($D385,$C$5:$AJ$596,6,)/VLOOKUP($D385,$C$5:$AJ$596,4,))*$F385))</f>
        <v>0</v>
      </c>
      <c r="I385" s="90">
        <f>IF(VLOOKUP($D385,$C$5:$AJ$596,7,)=0,0,((VLOOKUP($D385,$C$5:$AJ$596,7,)/VLOOKUP($D385,$C$5:$AJ$596,4,))*$F385))</f>
        <v>0</v>
      </c>
      <c r="J385" s="90">
        <f>IF(VLOOKUP($D385,$C$5:$AJ$596,8,)=0,0,((VLOOKUP($D385,$C$5:$AJ$596,8,)/VLOOKUP($D385,$C$5:$AJ$596,4,))*$F385))</f>
        <v>0</v>
      </c>
      <c r="K385" s="90">
        <f>IF(VLOOKUP($D385,$C$5:$AJ$596,9,)=0,0,((VLOOKUP($D385,$C$5:$AJ$596,9,)/VLOOKUP($D385,$C$5:$AJ$596,4,))*$F385))</f>
        <v>0</v>
      </c>
      <c r="L385" s="90">
        <f>IF(VLOOKUP($D385,$C$5:$AJ$596,10,)=0,0,((VLOOKUP($D385,$C$5:$AJ$596,10,)/VLOOKUP($D385,$C$5:$AJ$596,4,))*$F385))</f>
        <v>0</v>
      </c>
      <c r="M385" s="90">
        <f>IF(VLOOKUP($D385,$C$5:$AJ$596,11,)=0,0,((VLOOKUP($D385,$C$5:$AJ$596,11,)/VLOOKUP($D385,$C$5:$AJ$596,4,))*$F385))</f>
        <v>0</v>
      </c>
      <c r="N385" s="90"/>
      <c r="O385" s="90">
        <f>IF(VLOOKUP($D385,$C$5:$AJ$596,13,)=0,0,((VLOOKUP($D385,$C$5:$AJ$596,13,)/VLOOKUP($D385,$C$5:$AJ$596,4,))*$F385))</f>
        <v>0</v>
      </c>
      <c r="P385" s="90">
        <f>IF(VLOOKUP($D385,$C$5:$AJ$596,14,)=0,0,((VLOOKUP($D385,$C$5:$AJ$596,14,)/VLOOKUP($D385,$C$5:$AJ$596,4,))*$F385))</f>
        <v>0</v>
      </c>
      <c r="Q385" s="90">
        <f>IF(VLOOKUP($D385,$C$5:$AJ$596,15,)=0,0,((VLOOKUP($D385,$C$5:$AJ$596,15,)/VLOOKUP($D385,$C$5:$AJ$596,4,))*$F385))</f>
        <v>0</v>
      </c>
      <c r="R385" s="90"/>
      <c r="S385" s="90">
        <f>IF(VLOOKUP($D385,$C$5:$AJ$596,17,)=0,0,((VLOOKUP($D385,$C$5:$AJ$596,17,)/VLOOKUP($D385,$C$5:$AJ$596,4,))*$F385))</f>
        <v>0</v>
      </c>
      <c r="T385" s="90">
        <f>IF(VLOOKUP($D385,$C$5:$AJ$596,18,)=0,0,((VLOOKUP($D385,$C$5:$AJ$596,18,)/VLOOKUP($D385,$C$5:$AJ$596,4,))*$F385))</f>
        <v>0</v>
      </c>
      <c r="U385" s="90">
        <f>IF(VLOOKUP($D385,$C$5:$AJ$596,19,)=0,0,((VLOOKUP($D385,$C$5:$AJ$596,19,)/VLOOKUP($D385,$C$5:$AJ$596,4,))*$F385))</f>
        <v>0</v>
      </c>
      <c r="V385" s="90">
        <f>IF(VLOOKUP($D385,$C$5:$AJ$596,20,)=0,0,((VLOOKUP($D385,$C$5:$AJ$596,20,)/VLOOKUP($D385,$C$5:$AJ$596,4,))*$F385))</f>
        <v>0</v>
      </c>
      <c r="W385" s="90">
        <f>IF(VLOOKUP($D385,$C$5:$AJ$596,21,)=0,0,((VLOOKUP($D385,$C$5:$AJ$596,21,)/VLOOKUP($D385,$C$5:$AJ$596,4,))*$F385))</f>
        <v>0</v>
      </c>
      <c r="X385" s="90">
        <f>IF(VLOOKUP($D385,$C$5:$AJ$596,22,)=0,0,((VLOOKUP($D385,$C$5:$AJ$596,22,)/VLOOKUP($D385,$C$5:$AJ$596,4,))*$F385))</f>
        <v>0</v>
      </c>
      <c r="Y385" s="90">
        <f>IF(VLOOKUP($D385,$C$5:$AJ$596,23,)=0,0,((VLOOKUP($D385,$C$5:$AJ$596,23,)/VLOOKUP($D385,$C$5:$AJ$596,4,))*$F385))</f>
        <v>0</v>
      </c>
      <c r="Z385" s="90">
        <f>IF(VLOOKUP($D385,$C$5:$AJ$596,24,)=0,0,((VLOOKUP($D385,$C$5:$AJ$596,24,)/VLOOKUP($D385,$C$5:$AJ$596,4,))*$F385))</f>
        <v>0</v>
      </c>
      <c r="AA385" s="90">
        <f>IF(VLOOKUP($D385,$C$5:$AJ$596,25,)=0,0,((VLOOKUP($D385,$C$5:$AJ$596,25,)/VLOOKUP($D385,$C$5:$AJ$596,4,))*$F385))</f>
        <v>0</v>
      </c>
      <c r="AB385" s="90">
        <f>IF(VLOOKUP($D385,$C$5:$AJ$596,26,)=0,0,((VLOOKUP($D385,$C$5:$AJ$596,26,)/VLOOKUP($D385,$C$5:$AJ$596,4,))*$F385))</f>
        <v>0</v>
      </c>
      <c r="AC385" s="90">
        <f>IF(VLOOKUP($D385,$C$5:$AJ$596,27,)=0,0,((VLOOKUP($D385,$C$5:$AJ$596,27,)/VLOOKUP($D385,$C$5:$AJ$596,4,))*$F385))</f>
        <v>0</v>
      </c>
      <c r="AD385" s="90">
        <f>IF(VLOOKUP($D385,$C$5:$AJ$596,28,)=0,0,((VLOOKUP($D385,$C$5:$AJ$596,28,)/VLOOKUP($D385,$C$5:$AJ$596,4,))*$F385))</f>
        <v>0</v>
      </c>
      <c r="AE385" s="90"/>
      <c r="AF385" s="90">
        <f>IF(VLOOKUP($D385,$C$5:$AJ$596,30,)=0,0,((VLOOKUP($D385,$C$5:$AJ$596,30,)/VLOOKUP($D385,$C$5:$AJ$596,4,))*$F385))</f>
        <v>0</v>
      </c>
      <c r="AG385" s="90"/>
      <c r="AH385" s="90">
        <f>IF(VLOOKUP($D385,$C$5:$AJ$596,32,)=0,0,((VLOOKUP($D385,$C$5:$AJ$596,32,)/VLOOKUP($D385,$C$5:$AJ$596,4,))*$F385))</f>
        <v>0</v>
      </c>
      <c r="AI385" s="90"/>
      <c r="AJ385" s="90">
        <f>IF(VLOOKUP($D385,$C$5:$AJ$596,34,)=0,0,((VLOOKUP($D385,$C$5:$AJ$596,34,)/VLOOKUP($D385,$C$5:$AJ$596,4,))*$F385))</f>
        <v>0</v>
      </c>
      <c r="AK385" s="90">
        <f t="shared" si="408"/>
        <v>0</v>
      </c>
      <c r="AL385" s="87" t="str">
        <f t="shared" si="409"/>
        <v>ok</v>
      </c>
    </row>
    <row r="386" spans="1:38" x14ac:dyDescent="0.5">
      <c r="A386" s="86">
        <v>548</v>
      </c>
      <c r="B386" s="86" t="s">
        <v>1513</v>
      </c>
      <c r="C386" s="86" t="s">
        <v>1569</v>
      </c>
      <c r="D386" s="322" t="s">
        <v>709</v>
      </c>
      <c r="E386" s="45"/>
      <c r="F386" s="90">
        <f>'Jurisdictional Study'!F1366</f>
        <v>383627</v>
      </c>
      <c r="H386" s="90">
        <f>IF(VLOOKUP($D386,$C$5:$AJ$596,6,)=0,0,((VLOOKUP($D386,$C$5:$AJ$596,6,)/VLOOKUP($D386,$C$5:$AJ$596,4,))*$F386))</f>
        <v>383627</v>
      </c>
      <c r="I386" s="90">
        <f>IF(VLOOKUP($D386,$C$5:$AJ$596,7,)=0,0,((VLOOKUP($D386,$C$5:$AJ$596,7,)/VLOOKUP($D386,$C$5:$AJ$596,4,))*$F386))</f>
        <v>0</v>
      </c>
      <c r="J386" s="90">
        <f>IF(VLOOKUP($D386,$C$5:$AJ$596,8,)=0,0,((VLOOKUP($D386,$C$5:$AJ$596,8,)/VLOOKUP($D386,$C$5:$AJ$596,4,))*$F386))</f>
        <v>0</v>
      </c>
      <c r="K386" s="90">
        <f>IF(VLOOKUP($D386,$C$5:$AJ$596,9,)=0,0,((VLOOKUP($D386,$C$5:$AJ$596,9,)/VLOOKUP($D386,$C$5:$AJ$596,4,))*$F386))</f>
        <v>0</v>
      </c>
      <c r="L386" s="90">
        <f>IF(VLOOKUP($D386,$C$5:$AJ$596,10,)=0,0,((VLOOKUP($D386,$C$5:$AJ$596,10,)/VLOOKUP($D386,$C$5:$AJ$596,4,))*$F386))</f>
        <v>0</v>
      </c>
      <c r="M386" s="90">
        <f>IF(VLOOKUP($D386,$C$5:$AJ$596,11,)=0,0,((VLOOKUP($D386,$C$5:$AJ$596,11,)/VLOOKUP($D386,$C$5:$AJ$596,4,))*$F386))</f>
        <v>0</v>
      </c>
      <c r="N386" s="90"/>
      <c r="O386" s="90">
        <f>IF(VLOOKUP($D386,$C$5:$AJ$596,13,)=0,0,((VLOOKUP($D386,$C$5:$AJ$596,13,)/VLOOKUP($D386,$C$5:$AJ$596,4,))*$F386))</f>
        <v>0</v>
      </c>
      <c r="P386" s="90">
        <f>IF(VLOOKUP($D386,$C$5:$AJ$596,14,)=0,0,((VLOOKUP($D386,$C$5:$AJ$596,14,)/VLOOKUP($D386,$C$5:$AJ$596,4,))*$F386))</f>
        <v>0</v>
      </c>
      <c r="Q386" s="90">
        <f>IF(VLOOKUP($D386,$C$5:$AJ$596,15,)=0,0,((VLOOKUP($D386,$C$5:$AJ$596,15,)/VLOOKUP($D386,$C$5:$AJ$596,4,))*$F386))</f>
        <v>0</v>
      </c>
      <c r="R386" s="90"/>
      <c r="S386" s="90">
        <f>IF(VLOOKUP($D386,$C$5:$AJ$596,17,)=0,0,((VLOOKUP($D386,$C$5:$AJ$596,17,)/VLOOKUP($D386,$C$5:$AJ$596,4,))*$F386))</f>
        <v>0</v>
      </c>
      <c r="T386" s="90">
        <f>IF(VLOOKUP($D386,$C$5:$AJ$596,18,)=0,0,((VLOOKUP($D386,$C$5:$AJ$596,18,)/VLOOKUP($D386,$C$5:$AJ$596,4,))*$F386))</f>
        <v>0</v>
      </c>
      <c r="U386" s="90">
        <f>IF(VLOOKUP($D386,$C$5:$AJ$596,19,)=0,0,((VLOOKUP($D386,$C$5:$AJ$596,19,)/VLOOKUP($D386,$C$5:$AJ$596,4,))*$F386))</f>
        <v>0</v>
      </c>
      <c r="V386" s="90">
        <f>IF(VLOOKUP($D386,$C$5:$AJ$596,20,)=0,0,((VLOOKUP($D386,$C$5:$AJ$596,20,)/VLOOKUP($D386,$C$5:$AJ$596,4,))*$F386))</f>
        <v>0</v>
      </c>
      <c r="W386" s="90">
        <f>IF(VLOOKUP($D386,$C$5:$AJ$596,21,)=0,0,((VLOOKUP($D386,$C$5:$AJ$596,21,)/VLOOKUP($D386,$C$5:$AJ$596,4,))*$F386))</f>
        <v>0</v>
      </c>
      <c r="X386" s="90">
        <f>IF(VLOOKUP($D386,$C$5:$AJ$596,22,)=0,0,((VLOOKUP($D386,$C$5:$AJ$596,22,)/VLOOKUP($D386,$C$5:$AJ$596,4,))*$F386))</f>
        <v>0</v>
      </c>
      <c r="Y386" s="90">
        <f>IF(VLOOKUP($D386,$C$5:$AJ$596,23,)=0,0,((VLOOKUP($D386,$C$5:$AJ$596,23,)/VLOOKUP($D386,$C$5:$AJ$596,4,))*$F386))</f>
        <v>0</v>
      </c>
      <c r="Z386" s="90">
        <f>IF(VLOOKUP($D386,$C$5:$AJ$596,24,)=0,0,((VLOOKUP($D386,$C$5:$AJ$596,24,)/VLOOKUP($D386,$C$5:$AJ$596,4,))*$F386))</f>
        <v>0</v>
      </c>
      <c r="AA386" s="90">
        <f>IF(VLOOKUP($D386,$C$5:$AJ$596,25,)=0,0,((VLOOKUP($D386,$C$5:$AJ$596,25,)/VLOOKUP($D386,$C$5:$AJ$596,4,))*$F386))</f>
        <v>0</v>
      </c>
      <c r="AB386" s="90">
        <f>IF(VLOOKUP($D386,$C$5:$AJ$596,26,)=0,0,((VLOOKUP($D386,$C$5:$AJ$596,26,)/VLOOKUP($D386,$C$5:$AJ$596,4,))*$F386))</f>
        <v>0</v>
      </c>
      <c r="AC386" s="90">
        <f>IF(VLOOKUP($D386,$C$5:$AJ$596,27,)=0,0,((VLOOKUP($D386,$C$5:$AJ$596,27,)/VLOOKUP($D386,$C$5:$AJ$596,4,))*$F386))</f>
        <v>0</v>
      </c>
      <c r="AD386" s="90">
        <f>IF(VLOOKUP($D386,$C$5:$AJ$596,28,)=0,0,((VLOOKUP($D386,$C$5:$AJ$596,28,)/VLOOKUP($D386,$C$5:$AJ$596,4,))*$F386))</f>
        <v>0</v>
      </c>
      <c r="AE386" s="90"/>
      <c r="AF386" s="90">
        <f>IF(VLOOKUP($D386,$C$5:$AJ$596,30,)=0,0,((VLOOKUP($D386,$C$5:$AJ$596,30,)/VLOOKUP($D386,$C$5:$AJ$596,4,))*$F386))</f>
        <v>0</v>
      </c>
      <c r="AG386" s="90"/>
      <c r="AH386" s="90">
        <f>IF(VLOOKUP($D386,$C$5:$AJ$596,32,)=0,0,((VLOOKUP($D386,$C$5:$AJ$596,32,)/VLOOKUP($D386,$C$5:$AJ$596,4,))*$F386))</f>
        <v>0</v>
      </c>
      <c r="AI386" s="90"/>
      <c r="AJ386" s="90">
        <f>IF(VLOOKUP($D386,$C$5:$AJ$596,34,)=0,0,((VLOOKUP($D386,$C$5:$AJ$596,34,)/VLOOKUP($D386,$C$5:$AJ$596,4,))*$F386))</f>
        <v>0</v>
      </c>
      <c r="AK386" s="90">
        <f t="shared" si="408"/>
        <v>383627</v>
      </c>
      <c r="AL386" s="87" t="str">
        <f t="shared" si="409"/>
        <v>ok</v>
      </c>
    </row>
    <row r="387" spans="1:38" x14ac:dyDescent="0.5">
      <c r="A387" s="86">
        <v>549</v>
      </c>
      <c r="B387" s="86" t="s">
        <v>1515</v>
      </c>
      <c r="C387" s="86" t="s">
        <v>1570</v>
      </c>
      <c r="D387" s="322" t="s">
        <v>709</v>
      </c>
      <c r="E387" s="45"/>
      <c r="F387" s="90">
        <f>'Jurisdictional Study'!F1367</f>
        <v>2757670</v>
      </c>
      <c r="H387" s="90">
        <f>IF(VLOOKUP($D387,$C$5:$AJ$596,6,)=0,0,((VLOOKUP($D387,$C$5:$AJ$596,6,)/VLOOKUP($D387,$C$5:$AJ$596,4,))*$F387))</f>
        <v>2757670</v>
      </c>
      <c r="I387" s="90">
        <f>IF(VLOOKUP($D387,$C$5:$AJ$596,7,)=0,0,((VLOOKUP($D387,$C$5:$AJ$596,7,)/VLOOKUP($D387,$C$5:$AJ$596,4,))*$F387))</f>
        <v>0</v>
      </c>
      <c r="J387" s="90">
        <f>IF(VLOOKUP($D387,$C$5:$AJ$596,8,)=0,0,((VLOOKUP($D387,$C$5:$AJ$596,8,)/VLOOKUP($D387,$C$5:$AJ$596,4,))*$F387))</f>
        <v>0</v>
      </c>
      <c r="K387" s="90">
        <f>IF(VLOOKUP($D387,$C$5:$AJ$596,9,)=0,0,((VLOOKUP($D387,$C$5:$AJ$596,9,)/VLOOKUP($D387,$C$5:$AJ$596,4,))*$F387))</f>
        <v>0</v>
      </c>
      <c r="L387" s="90">
        <f>IF(VLOOKUP($D387,$C$5:$AJ$596,10,)=0,0,((VLOOKUP($D387,$C$5:$AJ$596,10,)/VLOOKUP($D387,$C$5:$AJ$596,4,))*$F387))</f>
        <v>0</v>
      </c>
      <c r="M387" s="90">
        <f>IF(VLOOKUP($D387,$C$5:$AJ$596,11,)=0,0,((VLOOKUP($D387,$C$5:$AJ$596,11,)/VLOOKUP($D387,$C$5:$AJ$596,4,))*$F387))</f>
        <v>0</v>
      </c>
      <c r="N387" s="90"/>
      <c r="O387" s="90">
        <f>IF(VLOOKUP($D387,$C$5:$AJ$596,13,)=0,0,((VLOOKUP($D387,$C$5:$AJ$596,13,)/VLOOKUP($D387,$C$5:$AJ$596,4,))*$F387))</f>
        <v>0</v>
      </c>
      <c r="P387" s="90">
        <f>IF(VLOOKUP($D387,$C$5:$AJ$596,14,)=0,0,((VLOOKUP($D387,$C$5:$AJ$596,14,)/VLOOKUP($D387,$C$5:$AJ$596,4,))*$F387))</f>
        <v>0</v>
      </c>
      <c r="Q387" s="90">
        <f>IF(VLOOKUP($D387,$C$5:$AJ$596,15,)=0,0,((VLOOKUP($D387,$C$5:$AJ$596,15,)/VLOOKUP($D387,$C$5:$AJ$596,4,))*$F387))</f>
        <v>0</v>
      </c>
      <c r="R387" s="90"/>
      <c r="S387" s="90">
        <f>IF(VLOOKUP($D387,$C$5:$AJ$596,17,)=0,0,((VLOOKUP($D387,$C$5:$AJ$596,17,)/VLOOKUP($D387,$C$5:$AJ$596,4,))*$F387))</f>
        <v>0</v>
      </c>
      <c r="T387" s="90">
        <f>IF(VLOOKUP($D387,$C$5:$AJ$596,18,)=0,0,((VLOOKUP($D387,$C$5:$AJ$596,18,)/VLOOKUP($D387,$C$5:$AJ$596,4,))*$F387))</f>
        <v>0</v>
      </c>
      <c r="U387" s="90">
        <f>IF(VLOOKUP($D387,$C$5:$AJ$596,19,)=0,0,((VLOOKUP($D387,$C$5:$AJ$596,19,)/VLOOKUP($D387,$C$5:$AJ$596,4,))*$F387))</f>
        <v>0</v>
      </c>
      <c r="V387" s="90">
        <f>IF(VLOOKUP($D387,$C$5:$AJ$596,20,)=0,0,((VLOOKUP($D387,$C$5:$AJ$596,20,)/VLOOKUP($D387,$C$5:$AJ$596,4,))*$F387))</f>
        <v>0</v>
      </c>
      <c r="W387" s="90">
        <f>IF(VLOOKUP($D387,$C$5:$AJ$596,21,)=0,0,((VLOOKUP($D387,$C$5:$AJ$596,21,)/VLOOKUP($D387,$C$5:$AJ$596,4,))*$F387))</f>
        <v>0</v>
      </c>
      <c r="X387" s="90">
        <f>IF(VLOOKUP($D387,$C$5:$AJ$596,22,)=0,0,((VLOOKUP($D387,$C$5:$AJ$596,22,)/VLOOKUP($D387,$C$5:$AJ$596,4,))*$F387))</f>
        <v>0</v>
      </c>
      <c r="Y387" s="90">
        <f>IF(VLOOKUP($D387,$C$5:$AJ$596,23,)=0,0,((VLOOKUP($D387,$C$5:$AJ$596,23,)/VLOOKUP($D387,$C$5:$AJ$596,4,))*$F387))</f>
        <v>0</v>
      </c>
      <c r="Z387" s="90">
        <f>IF(VLOOKUP($D387,$C$5:$AJ$596,24,)=0,0,((VLOOKUP($D387,$C$5:$AJ$596,24,)/VLOOKUP($D387,$C$5:$AJ$596,4,))*$F387))</f>
        <v>0</v>
      </c>
      <c r="AA387" s="90">
        <f>IF(VLOOKUP($D387,$C$5:$AJ$596,25,)=0,0,((VLOOKUP($D387,$C$5:$AJ$596,25,)/VLOOKUP($D387,$C$5:$AJ$596,4,))*$F387))</f>
        <v>0</v>
      </c>
      <c r="AB387" s="90">
        <f>IF(VLOOKUP($D387,$C$5:$AJ$596,26,)=0,0,((VLOOKUP($D387,$C$5:$AJ$596,26,)/VLOOKUP($D387,$C$5:$AJ$596,4,))*$F387))</f>
        <v>0</v>
      </c>
      <c r="AC387" s="90">
        <f>IF(VLOOKUP($D387,$C$5:$AJ$596,27,)=0,0,((VLOOKUP($D387,$C$5:$AJ$596,27,)/VLOOKUP($D387,$C$5:$AJ$596,4,))*$F387))</f>
        <v>0</v>
      </c>
      <c r="AD387" s="90">
        <f>IF(VLOOKUP($D387,$C$5:$AJ$596,28,)=0,0,((VLOOKUP($D387,$C$5:$AJ$596,28,)/VLOOKUP($D387,$C$5:$AJ$596,4,))*$F387))</f>
        <v>0</v>
      </c>
      <c r="AE387" s="90"/>
      <c r="AF387" s="90">
        <f>IF(VLOOKUP($D387,$C$5:$AJ$596,30,)=0,0,((VLOOKUP($D387,$C$5:$AJ$596,30,)/VLOOKUP($D387,$C$5:$AJ$596,4,))*$F387))</f>
        <v>0</v>
      </c>
      <c r="AG387" s="90"/>
      <c r="AH387" s="90">
        <f>IF(VLOOKUP($D387,$C$5:$AJ$596,32,)=0,0,((VLOOKUP($D387,$C$5:$AJ$596,32,)/VLOOKUP($D387,$C$5:$AJ$596,4,))*$F387))</f>
        <v>0</v>
      </c>
      <c r="AI387" s="90"/>
      <c r="AJ387" s="90">
        <f>IF(VLOOKUP($D387,$C$5:$AJ$596,34,)=0,0,((VLOOKUP($D387,$C$5:$AJ$596,34,)/VLOOKUP($D387,$C$5:$AJ$596,4,))*$F387))</f>
        <v>0</v>
      </c>
      <c r="AK387" s="90">
        <f t="shared" si="408"/>
        <v>2757670</v>
      </c>
      <c r="AL387" s="87" t="str">
        <f t="shared" si="409"/>
        <v>ok</v>
      </c>
    </row>
    <row r="388" spans="1:38" x14ac:dyDescent="0.5">
      <c r="A388" s="86">
        <v>550</v>
      </c>
      <c r="B388" s="86" t="s">
        <v>353</v>
      </c>
      <c r="C388" s="86" t="s">
        <v>1571</v>
      </c>
      <c r="D388" s="322" t="s">
        <v>709</v>
      </c>
      <c r="E388" s="45"/>
      <c r="F388" s="90">
        <f>'Jurisdictional Study'!F1368</f>
        <v>0</v>
      </c>
      <c r="H388" s="90">
        <f>IF(VLOOKUP($D388,$C$5:$AJ$596,6,)=0,0,((VLOOKUP($D388,$C$5:$AJ$596,6,)/VLOOKUP($D388,$C$5:$AJ$596,4,))*$F388))</f>
        <v>0</v>
      </c>
      <c r="I388" s="90">
        <f>IF(VLOOKUP($D388,$C$5:$AJ$596,7,)=0,0,((VLOOKUP($D388,$C$5:$AJ$596,7,)/VLOOKUP($D388,$C$5:$AJ$596,4,))*$F388))</f>
        <v>0</v>
      </c>
      <c r="J388" s="90">
        <f>IF(VLOOKUP($D388,$C$5:$AJ$596,8,)=0,0,((VLOOKUP($D388,$C$5:$AJ$596,8,)/VLOOKUP($D388,$C$5:$AJ$596,4,))*$F388))</f>
        <v>0</v>
      </c>
      <c r="K388" s="90">
        <f>IF(VLOOKUP($D388,$C$5:$AJ$596,9,)=0,0,((VLOOKUP($D388,$C$5:$AJ$596,9,)/VLOOKUP($D388,$C$5:$AJ$596,4,))*$F388))</f>
        <v>0</v>
      </c>
      <c r="L388" s="90">
        <f>IF(VLOOKUP($D388,$C$5:$AJ$596,10,)=0,0,((VLOOKUP($D388,$C$5:$AJ$596,10,)/VLOOKUP($D388,$C$5:$AJ$596,4,))*$F388))</f>
        <v>0</v>
      </c>
      <c r="M388" s="90">
        <f>IF(VLOOKUP($D388,$C$5:$AJ$596,11,)=0,0,((VLOOKUP($D388,$C$5:$AJ$596,11,)/VLOOKUP($D388,$C$5:$AJ$596,4,))*$F388))</f>
        <v>0</v>
      </c>
      <c r="N388" s="90"/>
      <c r="O388" s="90">
        <f>IF(VLOOKUP($D388,$C$5:$AJ$596,13,)=0,0,((VLOOKUP($D388,$C$5:$AJ$596,13,)/VLOOKUP($D388,$C$5:$AJ$596,4,))*$F388))</f>
        <v>0</v>
      </c>
      <c r="P388" s="90">
        <f>IF(VLOOKUP($D388,$C$5:$AJ$596,14,)=0,0,((VLOOKUP($D388,$C$5:$AJ$596,14,)/VLOOKUP($D388,$C$5:$AJ$596,4,))*$F388))</f>
        <v>0</v>
      </c>
      <c r="Q388" s="90">
        <f>IF(VLOOKUP($D388,$C$5:$AJ$596,15,)=0,0,((VLOOKUP($D388,$C$5:$AJ$596,15,)/VLOOKUP($D388,$C$5:$AJ$596,4,))*$F388))</f>
        <v>0</v>
      </c>
      <c r="R388" s="90"/>
      <c r="S388" s="90">
        <f>IF(VLOOKUP($D388,$C$5:$AJ$596,17,)=0,0,((VLOOKUP($D388,$C$5:$AJ$596,17,)/VLOOKUP($D388,$C$5:$AJ$596,4,))*$F388))</f>
        <v>0</v>
      </c>
      <c r="T388" s="90">
        <f>IF(VLOOKUP($D388,$C$5:$AJ$596,18,)=0,0,((VLOOKUP($D388,$C$5:$AJ$596,18,)/VLOOKUP($D388,$C$5:$AJ$596,4,))*$F388))</f>
        <v>0</v>
      </c>
      <c r="U388" s="90">
        <f>IF(VLOOKUP($D388,$C$5:$AJ$596,19,)=0,0,((VLOOKUP($D388,$C$5:$AJ$596,19,)/VLOOKUP($D388,$C$5:$AJ$596,4,))*$F388))</f>
        <v>0</v>
      </c>
      <c r="V388" s="90">
        <f>IF(VLOOKUP($D388,$C$5:$AJ$596,20,)=0,0,((VLOOKUP($D388,$C$5:$AJ$596,20,)/VLOOKUP($D388,$C$5:$AJ$596,4,))*$F388))</f>
        <v>0</v>
      </c>
      <c r="W388" s="90">
        <f>IF(VLOOKUP($D388,$C$5:$AJ$596,21,)=0,0,((VLOOKUP($D388,$C$5:$AJ$596,21,)/VLOOKUP($D388,$C$5:$AJ$596,4,))*$F388))</f>
        <v>0</v>
      </c>
      <c r="X388" s="90">
        <f>IF(VLOOKUP($D388,$C$5:$AJ$596,22,)=0,0,((VLOOKUP($D388,$C$5:$AJ$596,22,)/VLOOKUP($D388,$C$5:$AJ$596,4,))*$F388))</f>
        <v>0</v>
      </c>
      <c r="Y388" s="90">
        <f>IF(VLOOKUP($D388,$C$5:$AJ$596,23,)=0,0,((VLOOKUP($D388,$C$5:$AJ$596,23,)/VLOOKUP($D388,$C$5:$AJ$596,4,))*$F388))</f>
        <v>0</v>
      </c>
      <c r="Z388" s="90">
        <f>IF(VLOOKUP($D388,$C$5:$AJ$596,24,)=0,0,((VLOOKUP($D388,$C$5:$AJ$596,24,)/VLOOKUP($D388,$C$5:$AJ$596,4,))*$F388))</f>
        <v>0</v>
      </c>
      <c r="AA388" s="90">
        <f>IF(VLOOKUP($D388,$C$5:$AJ$596,25,)=0,0,((VLOOKUP($D388,$C$5:$AJ$596,25,)/VLOOKUP($D388,$C$5:$AJ$596,4,))*$F388))</f>
        <v>0</v>
      </c>
      <c r="AB388" s="90">
        <f>IF(VLOOKUP($D388,$C$5:$AJ$596,26,)=0,0,((VLOOKUP($D388,$C$5:$AJ$596,26,)/VLOOKUP($D388,$C$5:$AJ$596,4,))*$F388))</f>
        <v>0</v>
      </c>
      <c r="AC388" s="90">
        <f>IF(VLOOKUP($D388,$C$5:$AJ$596,27,)=0,0,((VLOOKUP($D388,$C$5:$AJ$596,27,)/VLOOKUP($D388,$C$5:$AJ$596,4,))*$F388))</f>
        <v>0</v>
      </c>
      <c r="AD388" s="90">
        <f>IF(VLOOKUP($D388,$C$5:$AJ$596,28,)=0,0,((VLOOKUP($D388,$C$5:$AJ$596,28,)/VLOOKUP($D388,$C$5:$AJ$596,4,))*$F388))</f>
        <v>0</v>
      </c>
      <c r="AE388" s="90"/>
      <c r="AF388" s="90">
        <f>IF(VLOOKUP($D388,$C$5:$AJ$596,30,)=0,0,((VLOOKUP($D388,$C$5:$AJ$596,30,)/VLOOKUP($D388,$C$5:$AJ$596,4,))*$F388))</f>
        <v>0</v>
      </c>
      <c r="AG388" s="90"/>
      <c r="AH388" s="90">
        <f>IF(VLOOKUP($D388,$C$5:$AJ$596,32,)=0,0,((VLOOKUP($D388,$C$5:$AJ$596,32,)/VLOOKUP($D388,$C$5:$AJ$596,4,))*$F388))</f>
        <v>0</v>
      </c>
      <c r="AI388" s="90"/>
      <c r="AJ388" s="90">
        <f>IF(VLOOKUP($D388,$C$5:$AJ$596,34,)=0,0,((VLOOKUP($D388,$C$5:$AJ$596,34,)/VLOOKUP($D388,$C$5:$AJ$596,4,))*$F388))</f>
        <v>0</v>
      </c>
      <c r="AK388" s="90">
        <f t="shared" si="408"/>
        <v>0</v>
      </c>
      <c r="AL388" s="87" t="str">
        <f t="shared" si="409"/>
        <v>ok</v>
      </c>
    </row>
    <row r="389" spans="1:38" x14ac:dyDescent="0.5">
      <c r="D389" s="322"/>
      <c r="E389" s="45"/>
      <c r="F389" s="89"/>
      <c r="Y389" s="86"/>
      <c r="AK389" s="90"/>
      <c r="AL389" s="87"/>
    </row>
    <row r="390" spans="1:38" x14ac:dyDescent="0.5">
      <c r="B390" s="86" t="s">
        <v>1518</v>
      </c>
      <c r="C390" s="86" t="s">
        <v>712</v>
      </c>
      <c r="D390" s="322"/>
      <c r="E390" s="45"/>
      <c r="F390" s="89">
        <f>SUM(F384:F389)</f>
        <v>3668841</v>
      </c>
      <c r="H390" s="89">
        <f t="shared" ref="H390:M390" si="410">SUM(H384:H389)</f>
        <v>3668841</v>
      </c>
      <c r="I390" s="89">
        <f t="shared" si="410"/>
        <v>0</v>
      </c>
      <c r="J390" s="89">
        <f t="shared" si="410"/>
        <v>0</v>
      </c>
      <c r="K390" s="89">
        <f t="shared" si="410"/>
        <v>0</v>
      </c>
      <c r="L390" s="89">
        <f t="shared" si="410"/>
        <v>0</v>
      </c>
      <c r="M390" s="89">
        <f t="shared" si="410"/>
        <v>0</v>
      </c>
      <c r="O390" s="89">
        <f>SUM(O384:O389)</f>
        <v>0</v>
      </c>
      <c r="P390" s="89">
        <f>SUM(P384:P389)</f>
        <v>0</v>
      </c>
      <c r="Q390" s="89">
        <f>SUM(Q384:Q389)</f>
        <v>0</v>
      </c>
      <c r="S390" s="89">
        <f t="shared" ref="S390:AD390" si="411">SUM(S384:S389)</f>
        <v>0</v>
      </c>
      <c r="T390" s="89">
        <f t="shared" si="411"/>
        <v>0</v>
      </c>
      <c r="U390" s="89">
        <f t="shared" si="411"/>
        <v>0</v>
      </c>
      <c r="V390" s="89">
        <f t="shared" si="411"/>
        <v>0</v>
      </c>
      <c r="W390" s="89">
        <f t="shared" si="411"/>
        <v>0</v>
      </c>
      <c r="X390" s="89">
        <f t="shared" si="411"/>
        <v>0</v>
      </c>
      <c r="Y390" s="89">
        <f t="shared" si="411"/>
        <v>0</v>
      </c>
      <c r="Z390" s="89">
        <f t="shared" si="411"/>
        <v>0</v>
      </c>
      <c r="AA390" s="89">
        <f t="shared" si="411"/>
        <v>0</v>
      </c>
      <c r="AB390" s="89">
        <f t="shared" si="411"/>
        <v>0</v>
      </c>
      <c r="AC390" s="89">
        <f t="shared" si="411"/>
        <v>0</v>
      </c>
      <c r="AD390" s="89">
        <f t="shared" si="411"/>
        <v>0</v>
      </c>
      <c r="AF390" s="89">
        <f>SUM(AF384:AF389)</f>
        <v>0</v>
      </c>
      <c r="AH390" s="89">
        <f>SUM(AH384:AH389)</f>
        <v>0</v>
      </c>
      <c r="AJ390" s="89">
        <f>SUM(AJ384:AJ389)</f>
        <v>0</v>
      </c>
      <c r="AK390" s="90">
        <f t="shared" si="408"/>
        <v>3668841</v>
      </c>
      <c r="AL390" s="87" t="str">
        <f t="shared" si="409"/>
        <v>ok</v>
      </c>
    </row>
    <row r="391" spans="1:38" x14ac:dyDescent="0.5">
      <c r="D391" s="322"/>
      <c r="E391" s="45"/>
      <c r="F391" s="89"/>
      <c r="Y391" s="86"/>
      <c r="AK391" s="90"/>
      <c r="AL391" s="87"/>
    </row>
    <row r="392" spans="1:38" x14ac:dyDescent="0.5">
      <c r="A392" s="23" t="s">
        <v>1519</v>
      </c>
      <c r="D392" s="322"/>
      <c r="E392" s="45"/>
      <c r="F392" s="89"/>
      <c r="Y392" s="86"/>
      <c r="AK392" s="90"/>
      <c r="AL392" s="87"/>
    </row>
    <row r="393" spans="1:38" x14ac:dyDescent="0.5">
      <c r="A393" s="86">
        <v>551</v>
      </c>
      <c r="B393" s="86" t="s">
        <v>560</v>
      </c>
      <c r="C393" s="86" t="s">
        <v>1572</v>
      </c>
      <c r="D393" s="322" t="s">
        <v>709</v>
      </c>
      <c r="E393" s="45"/>
      <c r="F393" s="89">
        <f>'Jurisdictional Study'!F1369</f>
        <v>732436</v>
      </c>
      <c r="H393" s="90">
        <f>IF(VLOOKUP($D393,$C$5:$AJ$596,6,)=0,0,((VLOOKUP($D393,$C$5:$AJ$596,6,)/VLOOKUP($D393,$C$5:$AJ$596,4,))*$F393))</f>
        <v>732436</v>
      </c>
      <c r="I393" s="90">
        <f>IF(VLOOKUP($D393,$C$5:$AJ$596,7,)=0,0,((VLOOKUP($D393,$C$5:$AJ$596,7,)/VLOOKUP($D393,$C$5:$AJ$596,4,))*$F393))</f>
        <v>0</v>
      </c>
      <c r="J393" s="90">
        <f>IF(VLOOKUP($D393,$C$5:$AJ$596,8,)=0,0,((VLOOKUP($D393,$C$5:$AJ$596,8,)/VLOOKUP($D393,$C$5:$AJ$596,4,))*$F393))</f>
        <v>0</v>
      </c>
      <c r="K393" s="90">
        <f>IF(VLOOKUP($D393,$C$5:$AJ$596,9,)=0,0,((VLOOKUP($D393,$C$5:$AJ$596,9,)/VLOOKUP($D393,$C$5:$AJ$596,4,))*$F393))</f>
        <v>0</v>
      </c>
      <c r="L393" s="90">
        <f>IF(VLOOKUP($D393,$C$5:$AJ$596,10,)=0,0,((VLOOKUP($D393,$C$5:$AJ$596,10,)/VLOOKUP($D393,$C$5:$AJ$596,4,))*$F393))</f>
        <v>0</v>
      </c>
      <c r="M393" s="90">
        <f>IF(VLOOKUP($D393,$C$5:$AJ$596,11,)=0,0,((VLOOKUP($D393,$C$5:$AJ$596,11,)/VLOOKUP($D393,$C$5:$AJ$596,4,))*$F393))</f>
        <v>0</v>
      </c>
      <c r="N393" s="90"/>
      <c r="O393" s="90">
        <f>IF(VLOOKUP($D393,$C$5:$AJ$596,13,)=0,0,((VLOOKUP($D393,$C$5:$AJ$596,13,)/VLOOKUP($D393,$C$5:$AJ$596,4,))*$F393))</f>
        <v>0</v>
      </c>
      <c r="P393" s="90">
        <f>IF(VLOOKUP($D393,$C$5:$AJ$596,14,)=0,0,((VLOOKUP($D393,$C$5:$AJ$596,14,)/VLOOKUP($D393,$C$5:$AJ$596,4,))*$F393))</f>
        <v>0</v>
      </c>
      <c r="Q393" s="90">
        <f>IF(VLOOKUP($D393,$C$5:$AJ$596,15,)=0,0,((VLOOKUP($D393,$C$5:$AJ$596,15,)/VLOOKUP($D393,$C$5:$AJ$596,4,))*$F393))</f>
        <v>0</v>
      </c>
      <c r="R393" s="90"/>
      <c r="S393" s="90">
        <f>IF(VLOOKUP($D393,$C$5:$AJ$596,17,)=0,0,((VLOOKUP($D393,$C$5:$AJ$596,17,)/VLOOKUP($D393,$C$5:$AJ$596,4,))*$F393))</f>
        <v>0</v>
      </c>
      <c r="T393" s="90">
        <f>IF(VLOOKUP($D393,$C$5:$AJ$596,18,)=0,0,((VLOOKUP($D393,$C$5:$AJ$596,18,)/VLOOKUP($D393,$C$5:$AJ$596,4,))*$F393))</f>
        <v>0</v>
      </c>
      <c r="U393" s="90">
        <f>IF(VLOOKUP($D393,$C$5:$AJ$596,19,)=0,0,((VLOOKUP($D393,$C$5:$AJ$596,19,)/VLOOKUP($D393,$C$5:$AJ$596,4,))*$F393))</f>
        <v>0</v>
      </c>
      <c r="V393" s="90">
        <f>IF(VLOOKUP($D393,$C$5:$AJ$596,20,)=0,0,((VLOOKUP($D393,$C$5:$AJ$596,20,)/VLOOKUP($D393,$C$5:$AJ$596,4,))*$F393))</f>
        <v>0</v>
      </c>
      <c r="W393" s="90">
        <f>IF(VLOOKUP($D393,$C$5:$AJ$596,21,)=0,0,((VLOOKUP($D393,$C$5:$AJ$596,21,)/VLOOKUP($D393,$C$5:$AJ$596,4,))*$F393))</f>
        <v>0</v>
      </c>
      <c r="X393" s="90">
        <f>IF(VLOOKUP($D393,$C$5:$AJ$596,22,)=0,0,((VLOOKUP($D393,$C$5:$AJ$596,22,)/VLOOKUP($D393,$C$5:$AJ$596,4,))*$F393))</f>
        <v>0</v>
      </c>
      <c r="Y393" s="90">
        <f>IF(VLOOKUP($D393,$C$5:$AJ$596,23,)=0,0,((VLOOKUP($D393,$C$5:$AJ$596,23,)/VLOOKUP($D393,$C$5:$AJ$596,4,))*$F393))</f>
        <v>0</v>
      </c>
      <c r="Z393" s="90">
        <f>IF(VLOOKUP($D393,$C$5:$AJ$596,24,)=0,0,((VLOOKUP($D393,$C$5:$AJ$596,24,)/VLOOKUP($D393,$C$5:$AJ$596,4,))*$F393))</f>
        <v>0</v>
      </c>
      <c r="AA393" s="90">
        <f>IF(VLOOKUP($D393,$C$5:$AJ$596,25,)=0,0,((VLOOKUP($D393,$C$5:$AJ$596,25,)/VLOOKUP($D393,$C$5:$AJ$596,4,))*$F393))</f>
        <v>0</v>
      </c>
      <c r="AB393" s="90">
        <f>IF(VLOOKUP($D393,$C$5:$AJ$596,26,)=0,0,((VLOOKUP($D393,$C$5:$AJ$596,26,)/VLOOKUP($D393,$C$5:$AJ$596,4,))*$F393))</f>
        <v>0</v>
      </c>
      <c r="AC393" s="90">
        <f>IF(VLOOKUP($D393,$C$5:$AJ$596,27,)=0,0,((VLOOKUP($D393,$C$5:$AJ$596,27,)/VLOOKUP($D393,$C$5:$AJ$596,4,))*$F393))</f>
        <v>0</v>
      </c>
      <c r="AD393" s="90">
        <f>IF(VLOOKUP($D393,$C$5:$AJ$596,28,)=0,0,((VLOOKUP($D393,$C$5:$AJ$596,28,)/VLOOKUP($D393,$C$5:$AJ$596,4,))*$F393))</f>
        <v>0</v>
      </c>
      <c r="AE393" s="90"/>
      <c r="AF393" s="90">
        <f>IF(VLOOKUP($D393,$C$5:$AJ$596,30,)=0,0,((VLOOKUP($D393,$C$5:$AJ$596,30,)/VLOOKUP($D393,$C$5:$AJ$596,4,))*$F393))</f>
        <v>0</v>
      </c>
      <c r="AG393" s="90"/>
      <c r="AH393" s="90">
        <f>IF(VLOOKUP($D393,$C$5:$AJ$596,32,)=0,0,((VLOOKUP($D393,$C$5:$AJ$596,32,)/VLOOKUP($D393,$C$5:$AJ$596,4,))*$F393))</f>
        <v>0</v>
      </c>
      <c r="AI393" s="90"/>
      <c r="AJ393" s="90">
        <f>IF(VLOOKUP($D393,$C$5:$AJ$596,34,)=0,0,((VLOOKUP($D393,$C$5:$AJ$596,34,)/VLOOKUP($D393,$C$5:$AJ$596,4,))*$F393))</f>
        <v>0</v>
      </c>
      <c r="AK393" s="90">
        <f t="shared" ref="AK393:AK400" si="412">SUM(H393:AJ393)</f>
        <v>732436</v>
      </c>
      <c r="AL393" s="87" t="str">
        <f t="shared" ref="AL393:AL400" si="413">IF(ABS(AK393-F393)&lt;1,"ok","err")</f>
        <v>ok</v>
      </c>
    </row>
    <row r="394" spans="1:38" x14ac:dyDescent="0.5">
      <c r="A394" s="86">
        <v>552</v>
      </c>
      <c r="B394" s="86" t="s">
        <v>559</v>
      </c>
      <c r="C394" s="86" t="s">
        <v>1573</v>
      </c>
      <c r="D394" s="322" t="s">
        <v>709</v>
      </c>
      <c r="E394" s="45"/>
      <c r="F394" s="90">
        <f>'Jurisdictional Study'!F1370</f>
        <v>351927</v>
      </c>
      <c r="H394" s="90">
        <f>IF(VLOOKUP($D394,$C$5:$AJ$596,6,)=0,0,((VLOOKUP($D394,$C$5:$AJ$596,6,)/VLOOKUP($D394,$C$5:$AJ$596,4,))*$F394))</f>
        <v>351927</v>
      </c>
      <c r="I394" s="90">
        <f>IF(VLOOKUP($D394,$C$5:$AJ$596,7,)=0,0,((VLOOKUP($D394,$C$5:$AJ$596,7,)/VLOOKUP($D394,$C$5:$AJ$596,4,))*$F394))</f>
        <v>0</v>
      </c>
      <c r="J394" s="90">
        <f>IF(VLOOKUP($D394,$C$5:$AJ$596,8,)=0,0,((VLOOKUP($D394,$C$5:$AJ$596,8,)/VLOOKUP($D394,$C$5:$AJ$596,4,))*$F394))</f>
        <v>0</v>
      </c>
      <c r="K394" s="90">
        <f>IF(VLOOKUP($D394,$C$5:$AJ$596,9,)=0,0,((VLOOKUP($D394,$C$5:$AJ$596,9,)/VLOOKUP($D394,$C$5:$AJ$596,4,))*$F394))</f>
        <v>0</v>
      </c>
      <c r="L394" s="90">
        <f>IF(VLOOKUP($D394,$C$5:$AJ$596,10,)=0,0,((VLOOKUP($D394,$C$5:$AJ$596,10,)/VLOOKUP($D394,$C$5:$AJ$596,4,))*$F394))</f>
        <v>0</v>
      </c>
      <c r="M394" s="90">
        <f>IF(VLOOKUP($D394,$C$5:$AJ$596,11,)=0,0,((VLOOKUP($D394,$C$5:$AJ$596,11,)/VLOOKUP($D394,$C$5:$AJ$596,4,))*$F394))</f>
        <v>0</v>
      </c>
      <c r="N394" s="90"/>
      <c r="O394" s="90">
        <f>IF(VLOOKUP($D394,$C$5:$AJ$596,13,)=0,0,((VLOOKUP($D394,$C$5:$AJ$596,13,)/VLOOKUP($D394,$C$5:$AJ$596,4,))*$F394))</f>
        <v>0</v>
      </c>
      <c r="P394" s="90">
        <f>IF(VLOOKUP($D394,$C$5:$AJ$596,14,)=0,0,((VLOOKUP($D394,$C$5:$AJ$596,14,)/VLOOKUP($D394,$C$5:$AJ$596,4,))*$F394))</f>
        <v>0</v>
      </c>
      <c r="Q394" s="90">
        <f>IF(VLOOKUP($D394,$C$5:$AJ$596,15,)=0,0,((VLOOKUP($D394,$C$5:$AJ$596,15,)/VLOOKUP($D394,$C$5:$AJ$596,4,))*$F394))</f>
        <v>0</v>
      </c>
      <c r="R394" s="90"/>
      <c r="S394" s="90">
        <f>IF(VLOOKUP($D394,$C$5:$AJ$596,17,)=0,0,((VLOOKUP($D394,$C$5:$AJ$596,17,)/VLOOKUP($D394,$C$5:$AJ$596,4,))*$F394))</f>
        <v>0</v>
      </c>
      <c r="T394" s="90">
        <f>IF(VLOOKUP($D394,$C$5:$AJ$596,18,)=0,0,((VLOOKUP($D394,$C$5:$AJ$596,18,)/VLOOKUP($D394,$C$5:$AJ$596,4,))*$F394))</f>
        <v>0</v>
      </c>
      <c r="U394" s="90">
        <f>IF(VLOOKUP($D394,$C$5:$AJ$596,19,)=0,0,((VLOOKUP($D394,$C$5:$AJ$596,19,)/VLOOKUP($D394,$C$5:$AJ$596,4,))*$F394))</f>
        <v>0</v>
      </c>
      <c r="V394" s="90">
        <f>IF(VLOOKUP($D394,$C$5:$AJ$596,20,)=0,0,((VLOOKUP($D394,$C$5:$AJ$596,20,)/VLOOKUP($D394,$C$5:$AJ$596,4,))*$F394))</f>
        <v>0</v>
      </c>
      <c r="W394" s="90">
        <f>IF(VLOOKUP($D394,$C$5:$AJ$596,21,)=0,0,((VLOOKUP($D394,$C$5:$AJ$596,21,)/VLOOKUP($D394,$C$5:$AJ$596,4,))*$F394))</f>
        <v>0</v>
      </c>
      <c r="X394" s="90">
        <f>IF(VLOOKUP($D394,$C$5:$AJ$596,22,)=0,0,((VLOOKUP($D394,$C$5:$AJ$596,22,)/VLOOKUP($D394,$C$5:$AJ$596,4,))*$F394))</f>
        <v>0</v>
      </c>
      <c r="Y394" s="90">
        <f>IF(VLOOKUP($D394,$C$5:$AJ$596,23,)=0,0,((VLOOKUP($D394,$C$5:$AJ$596,23,)/VLOOKUP($D394,$C$5:$AJ$596,4,))*$F394))</f>
        <v>0</v>
      </c>
      <c r="Z394" s="90">
        <f>IF(VLOOKUP($D394,$C$5:$AJ$596,24,)=0,0,((VLOOKUP($D394,$C$5:$AJ$596,24,)/VLOOKUP($D394,$C$5:$AJ$596,4,))*$F394))</f>
        <v>0</v>
      </c>
      <c r="AA394" s="90">
        <f>IF(VLOOKUP($D394,$C$5:$AJ$596,25,)=0,0,((VLOOKUP($D394,$C$5:$AJ$596,25,)/VLOOKUP($D394,$C$5:$AJ$596,4,))*$F394))</f>
        <v>0</v>
      </c>
      <c r="AB394" s="90">
        <f>IF(VLOOKUP($D394,$C$5:$AJ$596,26,)=0,0,((VLOOKUP($D394,$C$5:$AJ$596,26,)/VLOOKUP($D394,$C$5:$AJ$596,4,))*$F394))</f>
        <v>0</v>
      </c>
      <c r="AC394" s="90">
        <f>IF(VLOOKUP($D394,$C$5:$AJ$596,27,)=0,0,((VLOOKUP($D394,$C$5:$AJ$596,27,)/VLOOKUP($D394,$C$5:$AJ$596,4,))*$F394))</f>
        <v>0</v>
      </c>
      <c r="AD394" s="90">
        <f>IF(VLOOKUP($D394,$C$5:$AJ$596,28,)=0,0,((VLOOKUP($D394,$C$5:$AJ$596,28,)/VLOOKUP($D394,$C$5:$AJ$596,4,))*$F394))</f>
        <v>0</v>
      </c>
      <c r="AE394" s="90"/>
      <c r="AF394" s="90">
        <f>IF(VLOOKUP($D394,$C$5:$AJ$596,30,)=0,0,((VLOOKUP($D394,$C$5:$AJ$596,30,)/VLOOKUP($D394,$C$5:$AJ$596,4,))*$F394))</f>
        <v>0</v>
      </c>
      <c r="AG394" s="90"/>
      <c r="AH394" s="90">
        <f>IF(VLOOKUP($D394,$C$5:$AJ$596,32,)=0,0,((VLOOKUP($D394,$C$5:$AJ$596,32,)/VLOOKUP($D394,$C$5:$AJ$596,4,))*$F394))</f>
        <v>0</v>
      </c>
      <c r="AI394" s="90"/>
      <c r="AJ394" s="90">
        <f>IF(VLOOKUP($D394,$C$5:$AJ$596,34,)=0,0,((VLOOKUP($D394,$C$5:$AJ$596,34,)/VLOOKUP($D394,$C$5:$AJ$596,4,))*$F394))</f>
        <v>0</v>
      </c>
      <c r="AK394" s="90">
        <f t="shared" si="412"/>
        <v>351927</v>
      </c>
      <c r="AL394" s="87" t="str">
        <f t="shared" si="413"/>
        <v>ok</v>
      </c>
    </row>
    <row r="395" spans="1:38" x14ac:dyDescent="0.5">
      <c r="A395" s="86">
        <v>553</v>
      </c>
      <c r="B395" s="86" t="s">
        <v>1522</v>
      </c>
      <c r="C395" s="86" t="s">
        <v>1574</v>
      </c>
      <c r="D395" s="322" t="s">
        <v>709</v>
      </c>
      <c r="E395" s="45"/>
      <c r="F395" s="90">
        <f>'Jurisdictional Study'!F1371</f>
        <v>1277077</v>
      </c>
      <c r="H395" s="90">
        <f>IF(VLOOKUP($D395,$C$5:$AJ$596,6,)=0,0,((VLOOKUP($D395,$C$5:$AJ$596,6,)/VLOOKUP($D395,$C$5:$AJ$596,4,))*$F395))</f>
        <v>1277077</v>
      </c>
      <c r="I395" s="90">
        <f>IF(VLOOKUP($D395,$C$5:$AJ$596,7,)=0,0,((VLOOKUP($D395,$C$5:$AJ$596,7,)/VLOOKUP($D395,$C$5:$AJ$596,4,))*$F395))</f>
        <v>0</v>
      </c>
      <c r="J395" s="90">
        <f>IF(VLOOKUP($D395,$C$5:$AJ$596,8,)=0,0,((VLOOKUP($D395,$C$5:$AJ$596,8,)/VLOOKUP($D395,$C$5:$AJ$596,4,))*$F395))</f>
        <v>0</v>
      </c>
      <c r="K395" s="90">
        <f>IF(VLOOKUP($D395,$C$5:$AJ$596,9,)=0,0,((VLOOKUP($D395,$C$5:$AJ$596,9,)/VLOOKUP($D395,$C$5:$AJ$596,4,))*$F395))</f>
        <v>0</v>
      </c>
      <c r="L395" s="90">
        <f>IF(VLOOKUP($D395,$C$5:$AJ$596,10,)=0,0,((VLOOKUP($D395,$C$5:$AJ$596,10,)/VLOOKUP($D395,$C$5:$AJ$596,4,))*$F395))</f>
        <v>0</v>
      </c>
      <c r="M395" s="90">
        <f>IF(VLOOKUP($D395,$C$5:$AJ$596,11,)=0,0,((VLOOKUP($D395,$C$5:$AJ$596,11,)/VLOOKUP($D395,$C$5:$AJ$596,4,))*$F395))</f>
        <v>0</v>
      </c>
      <c r="N395" s="90"/>
      <c r="O395" s="90">
        <f>IF(VLOOKUP($D395,$C$5:$AJ$596,13,)=0,0,((VLOOKUP($D395,$C$5:$AJ$596,13,)/VLOOKUP($D395,$C$5:$AJ$596,4,))*$F395))</f>
        <v>0</v>
      </c>
      <c r="P395" s="90">
        <f>IF(VLOOKUP($D395,$C$5:$AJ$596,14,)=0,0,((VLOOKUP($D395,$C$5:$AJ$596,14,)/VLOOKUP($D395,$C$5:$AJ$596,4,))*$F395))</f>
        <v>0</v>
      </c>
      <c r="Q395" s="90">
        <f>IF(VLOOKUP($D395,$C$5:$AJ$596,15,)=0,0,((VLOOKUP($D395,$C$5:$AJ$596,15,)/VLOOKUP($D395,$C$5:$AJ$596,4,))*$F395))</f>
        <v>0</v>
      </c>
      <c r="R395" s="90"/>
      <c r="S395" s="90">
        <f>IF(VLOOKUP($D395,$C$5:$AJ$596,17,)=0,0,((VLOOKUP($D395,$C$5:$AJ$596,17,)/VLOOKUP($D395,$C$5:$AJ$596,4,))*$F395))</f>
        <v>0</v>
      </c>
      <c r="T395" s="90">
        <f>IF(VLOOKUP($D395,$C$5:$AJ$596,18,)=0,0,((VLOOKUP($D395,$C$5:$AJ$596,18,)/VLOOKUP($D395,$C$5:$AJ$596,4,))*$F395))</f>
        <v>0</v>
      </c>
      <c r="U395" s="90">
        <f>IF(VLOOKUP($D395,$C$5:$AJ$596,19,)=0,0,((VLOOKUP($D395,$C$5:$AJ$596,19,)/VLOOKUP($D395,$C$5:$AJ$596,4,))*$F395))</f>
        <v>0</v>
      </c>
      <c r="V395" s="90">
        <f>IF(VLOOKUP($D395,$C$5:$AJ$596,20,)=0,0,((VLOOKUP($D395,$C$5:$AJ$596,20,)/VLOOKUP($D395,$C$5:$AJ$596,4,))*$F395))</f>
        <v>0</v>
      </c>
      <c r="W395" s="90">
        <f>IF(VLOOKUP($D395,$C$5:$AJ$596,21,)=0,0,((VLOOKUP($D395,$C$5:$AJ$596,21,)/VLOOKUP($D395,$C$5:$AJ$596,4,))*$F395))</f>
        <v>0</v>
      </c>
      <c r="X395" s="90">
        <f>IF(VLOOKUP($D395,$C$5:$AJ$596,22,)=0,0,((VLOOKUP($D395,$C$5:$AJ$596,22,)/VLOOKUP($D395,$C$5:$AJ$596,4,))*$F395))</f>
        <v>0</v>
      </c>
      <c r="Y395" s="90">
        <f>IF(VLOOKUP($D395,$C$5:$AJ$596,23,)=0,0,((VLOOKUP($D395,$C$5:$AJ$596,23,)/VLOOKUP($D395,$C$5:$AJ$596,4,))*$F395))</f>
        <v>0</v>
      </c>
      <c r="Z395" s="90">
        <f>IF(VLOOKUP($D395,$C$5:$AJ$596,24,)=0,0,((VLOOKUP($D395,$C$5:$AJ$596,24,)/VLOOKUP($D395,$C$5:$AJ$596,4,))*$F395))</f>
        <v>0</v>
      </c>
      <c r="AA395" s="90">
        <f>IF(VLOOKUP($D395,$C$5:$AJ$596,25,)=0,0,((VLOOKUP($D395,$C$5:$AJ$596,25,)/VLOOKUP($D395,$C$5:$AJ$596,4,))*$F395))</f>
        <v>0</v>
      </c>
      <c r="AB395" s="90">
        <f>IF(VLOOKUP($D395,$C$5:$AJ$596,26,)=0,0,((VLOOKUP($D395,$C$5:$AJ$596,26,)/VLOOKUP($D395,$C$5:$AJ$596,4,))*$F395))</f>
        <v>0</v>
      </c>
      <c r="AC395" s="90">
        <f>IF(VLOOKUP($D395,$C$5:$AJ$596,27,)=0,0,((VLOOKUP($D395,$C$5:$AJ$596,27,)/VLOOKUP($D395,$C$5:$AJ$596,4,))*$F395))</f>
        <v>0</v>
      </c>
      <c r="AD395" s="90">
        <f>IF(VLOOKUP($D395,$C$5:$AJ$596,28,)=0,0,((VLOOKUP($D395,$C$5:$AJ$596,28,)/VLOOKUP($D395,$C$5:$AJ$596,4,))*$F395))</f>
        <v>0</v>
      </c>
      <c r="AE395" s="90"/>
      <c r="AF395" s="90">
        <f>IF(VLOOKUP($D395,$C$5:$AJ$596,30,)=0,0,((VLOOKUP($D395,$C$5:$AJ$596,30,)/VLOOKUP($D395,$C$5:$AJ$596,4,))*$F395))</f>
        <v>0</v>
      </c>
      <c r="AG395" s="90"/>
      <c r="AH395" s="90">
        <f>IF(VLOOKUP($D395,$C$5:$AJ$596,32,)=0,0,((VLOOKUP($D395,$C$5:$AJ$596,32,)/VLOOKUP($D395,$C$5:$AJ$596,4,))*$F395))</f>
        <v>0</v>
      </c>
      <c r="AI395" s="90"/>
      <c r="AJ395" s="90">
        <f>IF(VLOOKUP($D395,$C$5:$AJ$596,34,)=0,0,((VLOOKUP($D395,$C$5:$AJ$596,34,)/VLOOKUP($D395,$C$5:$AJ$596,4,))*$F395))</f>
        <v>0</v>
      </c>
      <c r="AK395" s="90">
        <f t="shared" si="412"/>
        <v>1277077</v>
      </c>
      <c r="AL395" s="87" t="str">
        <f t="shared" si="413"/>
        <v>ok</v>
      </c>
    </row>
    <row r="396" spans="1:38" x14ac:dyDescent="0.5">
      <c r="A396" s="86">
        <v>554</v>
      </c>
      <c r="B396" s="86" t="s">
        <v>1524</v>
      </c>
      <c r="C396" s="86" t="s">
        <v>1575</v>
      </c>
      <c r="D396" s="322" t="s">
        <v>709</v>
      </c>
      <c r="E396" s="45"/>
      <c r="F396" s="90">
        <f>'Jurisdictional Study'!F1372</f>
        <v>1287143</v>
      </c>
      <c r="H396" s="90">
        <f>IF(VLOOKUP($D396,$C$5:$AJ$596,6,)=0,0,((VLOOKUP($D396,$C$5:$AJ$596,6,)/VLOOKUP($D396,$C$5:$AJ$596,4,))*$F396))</f>
        <v>1287143</v>
      </c>
      <c r="I396" s="90">
        <f>IF(VLOOKUP($D396,$C$5:$AJ$596,7,)=0,0,((VLOOKUP($D396,$C$5:$AJ$596,7,)/VLOOKUP($D396,$C$5:$AJ$596,4,))*$F396))</f>
        <v>0</v>
      </c>
      <c r="J396" s="90">
        <f>IF(VLOOKUP($D396,$C$5:$AJ$596,8,)=0,0,((VLOOKUP($D396,$C$5:$AJ$596,8,)/VLOOKUP($D396,$C$5:$AJ$596,4,))*$F396))</f>
        <v>0</v>
      </c>
      <c r="K396" s="90">
        <f>IF(VLOOKUP($D396,$C$5:$AJ$596,9,)=0,0,((VLOOKUP($D396,$C$5:$AJ$596,9,)/VLOOKUP($D396,$C$5:$AJ$596,4,))*$F396))</f>
        <v>0</v>
      </c>
      <c r="L396" s="90">
        <f>IF(VLOOKUP($D396,$C$5:$AJ$596,10,)=0,0,((VLOOKUP($D396,$C$5:$AJ$596,10,)/VLOOKUP($D396,$C$5:$AJ$596,4,))*$F396))</f>
        <v>0</v>
      </c>
      <c r="M396" s="90">
        <f>IF(VLOOKUP($D396,$C$5:$AJ$596,11,)=0,0,((VLOOKUP($D396,$C$5:$AJ$596,11,)/VLOOKUP($D396,$C$5:$AJ$596,4,))*$F396))</f>
        <v>0</v>
      </c>
      <c r="N396" s="90"/>
      <c r="O396" s="90">
        <f>IF(VLOOKUP($D396,$C$5:$AJ$596,13,)=0,0,((VLOOKUP($D396,$C$5:$AJ$596,13,)/VLOOKUP($D396,$C$5:$AJ$596,4,))*$F396))</f>
        <v>0</v>
      </c>
      <c r="P396" s="90">
        <f>IF(VLOOKUP($D396,$C$5:$AJ$596,14,)=0,0,((VLOOKUP($D396,$C$5:$AJ$596,14,)/VLOOKUP($D396,$C$5:$AJ$596,4,))*$F396))</f>
        <v>0</v>
      </c>
      <c r="Q396" s="90">
        <f>IF(VLOOKUP($D396,$C$5:$AJ$596,15,)=0,0,((VLOOKUP($D396,$C$5:$AJ$596,15,)/VLOOKUP($D396,$C$5:$AJ$596,4,))*$F396))</f>
        <v>0</v>
      </c>
      <c r="R396" s="90"/>
      <c r="S396" s="90">
        <f>IF(VLOOKUP($D396,$C$5:$AJ$596,17,)=0,0,((VLOOKUP($D396,$C$5:$AJ$596,17,)/VLOOKUP($D396,$C$5:$AJ$596,4,))*$F396))</f>
        <v>0</v>
      </c>
      <c r="T396" s="90">
        <f>IF(VLOOKUP($D396,$C$5:$AJ$596,18,)=0,0,((VLOOKUP($D396,$C$5:$AJ$596,18,)/VLOOKUP($D396,$C$5:$AJ$596,4,))*$F396))</f>
        <v>0</v>
      </c>
      <c r="U396" s="90">
        <f>IF(VLOOKUP($D396,$C$5:$AJ$596,19,)=0,0,((VLOOKUP($D396,$C$5:$AJ$596,19,)/VLOOKUP($D396,$C$5:$AJ$596,4,))*$F396))</f>
        <v>0</v>
      </c>
      <c r="V396" s="90">
        <f>IF(VLOOKUP($D396,$C$5:$AJ$596,20,)=0,0,((VLOOKUP($D396,$C$5:$AJ$596,20,)/VLOOKUP($D396,$C$5:$AJ$596,4,))*$F396))</f>
        <v>0</v>
      </c>
      <c r="W396" s="90">
        <f>IF(VLOOKUP($D396,$C$5:$AJ$596,21,)=0,0,((VLOOKUP($D396,$C$5:$AJ$596,21,)/VLOOKUP($D396,$C$5:$AJ$596,4,))*$F396))</f>
        <v>0</v>
      </c>
      <c r="X396" s="90">
        <f>IF(VLOOKUP($D396,$C$5:$AJ$596,22,)=0,0,((VLOOKUP($D396,$C$5:$AJ$596,22,)/VLOOKUP($D396,$C$5:$AJ$596,4,))*$F396))</f>
        <v>0</v>
      </c>
      <c r="Y396" s="90">
        <f>IF(VLOOKUP($D396,$C$5:$AJ$596,23,)=0,0,((VLOOKUP($D396,$C$5:$AJ$596,23,)/VLOOKUP($D396,$C$5:$AJ$596,4,))*$F396))</f>
        <v>0</v>
      </c>
      <c r="Z396" s="90">
        <f>IF(VLOOKUP($D396,$C$5:$AJ$596,24,)=0,0,((VLOOKUP($D396,$C$5:$AJ$596,24,)/VLOOKUP($D396,$C$5:$AJ$596,4,))*$F396))</f>
        <v>0</v>
      </c>
      <c r="AA396" s="90">
        <f>IF(VLOOKUP($D396,$C$5:$AJ$596,25,)=0,0,((VLOOKUP($D396,$C$5:$AJ$596,25,)/VLOOKUP($D396,$C$5:$AJ$596,4,))*$F396))</f>
        <v>0</v>
      </c>
      <c r="AB396" s="90">
        <f>IF(VLOOKUP($D396,$C$5:$AJ$596,26,)=0,0,((VLOOKUP($D396,$C$5:$AJ$596,26,)/VLOOKUP($D396,$C$5:$AJ$596,4,))*$F396))</f>
        <v>0</v>
      </c>
      <c r="AC396" s="90">
        <f>IF(VLOOKUP($D396,$C$5:$AJ$596,27,)=0,0,((VLOOKUP($D396,$C$5:$AJ$596,27,)/VLOOKUP($D396,$C$5:$AJ$596,4,))*$F396))</f>
        <v>0</v>
      </c>
      <c r="AD396" s="90">
        <f>IF(VLOOKUP($D396,$C$5:$AJ$596,28,)=0,0,((VLOOKUP($D396,$C$5:$AJ$596,28,)/VLOOKUP($D396,$C$5:$AJ$596,4,))*$F396))</f>
        <v>0</v>
      </c>
      <c r="AE396" s="90"/>
      <c r="AF396" s="90">
        <f>IF(VLOOKUP($D396,$C$5:$AJ$596,30,)=0,0,((VLOOKUP($D396,$C$5:$AJ$596,30,)/VLOOKUP($D396,$C$5:$AJ$596,4,))*$F396))</f>
        <v>0</v>
      </c>
      <c r="AG396" s="90"/>
      <c r="AH396" s="90">
        <f>IF(VLOOKUP($D396,$C$5:$AJ$596,32,)=0,0,((VLOOKUP($D396,$C$5:$AJ$596,32,)/VLOOKUP($D396,$C$5:$AJ$596,4,))*$F396))</f>
        <v>0</v>
      </c>
      <c r="AI396" s="90"/>
      <c r="AJ396" s="90">
        <f>IF(VLOOKUP($D396,$C$5:$AJ$596,34,)=0,0,((VLOOKUP($D396,$C$5:$AJ$596,34,)/VLOOKUP($D396,$C$5:$AJ$596,4,))*$F396))</f>
        <v>0</v>
      </c>
      <c r="AK396" s="90">
        <f t="shared" si="412"/>
        <v>1287143</v>
      </c>
      <c r="AL396" s="87" t="str">
        <f t="shared" si="413"/>
        <v>ok</v>
      </c>
    </row>
    <row r="397" spans="1:38" x14ac:dyDescent="0.5">
      <c r="D397" s="45"/>
      <c r="E397" s="45"/>
      <c r="F397" s="89"/>
      <c r="Y397" s="86"/>
      <c r="AK397" s="90"/>
      <c r="AL397" s="87"/>
    </row>
    <row r="398" spans="1:38" x14ac:dyDescent="0.5">
      <c r="B398" s="86" t="s">
        <v>1527</v>
      </c>
      <c r="C398" s="86" t="s">
        <v>204</v>
      </c>
      <c r="D398" s="45"/>
      <c r="E398" s="45"/>
      <c r="F398" s="89">
        <f>SUM(F393:F397)</f>
        <v>3648583</v>
      </c>
      <c r="H398" s="89">
        <f t="shared" ref="H398:M398" si="414">SUM(H393:H397)</f>
        <v>3648583</v>
      </c>
      <c r="I398" s="89">
        <f t="shared" si="414"/>
        <v>0</v>
      </c>
      <c r="J398" s="89">
        <f t="shared" si="414"/>
        <v>0</v>
      </c>
      <c r="K398" s="89">
        <f t="shared" si="414"/>
        <v>0</v>
      </c>
      <c r="L398" s="89">
        <f t="shared" si="414"/>
        <v>0</v>
      </c>
      <c r="M398" s="89">
        <f t="shared" si="414"/>
        <v>0</v>
      </c>
      <c r="O398" s="89">
        <f>SUM(O393:O397)</f>
        <v>0</v>
      </c>
      <c r="P398" s="89">
        <f>SUM(P393:P397)</f>
        <v>0</v>
      </c>
      <c r="Q398" s="89">
        <f>SUM(Q393:Q397)</f>
        <v>0</v>
      </c>
      <c r="S398" s="89">
        <f t="shared" ref="S398:AD398" si="415">SUM(S393:S397)</f>
        <v>0</v>
      </c>
      <c r="T398" s="89">
        <f t="shared" si="415"/>
        <v>0</v>
      </c>
      <c r="U398" s="89">
        <f t="shared" si="415"/>
        <v>0</v>
      </c>
      <c r="V398" s="89">
        <f t="shared" si="415"/>
        <v>0</v>
      </c>
      <c r="W398" s="89">
        <f t="shared" si="415"/>
        <v>0</v>
      </c>
      <c r="X398" s="89">
        <f t="shared" si="415"/>
        <v>0</v>
      </c>
      <c r="Y398" s="89">
        <f t="shared" si="415"/>
        <v>0</v>
      </c>
      <c r="Z398" s="89">
        <f t="shared" si="415"/>
        <v>0</v>
      </c>
      <c r="AA398" s="89">
        <f t="shared" si="415"/>
        <v>0</v>
      </c>
      <c r="AB398" s="89">
        <f t="shared" si="415"/>
        <v>0</v>
      </c>
      <c r="AC398" s="89">
        <f t="shared" si="415"/>
        <v>0</v>
      </c>
      <c r="AD398" s="89">
        <f t="shared" si="415"/>
        <v>0</v>
      </c>
      <c r="AF398" s="89">
        <f>SUM(AF393:AF397)</f>
        <v>0</v>
      </c>
      <c r="AH398" s="89">
        <f>SUM(AH393:AH397)</f>
        <v>0</v>
      </c>
      <c r="AJ398" s="89">
        <f>SUM(AJ393:AJ397)</f>
        <v>0</v>
      </c>
      <c r="AK398" s="90">
        <f t="shared" si="412"/>
        <v>3648583</v>
      </c>
      <c r="AL398" s="87" t="str">
        <f t="shared" si="413"/>
        <v>ok</v>
      </c>
    </row>
    <row r="399" spans="1:38" x14ac:dyDescent="0.5">
      <c r="D399" s="45"/>
      <c r="E399" s="45"/>
      <c r="F399" s="89"/>
      <c r="H399" s="89"/>
      <c r="I399" s="89"/>
      <c r="J399" s="89"/>
      <c r="K399" s="89"/>
      <c r="L399" s="89"/>
      <c r="M399" s="89"/>
      <c r="O399" s="89"/>
      <c r="P399" s="89"/>
      <c r="Q399" s="89"/>
      <c r="S399" s="89"/>
      <c r="T399" s="89"/>
      <c r="U399" s="89"/>
      <c r="V399" s="89"/>
      <c r="W399" s="89"/>
      <c r="X399" s="89"/>
      <c r="Y399" s="89"/>
      <c r="Z399" s="89"/>
      <c r="AA399" s="89"/>
      <c r="AB399" s="89"/>
      <c r="AC399" s="89"/>
      <c r="AD399" s="89"/>
      <c r="AF399" s="89"/>
      <c r="AH399" s="89"/>
      <c r="AJ399" s="89"/>
      <c r="AK399" s="90"/>
      <c r="AL399" s="87"/>
    </row>
    <row r="400" spans="1:38" x14ac:dyDescent="0.5">
      <c r="B400" s="86" t="s">
        <v>1526</v>
      </c>
      <c r="D400" s="322"/>
      <c r="E400" s="45"/>
      <c r="F400" s="89">
        <f>F390+F398</f>
        <v>7317424</v>
      </c>
      <c r="H400" s="89">
        <f t="shared" ref="H400:M400" si="416">H390+H398</f>
        <v>7317424</v>
      </c>
      <c r="I400" s="89">
        <f t="shared" si="416"/>
        <v>0</v>
      </c>
      <c r="J400" s="89">
        <f t="shared" si="416"/>
        <v>0</v>
      </c>
      <c r="K400" s="89">
        <f t="shared" si="416"/>
        <v>0</v>
      </c>
      <c r="L400" s="89">
        <f t="shared" si="416"/>
        <v>0</v>
      </c>
      <c r="M400" s="89">
        <f t="shared" si="416"/>
        <v>0</v>
      </c>
      <c r="O400" s="89">
        <f>O390+O398</f>
        <v>0</v>
      </c>
      <c r="P400" s="89">
        <f>P390+P398</f>
        <v>0</v>
      </c>
      <c r="Q400" s="89">
        <f>Q390+Q398</f>
        <v>0</v>
      </c>
      <c r="S400" s="89">
        <f t="shared" ref="S400:AD400" si="417">S390+S398</f>
        <v>0</v>
      </c>
      <c r="T400" s="89">
        <f t="shared" si="417"/>
        <v>0</v>
      </c>
      <c r="U400" s="89">
        <f t="shared" si="417"/>
        <v>0</v>
      </c>
      <c r="V400" s="89">
        <f t="shared" si="417"/>
        <v>0</v>
      </c>
      <c r="W400" s="89">
        <f t="shared" si="417"/>
        <v>0</v>
      </c>
      <c r="X400" s="89">
        <f t="shared" si="417"/>
        <v>0</v>
      </c>
      <c r="Y400" s="89">
        <f t="shared" si="417"/>
        <v>0</v>
      </c>
      <c r="Z400" s="89">
        <f t="shared" si="417"/>
        <v>0</v>
      </c>
      <c r="AA400" s="89">
        <f t="shared" si="417"/>
        <v>0</v>
      </c>
      <c r="AB400" s="89">
        <f t="shared" si="417"/>
        <v>0</v>
      </c>
      <c r="AC400" s="89">
        <f t="shared" si="417"/>
        <v>0</v>
      </c>
      <c r="AD400" s="89">
        <f t="shared" si="417"/>
        <v>0</v>
      </c>
      <c r="AF400" s="89">
        <f>AF390+AF398</f>
        <v>0</v>
      </c>
      <c r="AH400" s="89">
        <f>AH390+AH398</f>
        <v>0</v>
      </c>
      <c r="AJ400" s="89">
        <f>AJ390+AJ398</f>
        <v>0</v>
      </c>
      <c r="AK400" s="90">
        <f t="shared" si="412"/>
        <v>7317424</v>
      </c>
      <c r="AL400" s="87" t="str">
        <f t="shared" si="413"/>
        <v>ok</v>
      </c>
    </row>
    <row r="401" spans="1:38" x14ac:dyDescent="0.5">
      <c r="D401" s="322"/>
      <c r="E401" s="45"/>
      <c r="F401" s="89"/>
      <c r="Y401" s="86"/>
      <c r="AK401" s="90"/>
      <c r="AL401" s="87"/>
    </row>
    <row r="402" spans="1:38" x14ac:dyDescent="0.5">
      <c r="B402" s="86" t="s">
        <v>1619</v>
      </c>
      <c r="C402" s="86" t="s">
        <v>1621</v>
      </c>
      <c r="D402" s="322"/>
      <c r="E402" s="45"/>
      <c r="F402" s="89">
        <f>F400+F358+F379</f>
        <v>59350712</v>
      </c>
      <c r="H402" s="89">
        <f t="shared" ref="H402:M402" si="418">H400+H358+H379</f>
        <v>34301388.074191041</v>
      </c>
      <c r="I402" s="89">
        <f t="shared" si="418"/>
        <v>0</v>
      </c>
      <c r="J402" s="89">
        <f t="shared" si="418"/>
        <v>0</v>
      </c>
      <c r="K402" s="89">
        <f t="shared" si="418"/>
        <v>25049323.925808959</v>
      </c>
      <c r="L402" s="89">
        <f t="shared" si="418"/>
        <v>0</v>
      </c>
      <c r="M402" s="89">
        <f t="shared" si="418"/>
        <v>0</v>
      </c>
      <c r="N402" s="90"/>
      <c r="O402" s="89">
        <f>O400+O358+O379</f>
        <v>0</v>
      </c>
      <c r="P402" s="89">
        <f>P400+P358+P379</f>
        <v>0</v>
      </c>
      <c r="Q402" s="89">
        <f>Q400+Q358+Q379</f>
        <v>0</v>
      </c>
      <c r="R402" s="90"/>
      <c r="S402" s="89">
        <f t="shared" ref="S402:AD402" si="419">S400+S358+S379</f>
        <v>0</v>
      </c>
      <c r="T402" s="89">
        <f t="shared" si="419"/>
        <v>0</v>
      </c>
      <c r="U402" s="89">
        <f t="shared" si="419"/>
        <v>0</v>
      </c>
      <c r="V402" s="89">
        <f t="shared" si="419"/>
        <v>0</v>
      </c>
      <c r="W402" s="89">
        <f t="shared" si="419"/>
        <v>0</v>
      </c>
      <c r="X402" s="89">
        <f t="shared" si="419"/>
        <v>0</v>
      </c>
      <c r="Y402" s="89">
        <f t="shared" si="419"/>
        <v>0</v>
      </c>
      <c r="Z402" s="89">
        <f t="shared" si="419"/>
        <v>0</v>
      </c>
      <c r="AA402" s="89">
        <f t="shared" si="419"/>
        <v>0</v>
      </c>
      <c r="AB402" s="89">
        <f t="shared" si="419"/>
        <v>0</v>
      </c>
      <c r="AC402" s="89">
        <f t="shared" si="419"/>
        <v>0</v>
      </c>
      <c r="AD402" s="89">
        <f t="shared" si="419"/>
        <v>0</v>
      </c>
      <c r="AE402" s="90"/>
      <c r="AF402" s="89">
        <f>AF400+AF358+AF379</f>
        <v>0</v>
      </c>
      <c r="AG402" s="90"/>
      <c r="AH402" s="89">
        <f>AH400+AH358+AH379</f>
        <v>0</v>
      </c>
      <c r="AI402" s="90"/>
      <c r="AJ402" s="89">
        <f>AJ400+AJ358+AJ379</f>
        <v>0</v>
      </c>
      <c r="AK402" s="90">
        <f>SUM(H402:AJ402)</f>
        <v>59350712</v>
      </c>
      <c r="AL402" s="87" t="str">
        <f>IF(ABS(AK402-F402)&lt;1,"ok","err")</f>
        <v>ok</v>
      </c>
    </row>
    <row r="403" spans="1:38" x14ac:dyDescent="0.5">
      <c r="A403" s="22"/>
      <c r="D403" s="322"/>
      <c r="E403" s="45"/>
      <c r="Y403" s="86"/>
      <c r="AL403" s="87"/>
    </row>
    <row r="404" spans="1:38" x14ac:dyDescent="0.5">
      <c r="A404" s="23" t="s">
        <v>778</v>
      </c>
      <c r="D404" s="322"/>
      <c r="E404" s="45"/>
      <c r="Y404" s="86"/>
      <c r="AL404" s="87"/>
    </row>
    <row r="405" spans="1:38" x14ac:dyDescent="0.5">
      <c r="A405" s="86">
        <v>555</v>
      </c>
      <c r="B405" s="86" t="s">
        <v>459</v>
      </c>
      <c r="C405" s="86" t="s">
        <v>1017</v>
      </c>
      <c r="D405" s="322" t="s">
        <v>779</v>
      </c>
      <c r="E405" s="45"/>
      <c r="F405" s="89">
        <f>'Jurisdictional Study'!F1373</f>
        <v>0</v>
      </c>
      <c r="G405" s="89"/>
      <c r="H405" s="90">
        <f>IF(VLOOKUP($D405,$C$5:$AJ$596,6,)=0,0,((VLOOKUP($D405,$C$5:$AJ$596,6,)/VLOOKUP($D405,$C$5:$AJ$596,4,))*$F405))</f>
        <v>0</v>
      </c>
      <c r="I405" s="90">
        <f>IF(VLOOKUP($D405,$C$5:$AJ$596,7,)=0,0,((VLOOKUP($D405,$C$5:$AJ$596,7,)/VLOOKUP($D405,$C$5:$AJ$596,4,))*$F405))</f>
        <v>0</v>
      </c>
      <c r="J405" s="90">
        <f>IF(VLOOKUP($D405,$C$5:$AJ$596,8,)=0,0,((VLOOKUP($D405,$C$5:$AJ$596,8,)/VLOOKUP($D405,$C$5:$AJ$596,4,))*$F405))</f>
        <v>0</v>
      </c>
      <c r="K405" s="90">
        <f>IF(VLOOKUP($D405,$C$5:$AJ$596,9,)=0,0,((VLOOKUP($D405,$C$5:$AJ$596,9,)/VLOOKUP($D405,$C$5:$AJ$596,4,))*$F405))</f>
        <v>0</v>
      </c>
      <c r="L405" s="90">
        <f>IF(VLOOKUP($D405,$C$5:$AJ$596,10,)=0,0,((VLOOKUP($D405,$C$5:$AJ$596,10,)/VLOOKUP($D405,$C$5:$AJ$596,4,))*$F405))</f>
        <v>0</v>
      </c>
      <c r="M405" s="90">
        <f>IF(VLOOKUP($D405,$C$5:$AJ$596,11,)=0,0,((VLOOKUP($D405,$C$5:$AJ$596,11,)/VLOOKUP($D405,$C$5:$AJ$596,4,))*$F405))</f>
        <v>0</v>
      </c>
      <c r="N405" s="90"/>
      <c r="O405" s="90">
        <f>IF(VLOOKUP($D405,$C$5:$AJ$596,13,)=0,0,((VLOOKUP($D405,$C$5:$AJ$596,13,)/VLOOKUP($D405,$C$5:$AJ$596,4,))*$F405))</f>
        <v>0</v>
      </c>
      <c r="P405" s="90">
        <f>IF(VLOOKUP($D405,$C$5:$AJ$596,14,)=0,0,((VLOOKUP($D405,$C$5:$AJ$596,14,)/VLOOKUP($D405,$C$5:$AJ$596,4,))*$F405))</f>
        <v>0</v>
      </c>
      <c r="Q405" s="90">
        <f>IF(VLOOKUP($D405,$C$5:$AJ$596,15,)=0,0,((VLOOKUP($D405,$C$5:$AJ$596,15,)/VLOOKUP($D405,$C$5:$AJ$596,4,))*$F405))</f>
        <v>0</v>
      </c>
      <c r="R405" s="90"/>
      <c r="S405" s="90">
        <f>IF(VLOOKUP($D405,$C$5:$AJ$596,17,)=0,0,((VLOOKUP($D405,$C$5:$AJ$596,17,)/VLOOKUP($D405,$C$5:$AJ$596,4,))*$F405))</f>
        <v>0</v>
      </c>
      <c r="T405" s="90">
        <f>IF(VLOOKUP($D405,$C$5:$AJ$596,18,)=0,0,((VLOOKUP($D405,$C$5:$AJ$596,18,)/VLOOKUP($D405,$C$5:$AJ$596,4,))*$F405))</f>
        <v>0</v>
      </c>
      <c r="U405" s="90">
        <f>IF(VLOOKUP($D405,$C$5:$AJ$596,19,)=0,0,((VLOOKUP($D405,$C$5:$AJ$596,19,)/VLOOKUP($D405,$C$5:$AJ$596,4,))*$F405))</f>
        <v>0</v>
      </c>
      <c r="V405" s="90">
        <f>IF(VLOOKUP($D405,$C$5:$AJ$596,20,)=0,0,((VLOOKUP($D405,$C$5:$AJ$596,20,)/VLOOKUP($D405,$C$5:$AJ$596,4,))*$F405))</f>
        <v>0</v>
      </c>
      <c r="W405" s="90">
        <f>IF(VLOOKUP($D405,$C$5:$AJ$596,21,)=0,0,((VLOOKUP($D405,$C$5:$AJ$596,21,)/VLOOKUP($D405,$C$5:$AJ$596,4,))*$F405))</f>
        <v>0</v>
      </c>
      <c r="X405" s="90">
        <f>IF(VLOOKUP($D405,$C$5:$AJ$596,22,)=0,0,((VLOOKUP($D405,$C$5:$AJ$596,22,)/VLOOKUP($D405,$C$5:$AJ$596,4,))*$F405))</f>
        <v>0</v>
      </c>
      <c r="Y405" s="90">
        <f>IF(VLOOKUP($D405,$C$5:$AJ$596,23,)=0,0,((VLOOKUP($D405,$C$5:$AJ$596,23,)/VLOOKUP($D405,$C$5:$AJ$596,4,))*$F405))</f>
        <v>0</v>
      </c>
      <c r="Z405" s="90">
        <f>IF(VLOOKUP($D405,$C$5:$AJ$596,24,)=0,0,((VLOOKUP($D405,$C$5:$AJ$596,24,)/VLOOKUP($D405,$C$5:$AJ$596,4,))*$F405))</f>
        <v>0</v>
      </c>
      <c r="AA405" s="90">
        <f>IF(VLOOKUP($D405,$C$5:$AJ$596,25,)=0,0,((VLOOKUP($D405,$C$5:$AJ$596,25,)/VLOOKUP($D405,$C$5:$AJ$596,4,))*$F405))</f>
        <v>0</v>
      </c>
      <c r="AB405" s="90">
        <f>IF(VLOOKUP($D405,$C$5:$AJ$596,26,)=0,0,((VLOOKUP($D405,$C$5:$AJ$596,26,)/VLOOKUP($D405,$C$5:$AJ$596,4,))*$F405))</f>
        <v>0</v>
      </c>
      <c r="AC405" s="90">
        <f>IF(VLOOKUP($D405,$C$5:$AJ$596,27,)=0,0,((VLOOKUP($D405,$C$5:$AJ$596,27,)/VLOOKUP($D405,$C$5:$AJ$596,4,))*$F405))</f>
        <v>0</v>
      </c>
      <c r="AD405" s="90">
        <f>IF(VLOOKUP($D405,$C$5:$AJ$596,28,)=0,0,((VLOOKUP($D405,$C$5:$AJ$596,28,)/VLOOKUP($D405,$C$5:$AJ$596,4,))*$F405))</f>
        <v>0</v>
      </c>
      <c r="AE405" s="90"/>
      <c r="AF405" s="90">
        <f>IF(VLOOKUP($D405,$C$5:$AJ$596,30,)=0,0,((VLOOKUP($D405,$C$5:$AJ$596,30,)/VLOOKUP($D405,$C$5:$AJ$596,4,))*$F405))</f>
        <v>0</v>
      </c>
      <c r="AG405" s="90"/>
      <c r="AH405" s="90">
        <f>IF(VLOOKUP($D405,$C$5:$AJ$596,32,)=0,0,((VLOOKUP($D405,$C$5:$AJ$596,32,)/VLOOKUP($D405,$C$5:$AJ$596,4,))*$F405))</f>
        <v>0</v>
      </c>
      <c r="AI405" s="90"/>
      <c r="AJ405" s="90">
        <f>IF(VLOOKUP($D405,$C$5:$AJ$596,34,)=0,0,((VLOOKUP($D405,$C$5:$AJ$596,34,)/VLOOKUP($D405,$C$5:$AJ$596,4,))*$F405))</f>
        <v>0</v>
      </c>
      <c r="AK405" s="90">
        <f>SUM(H405:AJ405)</f>
        <v>0</v>
      </c>
      <c r="AL405" s="87" t="str">
        <f>IF(ABS(AK405-F405)&lt;1,"ok","err")</f>
        <v>ok</v>
      </c>
    </row>
    <row r="406" spans="1:38" x14ac:dyDescent="0.5">
      <c r="A406" s="86">
        <v>556</v>
      </c>
      <c r="B406" s="86" t="s">
        <v>1536</v>
      </c>
      <c r="C406" s="86" t="s">
        <v>1743</v>
      </c>
      <c r="D406" s="322" t="s">
        <v>709</v>
      </c>
      <c r="E406" s="45"/>
      <c r="F406" s="89">
        <f>'Jurisdictional Study'!F1374</f>
        <v>2263912</v>
      </c>
      <c r="G406" s="89"/>
      <c r="H406" s="90">
        <f>IF(VLOOKUP($D406,$C$5:$AJ$596,6,)=0,0,((VLOOKUP($D406,$C$5:$AJ$596,6,)/VLOOKUP($D406,$C$5:$AJ$596,4,))*$F406))</f>
        <v>2263912</v>
      </c>
      <c r="I406" s="90">
        <f>IF(VLOOKUP($D406,$C$5:$AJ$596,7,)=0,0,((VLOOKUP($D406,$C$5:$AJ$596,7,)/VLOOKUP($D406,$C$5:$AJ$596,4,))*$F406))</f>
        <v>0</v>
      </c>
      <c r="J406" s="90">
        <f>IF(VLOOKUP($D406,$C$5:$AJ$596,8,)=0,0,((VLOOKUP($D406,$C$5:$AJ$596,8,)/VLOOKUP($D406,$C$5:$AJ$596,4,))*$F406))</f>
        <v>0</v>
      </c>
      <c r="K406" s="90">
        <f>IF(VLOOKUP($D406,$C$5:$AJ$596,9,)=0,0,((VLOOKUP($D406,$C$5:$AJ$596,9,)/VLOOKUP($D406,$C$5:$AJ$596,4,))*$F406))</f>
        <v>0</v>
      </c>
      <c r="L406" s="90">
        <f>IF(VLOOKUP($D406,$C$5:$AJ$596,10,)=0,0,((VLOOKUP($D406,$C$5:$AJ$596,10,)/VLOOKUP($D406,$C$5:$AJ$596,4,))*$F406))</f>
        <v>0</v>
      </c>
      <c r="M406" s="90">
        <f>IF(VLOOKUP($D406,$C$5:$AJ$596,11,)=0,0,((VLOOKUP($D406,$C$5:$AJ$596,11,)/VLOOKUP($D406,$C$5:$AJ$596,4,))*$F406))</f>
        <v>0</v>
      </c>
      <c r="N406" s="90"/>
      <c r="O406" s="90">
        <f>IF(VLOOKUP($D406,$C$5:$AJ$596,13,)=0,0,((VLOOKUP($D406,$C$5:$AJ$596,13,)/VLOOKUP($D406,$C$5:$AJ$596,4,))*$F406))</f>
        <v>0</v>
      </c>
      <c r="P406" s="90">
        <f>IF(VLOOKUP($D406,$C$5:$AJ$596,14,)=0,0,((VLOOKUP($D406,$C$5:$AJ$596,14,)/VLOOKUP($D406,$C$5:$AJ$596,4,))*$F406))</f>
        <v>0</v>
      </c>
      <c r="Q406" s="90">
        <f>IF(VLOOKUP($D406,$C$5:$AJ$596,15,)=0,0,((VLOOKUP($D406,$C$5:$AJ$596,15,)/VLOOKUP($D406,$C$5:$AJ$596,4,))*$F406))</f>
        <v>0</v>
      </c>
      <c r="R406" s="90"/>
      <c r="S406" s="90">
        <f>IF(VLOOKUP($D406,$C$5:$AJ$596,17,)=0,0,((VLOOKUP($D406,$C$5:$AJ$596,17,)/VLOOKUP($D406,$C$5:$AJ$596,4,))*$F406))</f>
        <v>0</v>
      </c>
      <c r="T406" s="90">
        <f>IF(VLOOKUP($D406,$C$5:$AJ$596,18,)=0,0,((VLOOKUP($D406,$C$5:$AJ$596,18,)/VLOOKUP($D406,$C$5:$AJ$596,4,))*$F406))</f>
        <v>0</v>
      </c>
      <c r="U406" s="90">
        <f>IF(VLOOKUP($D406,$C$5:$AJ$596,19,)=0,0,((VLOOKUP($D406,$C$5:$AJ$596,19,)/VLOOKUP($D406,$C$5:$AJ$596,4,))*$F406))</f>
        <v>0</v>
      </c>
      <c r="V406" s="90">
        <f>IF(VLOOKUP($D406,$C$5:$AJ$596,20,)=0,0,((VLOOKUP($D406,$C$5:$AJ$596,20,)/VLOOKUP($D406,$C$5:$AJ$596,4,))*$F406))</f>
        <v>0</v>
      </c>
      <c r="W406" s="90">
        <f>IF(VLOOKUP($D406,$C$5:$AJ$596,21,)=0,0,((VLOOKUP($D406,$C$5:$AJ$596,21,)/VLOOKUP($D406,$C$5:$AJ$596,4,))*$F406))</f>
        <v>0</v>
      </c>
      <c r="X406" s="90">
        <f>IF(VLOOKUP($D406,$C$5:$AJ$596,22,)=0,0,((VLOOKUP($D406,$C$5:$AJ$596,22,)/VLOOKUP($D406,$C$5:$AJ$596,4,))*$F406))</f>
        <v>0</v>
      </c>
      <c r="Y406" s="90">
        <f>IF(VLOOKUP($D406,$C$5:$AJ$596,23,)=0,0,((VLOOKUP($D406,$C$5:$AJ$596,23,)/VLOOKUP($D406,$C$5:$AJ$596,4,))*$F406))</f>
        <v>0</v>
      </c>
      <c r="Z406" s="90">
        <f>IF(VLOOKUP($D406,$C$5:$AJ$596,24,)=0,0,((VLOOKUP($D406,$C$5:$AJ$596,24,)/VLOOKUP($D406,$C$5:$AJ$596,4,))*$F406))</f>
        <v>0</v>
      </c>
      <c r="AA406" s="90">
        <f>IF(VLOOKUP($D406,$C$5:$AJ$596,25,)=0,0,((VLOOKUP($D406,$C$5:$AJ$596,25,)/VLOOKUP($D406,$C$5:$AJ$596,4,))*$F406))</f>
        <v>0</v>
      </c>
      <c r="AB406" s="90">
        <f>IF(VLOOKUP($D406,$C$5:$AJ$596,26,)=0,0,((VLOOKUP($D406,$C$5:$AJ$596,26,)/VLOOKUP($D406,$C$5:$AJ$596,4,))*$F406))</f>
        <v>0</v>
      </c>
      <c r="AC406" s="90">
        <f>IF(VLOOKUP($D406,$C$5:$AJ$596,27,)=0,0,((VLOOKUP($D406,$C$5:$AJ$596,27,)/VLOOKUP($D406,$C$5:$AJ$596,4,))*$F406))</f>
        <v>0</v>
      </c>
      <c r="AD406" s="90">
        <f>IF(VLOOKUP($D406,$C$5:$AJ$596,28,)=0,0,((VLOOKUP($D406,$C$5:$AJ$596,28,)/VLOOKUP($D406,$C$5:$AJ$596,4,))*$F406))</f>
        <v>0</v>
      </c>
      <c r="AE406" s="90"/>
      <c r="AF406" s="90">
        <f>IF(VLOOKUP($D406,$C$5:$AJ$596,30,)=0,0,((VLOOKUP($D406,$C$5:$AJ$596,30,)/VLOOKUP($D406,$C$5:$AJ$596,4,))*$F406))</f>
        <v>0</v>
      </c>
      <c r="AG406" s="90"/>
      <c r="AH406" s="90">
        <f>IF(VLOOKUP($D406,$C$5:$AJ$596,32,)=0,0,((VLOOKUP($D406,$C$5:$AJ$596,32,)/VLOOKUP($D406,$C$5:$AJ$596,4,))*$F406))</f>
        <v>0</v>
      </c>
      <c r="AI406" s="90"/>
      <c r="AJ406" s="90">
        <f>IF(VLOOKUP($D406,$C$5:$AJ$596,34,)=0,0,((VLOOKUP($D406,$C$5:$AJ$596,34,)/VLOOKUP($D406,$C$5:$AJ$596,4,))*$F406))</f>
        <v>0</v>
      </c>
      <c r="AK406" s="90">
        <f>SUM(H406:AJ406)</f>
        <v>2263912</v>
      </c>
      <c r="AL406" s="87" t="str">
        <f>IF(ABS(AK406-F406)&lt;1,"ok","err")</f>
        <v>ok</v>
      </c>
    </row>
    <row r="407" spans="1:38" x14ac:dyDescent="0.5">
      <c r="A407" s="86">
        <v>557</v>
      </c>
      <c r="B407" s="86" t="s">
        <v>477</v>
      </c>
      <c r="C407" s="86" t="s">
        <v>962</v>
      </c>
      <c r="D407" s="322" t="s">
        <v>709</v>
      </c>
      <c r="E407" s="45"/>
      <c r="F407" s="89">
        <f>'Jurisdictional Study'!F1375</f>
        <v>0</v>
      </c>
      <c r="G407" s="89"/>
      <c r="H407" s="90">
        <f>IF(VLOOKUP($D407,$C$5:$AJ$596,6,)=0,0,((VLOOKUP($D407,$C$5:$AJ$596,6,)/VLOOKUP($D407,$C$5:$AJ$596,4,))*$F407))</f>
        <v>0</v>
      </c>
      <c r="I407" s="90">
        <f>IF(VLOOKUP($D407,$C$5:$AJ$596,7,)=0,0,((VLOOKUP($D407,$C$5:$AJ$596,7,)/VLOOKUP($D407,$C$5:$AJ$596,4,))*$F407))</f>
        <v>0</v>
      </c>
      <c r="J407" s="90">
        <f>IF(VLOOKUP($D407,$C$5:$AJ$596,8,)=0,0,((VLOOKUP($D407,$C$5:$AJ$596,8,)/VLOOKUP($D407,$C$5:$AJ$596,4,))*$F407))</f>
        <v>0</v>
      </c>
      <c r="K407" s="90">
        <f>IF(VLOOKUP($D407,$C$5:$AJ$596,9,)=0,0,((VLOOKUP($D407,$C$5:$AJ$596,9,)/VLOOKUP($D407,$C$5:$AJ$596,4,))*$F407))</f>
        <v>0</v>
      </c>
      <c r="L407" s="90">
        <f>IF(VLOOKUP($D407,$C$5:$AJ$596,10,)=0,0,((VLOOKUP($D407,$C$5:$AJ$596,10,)/VLOOKUP($D407,$C$5:$AJ$596,4,))*$F407))</f>
        <v>0</v>
      </c>
      <c r="M407" s="90">
        <f>IF(VLOOKUP($D407,$C$5:$AJ$596,11,)=0,0,((VLOOKUP($D407,$C$5:$AJ$596,11,)/VLOOKUP($D407,$C$5:$AJ$596,4,))*$F407))</f>
        <v>0</v>
      </c>
      <c r="N407" s="90"/>
      <c r="O407" s="90">
        <f>IF(VLOOKUP($D407,$C$5:$AJ$596,13,)=0,0,((VLOOKUP($D407,$C$5:$AJ$596,13,)/VLOOKUP($D407,$C$5:$AJ$596,4,))*$F407))</f>
        <v>0</v>
      </c>
      <c r="P407" s="90">
        <f>IF(VLOOKUP($D407,$C$5:$AJ$596,14,)=0,0,((VLOOKUP($D407,$C$5:$AJ$596,14,)/VLOOKUP($D407,$C$5:$AJ$596,4,))*$F407))</f>
        <v>0</v>
      </c>
      <c r="Q407" s="90">
        <f>IF(VLOOKUP($D407,$C$5:$AJ$596,15,)=0,0,((VLOOKUP($D407,$C$5:$AJ$596,15,)/VLOOKUP($D407,$C$5:$AJ$596,4,))*$F407))</f>
        <v>0</v>
      </c>
      <c r="R407" s="90"/>
      <c r="S407" s="90">
        <f>IF(VLOOKUP($D407,$C$5:$AJ$596,17,)=0,0,((VLOOKUP($D407,$C$5:$AJ$596,17,)/VLOOKUP($D407,$C$5:$AJ$596,4,))*$F407))</f>
        <v>0</v>
      </c>
      <c r="T407" s="90">
        <f>IF(VLOOKUP($D407,$C$5:$AJ$596,18,)=0,0,((VLOOKUP($D407,$C$5:$AJ$596,18,)/VLOOKUP($D407,$C$5:$AJ$596,4,))*$F407))</f>
        <v>0</v>
      </c>
      <c r="U407" s="90">
        <f>IF(VLOOKUP($D407,$C$5:$AJ$596,19,)=0,0,((VLOOKUP($D407,$C$5:$AJ$596,19,)/VLOOKUP($D407,$C$5:$AJ$596,4,))*$F407))</f>
        <v>0</v>
      </c>
      <c r="V407" s="90">
        <f>IF(VLOOKUP($D407,$C$5:$AJ$596,20,)=0,0,((VLOOKUP($D407,$C$5:$AJ$596,20,)/VLOOKUP($D407,$C$5:$AJ$596,4,))*$F407))</f>
        <v>0</v>
      </c>
      <c r="W407" s="90">
        <f>IF(VLOOKUP($D407,$C$5:$AJ$596,21,)=0,0,((VLOOKUP($D407,$C$5:$AJ$596,21,)/VLOOKUP($D407,$C$5:$AJ$596,4,))*$F407))</f>
        <v>0</v>
      </c>
      <c r="X407" s="90">
        <f>IF(VLOOKUP($D407,$C$5:$AJ$596,22,)=0,0,((VLOOKUP($D407,$C$5:$AJ$596,22,)/VLOOKUP($D407,$C$5:$AJ$596,4,))*$F407))</f>
        <v>0</v>
      </c>
      <c r="Y407" s="90">
        <f>IF(VLOOKUP($D407,$C$5:$AJ$596,23,)=0,0,((VLOOKUP($D407,$C$5:$AJ$596,23,)/VLOOKUP($D407,$C$5:$AJ$596,4,))*$F407))</f>
        <v>0</v>
      </c>
      <c r="Z407" s="90">
        <f>IF(VLOOKUP($D407,$C$5:$AJ$596,24,)=0,0,((VLOOKUP($D407,$C$5:$AJ$596,24,)/VLOOKUP($D407,$C$5:$AJ$596,4,))*$F407))</f>
        <v>0</v>
      </c>
      <c r="AA407" s="90">
        <f>IF(VLOOKUP($D407,$C$5:$AJ$596,25,)=0,0,((VLOOKUP($D407,$C$5:$AJ$596,25,)/VLOOKUP($D407,$C$5:$AJ$596,4,))*$F407))</f>
        <v>0</v>
      </c>
      <c r="AB407" s="90">
        <f>IF(VLOOKUP($D407,$C$5:$AJ$596,26,)=0,0,((VLOOKUP($D407,$C$5:$AJ$596,26,)/VLOOKUP($D407,$C$5:$AJ$596,4,))*$F407))</f>
        <v>0</v>
      </c>
      <c r="AC407" s="90">
        <f>IF(VLOOKUP($D407,$C$5:$AJ$596,27,)=0,0,((VLOOKUP($D407,$C$5:$AJ$596,27,)/VLOOKUP($D407,$C$5:$AJ$596,4,))*$F407))</f>
        <v>0</v>
      </c>
      <c r="AD407" s="90">
        <f>IF(VLOOKUP($D407,$C$5:$AJ$596,28,)=0,0,((VLOOKUP($D407,$C$5:$AJ$596,28,)/VLOOKUP($D407,$C$5:$AJ$596,4,))*$F407))</f>
        <v>0</v>
      </c>
      <c r="AE407" s="90"/>
      <c r="AF407" s="90">
        <f>IF(VLOOKUP($D407,$C$5:$AJ$596,30,)=0,0,((VLOOKUP($D407,$C$5:$AJ$596,30,)/VLOOKUP($D407,$C$5:$AJ$596,4,))*$F407))</f>
        <v>0</v>
      </c>
      <c r="AG407" s="90"/>
      <c r="AH407" s="90">
        <f>IF(VLOOKUP($D407,$C$5:$AJ$596,32,)=0,0,((VLOOKUP($D407,$C$5:$AJ$596,32,)/VLOOKUP($D407,$C$5:$AJ$596,4,))*$F407))</f>
        <v>0</v>
      </c>
      <c r="AI407" s="90"/>
      <c r="AJ407" s="90">
        <f>IF(VLOOKUP($D407,$C$5:$AJ$596,34,)=0,0,((VLOOKUP($D407,$C$5:$AJ$596,34,)/VLOOKUP($D407,$C$5:$AJ$596,4,))*$F407))</f>
        <v>0</v>
      </c>
      <c r="AK407" s="90">
        <f>SUM(H407:AJ407)</f>
        <v>0</v>
      </c>
      <c r="AL407" s="87" t="str">
        <f>IF(ABS(AK407-F407)&lt;1,"ok","err")</f>
        <v>ok</v>
      </c>
    </row>
    <row r="408" spans="1:38" x14ac:dyDescent="0.5">
      <c r="D408" s="322"/>
      <c r="E408" s="45"/>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90"/>
      <c r="AL408" s="87"/>
    </row>
    <row r="409" spans="1:38" x14ac:dyDescent="0.5">
      <c r="B409" s="86" t="s">
        <v>1019</v>
      </c>
      <c r="C409" s="86" t="s">
        <v>961</v>
      </c>
      <c r="D409" s="322"/>
      <c r="E409" s="45"/>
      <c r="F409" s="89">
        <f>SUM(F405:F407)</f>
        <v>2263912</v>
      </c>
      <c r="G409" s="89"/>
      <c r="H409" s="89">
        <f t="shared" ref="H409:M409" si="420">SUM(H405:H407)</f>
        <v>2263912</v>
      </c>
      <c r="I409" s="89">
        <f t="shared" si="420"/>
        <v>0</v>
      </c>
      <c r="J409" s="89">
        <f t="shared" si="420"/>
        <v>0</v>
      </c>
      <c r="K409" s="89">
        <f t="shared" si="420"/>
        <v>0</v>
      </c>
      <c r="L409" s="89">
        <f t="shared" si="420"/>
        <v>0</v>
      </c>
      <c r="M409" s="89">
        <f t="shared" si="420"/>
        <v>0</v>
      </c>
      <c r="N409" s="89"/>
      <c r="O409" s="89">
        <f>SUM(O405:O407)</f>
        <v>0</v>
      </c>
      <c r="P409" s="89">
        <f>SUM(P405:P407)</f>
        <v>0</v>
      </c>
      <c r="Q409" s="89">
        <f>SUM(Q405:Q407)</f>
        <v>0</v>
      </c>
      <c r="R409" s="89"/>
      <c r="S409" s="89">
        <f t="shared" ref="S409:AD409" si="421">SUM(S405:S407)</f>
        <v>0</v>
      </c>
      <c r="T409" s="89">
        <f t="shared" si="421"/>
        <v>0</v>
      </c>
      <c r="U409" s="89">
        <f t="shared" si="421"/>
        <v>0</v>
      </c>
      <c r="V409" s="89">
        <f t="shared" si="421"/>
        <v>0</v>
      </c>
      <c r="W409" s="89">
        <f t="shared" si="421"/>
        <v>0</v>
      </c>
      <c r="X409" s="89">
        <f t="shared" si="421"/>
        <v>0</v>
      </c>
      <c r="Y409" s="89">
        <f t="shared" si="421"/>
        <v>0</v>
      </c>
      <c r="Z409" s="89">
        <f t="shared" si="421"/>
        <v>0</v>
      </c>
      <c r="AA409" s="89">
        <f t="shared" si="421"/>
        <v>0</v>
      </c>
      <c r="AB409" s="89">
        <f t="shared" si="421"/>
        <v>0</v>
      </c>
      <c r="AC409" s="89">
        <f t="shared" si="421"/>
        <v>0</v>
      </c>
      <c r="AD409" s="89">
        <f t="shared" si="421"/>
        <v>0</v>
      </c>
      <c r="AE409" s="89"/>
      <c r="AF409" s="89">
        <f>SUM(AF405:AF407)</f>
        <v>0</v>
      </c>
      <c r="AG409" s="89"/>
      <c r="AH409" s="89">
        <f>SUM(AH405:AH407)</f>
        <v>0</v>
      </c>
      <c r="AI409" s="89"/>
      <c r="AJ409" s="89">
        <f>SUM(AJ405:AJ407)</f>
        <v>0</v>
      </c>
      <c r="AK409" s="90">
        <f>SUM(H409:AJ409)</f>
        <v>2263912</v>
      </c>
      <c r="AL409" s="87" t="str">
        <f>IF(ABS(AK409-F409)&lt;1,"ok","err")</f>
        <v>ok</v>
      </c>
    </row>
    <row r="410" spans="1:38" x14ac:dyDescent="0.5">
      <c r="D410" s="322"/>
      <c r="E410" s="45"/>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90"/>
      <c r="AL410" s="87"/>
    </row>
    <row r="411" spans="1:38" x14ac:dyDescent="0.5">
      <c r="A411" s="22" t="s">
        <v>960</v>
      </c>
      <c r="D411" s="322"/>
      <c r="E411" s="45"/>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90"/>
      <c r="AL411" s="87"/>
    </row>
    <row r="412" spans="1:38" x14ac:dyDescent="0.5">
      <c r="D412" s="322"/>
      <c r="E412" s="45"/>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90"/>
      <c r="AL412" s="87"/>
    </row>
    <row r="413" spans="1:38" x14ac:dyDescent="0.5">
      <c r="A413" s="23" t="s">
        <v>1021</v>
      </c>
      <c r="D413" s="322"/>
      <c r="E413" s="45"/>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90"/>
      <c r="AL413" s="87"/>
    </row>
    <row r="414" spans="1:38" x14ac:dyDescent="0.5">
      <c r="A414" s="86">
        <v>560</v>
      </c>
      <c r="B414" s="86" t="s">
        <v>454</v>
      </c>
      <c r="C414" s="86" t="s">
        <v>1018</v>
      </c>
      <c r="D414" s="322" t="s">
        <v>469</v>
      </c>
      <c r="E414" s="45"/>
      <c r="F414" s="89">
        <f>'Jurisdictional Study'!F1385</f>
        <v>1591418</v>
      </c>
      <c r="G414" s="89"/>
      <c r="H414" s="90">
        <f t="shared" ref="H414:H423" si="422">IF(VLOOKUP($D414,$C$5:$AJ$596,6,)=0,0,((VLOOKUP($D414,$C$5:$AJ$596,6,)/VLOOKUP($D414,$C$5:$AJ$596,4,))*$F414))</f>
        <v>0</v>
      </c>
      <c r="I414" s="90">
        <f t="shared" ref="I414:I423" si="423">IF(VLOOKUP($D414,$C$5:$AJ$596,7,)=0,0,((VLOOKUP($D414,$C$5:$AJ$596,7,)/VLOOKUP($D414,$C$5:$AJ$596,4,))*$F414))</f>
        <v>0</v>
      </c>
      <c r="J414" s="90">
        <f t="shared" ref="J414:J423" si="424">IF(VLOOKUP($D414,$C$5:$AJ$596,8,)=0,0,((VLOOKUP($D414,$C$5:$AJ$596,8,)/VLOOKUP($D414,$C$5:$AJ$596,4,))*$F414))</f>
        <v>0</v>
      </c>
      <c r="K414" s="90">
        <f t="shared" ref="K414:K423" si="425">IF(VLOOKUP($D414,$C$5:$AJ$596,9,)=0,0,((VLOOKUP($D414,$C$5:$AJ$596,9,)/VLOOKUP($D414,$C$5:$AJ$596,4,))*$F414))</f>
        <v>0</v>
      </c>
      <c r="L414" s="90">
        <f t="shared" ref="L414:L423" si="426">IF(VLOOKUP($D414,$C$5:$AJ$596,10,)=0,0,((VLOOKUP($D414,$C$5:$AJ$596,10,)/VLOOKUP($D414,$C$5:$AJ$596,4,))*$F414))</f>
        <v>0</v>
      </c>
      <c r="M414" s="90">
        <f t="shared" ref="M414:M423" si="427">IF(VLOOKUP($D414,$C$5:$AJ$596,11,)=0,0,((VLOOKUP($D414,$C$5:$AJ$596,11,)/VLOOKUP($D414,$C$5:$AJ$596,4,))*$F414))</f>
        <v>0</v>
      </c>
      <c r="N414" s="90"/>
      <c r="O414" s="90">
        <f t="shared" ref="O414:O423" si="428">IF(VLOOKUP($D414,$C$5:$AJ$596,13,)=0,0,((VLOOKUP($D414,$C$5:$AJ$596,13,)/VLOOKUP($D414,$C$5:$AJ$596,4,))*$F414))</f>
        <v>1591418</v>
      </c>
      <c r="P414" s="90">
        <f t="shared" ref="P414:P423" si="429">IF(VLOOKUP($D414,$C$5:$AJ$596,14,)=0,0,((VLOOKUP($D414,$C$5:$AJ$596,14,)/VLOOKUP($D414,$C$5:$AJ$596,4,))*$F414))</f>
        <v>0</v>
      </c>
      <c r="Q414" s="90">
        <f t="shared" ref="Q414:Q423" si="430">IF(VLOOKUP($D414,$C$5:$AJ$596,15,)=0,0,((VLOOKUP($D414,$C$5:$AJ$596,15,)/VLOOKUP($D414,$C$5:$AJ$596,4,))*$F414))</f>
        <v>0</v>
      </c>
      <c r="R414" s="90"/>
      <c r="S414" s="90">
        <f t="shared" ref="S414:S423" si="431">IF(VLOOKUP($D414,$C$5:$AJ$596,17,)=0,0,((VLOOKUP($D414,$C$5:$AJ$596,17,)/VLOOKUP($D414,$C$5:$AJ$596,4,))*$F414))</f>
        <v>0</v>
      </c>
      <c r="T414" s="90">
        <f t="shared" ref="T414:T423" si="432">IF(VLOOKUP($D414,$C$5:$AJ$596,18,)=0,0,((VLOOKUP($D414,$C$5:$AJ$596,18,)/VLOOKUP($D414,$C$5:$AJ$596,4,))*$F414))</f>
        <v>0</v>
      </c>
      <c r="U414" s="90">
        <f t="shared" ref="U414:U423" si="433">IF(VLOOKUP($D414,$C$5:$AJ$596,19,)=0,0,((VLOOKUP($D414,$C$5:$AJ$596,19,)/VLOOKUP($D414,$C$5:$AJ$596,4,))*$F414))</f>
        <v>0</v>
      </c>
      <c r="V414" s="90">
        <f t="shared" ref="V414:V423" si="434">IF(VLOOKUP($D414,$C$5:$AJ$596,20,)=0,0,((VLOOKUP($D414,$C$5:$AJ$596,20,)/VLOOKUP($D414,$C$5:$AJ$596,4,))*$F414))</f>
        <v>0</v>
      </c>
      <c r="W414" s="90">
        <f t="shared" ref="W414:W423" si="435">IF(VLOOKUP($D414,$C$5:$AJ$596,21,)=0,0,((VLOOKUP($D414,$C$5:$AJ$596,21,)/VLOOKUP($D414,$C$5:$AJ$596,4,))*$F414))</f>
        <v>0</v>
      </c>
      <c r="X414" s="90">
        <f t="shared" ref="X414:X423" si="436">IF(VLOOKUP($D414,$C$5:$AJ$596,22,)=0,0,((VLOOKUP($D414,$C$5:$AJ$596,22,)/VLOOKUP($D414,$C$5:$AJ$596,4,))*$F414))</f>
        <v>0</v>
      </c>
      <c r="Y414" s="90">
        <f t="shared" ref="Y414:Y423" si="437">IF(VLOOKUP($D414,$C$5:$AJ$596,23,)=0,0,((VLOOKUP($D414,$C$5:$AJ$596,23,)/VLOOKUP($D414,$C$5:$AJ$596,4,))*$F414))</f>
        <v>0</v>
      </c>
      <c r="Z414" s="90">
        <f t="shared" ref="Z414:Z423" si="438">IF(VLOOKUP($D414,$C$5:$AJ$596,24,)=0,0,((VLOOKUP($D414,$C$5:$AJ$596,24,)/VLOOKUP($D414,$C$5:$AJ$596,4,))*$F414))</f>
        <v>0</v>
      </c>
      <c r="AA414" s="90">
        <f t="shared" ref="AA414:AA423" si="439">IF(VLOOKUP($D414,$C$5:$AJ$596,25,)=0,0,((VLOOKUP($D414,$C$5:$AJ$596,25,)/VLOOKUP($D414,$C$5:$AJ$596,4,))*$F414))</f>
        <v>0</v>
      </c>
      <c r="AB414" s="90">
        <f t="shared" ref="AB414:AB423" si="440">IF(VLOOKUP($D414,$C$5:$AJ$596,26,)=0,0,((VLOOKUP($D414,$C$5:$AJ$596,26,)/VLOOKUP($D414,$C$5:$AJ$596,4,))*$F414))</f>
        <v>0</v>
      </c>
      <c r="AC414" s="90">
        <f t="shared" ref="AC414:AC423" si="441">IF(VLOOKUP($D414,$C$5:$AJ$596,27,)=0,0,((VLOOKUP($D414,$C$5:$AJ$596,27,)/VLOOKUP($D414,$C$5:$AJ$596,4,))*$F414))</f>
        <v>0</v>
      </c>
      <c r="AD414" s="90">
        <f t="shared" ref="AD414:AD423" si="442">IF(VLOOKUP($D414,$C$5:$AJ$596,28,)=0,0,((VLOOKUP($D414,$C$5:$AJ$596,28,)/VLOOKUP($D414,$C$5:$AJ$596,4,))*$F414))</f>
        <v>0</v>
      </c>
      <c r="AE414" s="90"/>
      <c r="AF414" s="90">
        <f t="shared" ref="AF414:AF423" si="443">IF(VLOOKUP($D414,$C$5:$AJ$596,30,)=0,0,((VLOOKUP($D414,$C$5:$AJ$596,30,)/VLOOKUP($D414,$C$5:$AJ$596,4,))*$F414))</f>
        <v>0</v>
      </c>
      <c r="AG414" s="90"/>
      <c r="AH414" s="90">
        <f t="shared" ref="AH414:AH423" si="444">IF(VLOOKUP($D414,$C$5:$AJ$596,32,)=0,0,((VLOOKUP($D414,$C$5:$AJ$596,32,)/VLOOKUP($D414,$C$5:$AJ$596,4,))*$F414))</f>
        <v>0</v>
      </c>
      <c r="AI414" s="90"/>
      <c r="AJ414" s="90">
        <f t="shared" ref="AJ414:AJ423" si="445">IF(VLOOKUP($D414,$C$5:$AJ$596,34,)=0,0,((VLOOKUP($D414,$C$5:$AJ$596,34,)/VLOOKUP($D414,$C$5:$AJ$596,4,))*$F414))</f>
        <v>0</v>
      </c>
      <c r="AK414" s="90">
        <f t="shared" ref="AK414:AK423" si="446">SUM(H414:AJ414)</f>
        <v>1591418</v>
      </c>
      <c r="AL414" s="87" t="str">
        <f t="shared" ref="AL414:AL423" si="447">IF(ABS(AK414-F414)&lt;1,"ok","err")</f>
        <v>ok</v>
      </c>
    </row>
    <row r="415" spans="1:38" x14ac:dyDescent="0.5">
      <c r="A415" s="86">
        <v>561</v>
      </c>
      <c r="B415" s="86" t="s">
        <v>783</v>
      </c>
      <c r="C415" s="86" t="s">
        <v>963</v>
      </c>
      <c r="D415" s="322" t="s">
        <v>469</v>
      </c>
      <c r="E415" s="45"/>
      <c r="F415" s="90">
        <f>'Jurisdictional Study'!F1386</f>
        <v>4089959</v>
      </c>
      <c r="G415" s="89"/>
      <c r="H415" s="90">
        <f t="shared" si="422"/>
        <v>0</v>
      </c>
      <c r="I415" s="90">
        <f t="shared" si="423"/>
        <v>0</v>
      </c>
      <c r="J415" s="90">
        <f t="shared" si="424"/>
        <v>0</v>
      </c>
      <c r="K415" s="90">
        <f t="shared" si="425"/>
        <v>0</v>
      </c>
      <c r="L415" s="90">
        <f t="shared" si="426"/>
        <v>0</v>
      </c>
      <c r="M415" s="90">
        <f t="shared" si="427"/>
        <v>0</v>
      </c>
      <c r="N415" s="90"/>
      <c r="O415" s="90">
        <f t="shared" si="428"/>
        <v>4089959</v>
      </c>
      <c r="P415" s="90">
        <f t="shared" si="429"/>
        <v>0</v>
      </c>
      <c r="Q415" s="90">
        <f t="shared" si="430"/>
        <v>0</v>
      </c>
      <c r="R415" s="90"/>
      <c r="S415" s="90">
        <f t="shared" si="431"/>
        <v>0</v>
      </c>
      <c r="T415" s="90">
        <f t="shared" si="432"/>
        <v>0</v>
      </c>
      <c r="U415" s="90">
        <f t="shared" si="433"/>
        <v>0</v>
      </c>
      <c r="V415" s="90">
        <f t="shared" si="434"/>
        <v>0</v>
      </c>
      <c r="W415" s="90">
        <f t="shared" si="435"/>
        <v>0</v>
      </c>
      <c r="X415" s="90">
        <f t="shared" si="436"/>
        <v>0</v>
      </c>
      <c r="Y415" s="90">
        <f t="shared" si="437"/>
        <v>0</v>
      </c>
      <c r="Z415" s="90">
        <f t="shared" si="438"/>
        <v>0</v>
      </c>
      <c r="AA415" s="90">
        <f t="shared" si="439"/>
        <v>0</v>
      </c>
      <c r="AB415" s="90">
        <f t="shared" si="440"/>
        <v>0</v>
      </c>
      <c r="AC415" s="90">
        <f t="shared" si="441"/>
        <v>0</v>
      </c>
      <c r="AD415" s="90">
        <f t="shared" si="442"/>
        <v>0</v>
      </c>
      <c r="AE415" s="90"/>
      <c r="AF415" s="90">
        <f t="shared" si="443"/>
        <v>0</v>
      </c>
      <c r="AG415" s="90"/>
      <c r="AH415" s="90">
        <f t="shared" si="444"/>
        <v>0</v>
      </c>
      <c r="AI415" s="90"/>
      <c r="AJ415" s="90">
        <f t="shared" si="445"/>
        <v>0</v>
      </c>
      <c r="AK415" s="90">
        <f t="shared" si="446"/>
        <v>4089959</v>
      </c>
      <c r="AL415" s="87" t="str">
        <f t="shared" si="447"/>
        <v>ok</v>
      </c>
    </row>
    <row r="416" spans="1:38" x14ac:dyDescent="0.5">
      <c r="A416" s="86">
        <v>562</v>
      </c>
      <c r="B416" s="86" t="s">
        <v>452</v>
      </c>
      <c r="C416" s="86" t="s">
        <v>964</v>
      </c>
      <c r="D416" s="322" t="s">
        <v>469</v>
      </c>
      <c r="E416" s="45"/>
      <c r="F416" s="90">
        <f>'Jurisdictional Study'!F1387</f>
        <v>424026</v>
      </c>
      <c r="G416" s="89"/>
      <c r="H416" s="90">
        <f t="shared" si="422"/>
        <v>0</v>
      </c>
      <c r="I416" s="90">
        <f t="shared" si="423"/>
        <v>0</v>
      </c>
      <c r="J416" s="90">
        <f t="shared" si="424"/>
        <v>0</v>
      </c>
      <c r="K416" s="90">
        <f t="shared" si="425"/>
        <v>0</v>
      </c>
      <c r="L416" s="90">
        <f t="shared" si="426"/>
        <v>0</v>
      </c>
      <c r="M416" s="90">
        <f t="shared" si="427"/>
        <v>0</v>
      </c>
      <c r="N416" s="90"/>
      <c r="O416" s="90">
        <f t="shared" si="428"/>
        <v>424026</v>
      </c>
      <c r="P416" s="90">
        <f t="shared" si="429"/>
        <v>0</v>
      </c>
      <c r="Q416" s="90">
        <f t="shared" si="430"/>
        <v>0</v>
      </c>
      <c r="R416" s="90"/>
      <c r="S416" s="90">
        <f t="shared" si="431"/>
        <v>0</v>
      </c>
      <c r="T416" s="90">
        <f t="shared" si="432"/>
        <v>0</v>
      </c>
      <c r="U416" s="90">
        <f t="shared" si="433"/>
        <v>0</v>
      </c>
      <c r="V416" s="90">
        <f t="shared" si="434"/>
        <v>0</v>
      </c>
      <c r="W416" s="90">
        <f t="shared" si="435"/>
        <v>0</v>
      </c>
      <c r="X416" s="90">
        <f t="shared" si="436"/>
        <v>0</v>
      </c>
      <c r="Y416" s="90">
        <f t="shared" si="437"/>
        <v>0</v>
      </c>
      <c r="Z416" s="90">
        <f t="shared" si="438"/>
        <v>0</v>
      </c>
      <c r="AA416" s="90">
        <f t="shared" si="439"/>
        <v>0</v>
      </c>
      <c r="AB416" s="90">
        <f t="shared" si="440"/>
        <v>0</v>
      </c>
      <c r="AC416" s="90">
        <f t="shared" si="441"/>
        <v>0</v>
      </c>
      <c r="AD416" s="90">
        <f t="shared" si="442"/>
        <v>0</v>
      </c>
      <c r="AE416" s="90"/>
      <c r="AF416" s="90">
        <f t="shared" si="443"/>
        <v>0</v>
      </c>
      <c r="AG416" s="90"/>
      <c r="AH416" s="90">
        <f t="shared" si="444"/>
        <v>0</v>
      </c>
      <c r="AI416" s="90"/>
      <c r="AJ416" s="90">
        <f t="shared" si="445"/>
        <v>0</v>
      </c>
      <c r="AK416" s="90">
        <f t="shared" si="446"/>
        <v>424026</v>
      </c>
      <c r="AL416" s="87" t="str">
        <f t="shared" si="447"/>
        <v>ok</v>
      </c>
    </row>
    <row r="417" spans="1:38" x14ac:dyDescent="0.5">
      <c r="A417" s="86">
        <v>563</v>
      </c>
      <c r="B417" s="86" t="s">
        <v>785</v>
      </c>
      <c r="C417" s="86" t="s">
        <v>965</v>
      </c>
      <c r="D417" s="322" t="s">
        <v>469</v>
      </c>
      <c r="E417" s="45"/>
      <c r="F417" s="90">
        <f>'Jurisdictional Study'!F1388</f>
        <v>45989</v>
      </c>
      <c r="G417" s="89"/>
      <c r="H417" s="90">
        <f t="shared" si="422"/>
        <v>0</v>
      </c>
      <c r="I417" s="90">
        <f t="shared" si="423"/>
        <v>0</v>
      </c>
      <c r="J417" s="90">
        <f t="shared" si="424"/>
        <v>0</v>
      </c>
      <c r="K417" s="90">
        <f t="shared" si="425"/>
        <v>0</v>
      </c>
      <c r="L417" s="90">
        <f t="shared" si="426"/>
        <v>0</v>
      </c>
      <c r="M417" s="90">
        <f t="shared" si="427"/>
        <v>0</v>
      </c>
      <c r="N417" s="90"/>
      <c r="O417" s="90">
        <f t="shared" si="428"/>
        <v>45989</v>
      </c>
      <c r="P417" s="90">
        <f t="shared" si="429"/>
        <v>0</v>
      </c>
      <c r="Q417" s="90">
        <f t="shared" si="430"/>
        <v>0</v>
      </c>
      <c r="R417" s="90"/>
      <c r="S417" s="90">
        <f t="shared" si="431"/>
        <v>0</v>
      </c>
      <c r="T417" s="90">
        <f t="shared" si="432"/>
        <v>0</v>
      </c>
      <c r="U417" s="90">
        <f t="shared" si="433"/>
        <v>0</v>
      </c>
      <c r="V417" s="90">
        <f t="shared" si="434"/>
        <v>0</v>
      </c>
      <c r="W417" s="90">
        <f t="shared" si="435"/>
        <v>0</v>
      </c>
      <c r="X417" s="90">
        <f t="shared" si="436"/>
        <v>0</v>
      </c>
      <c r="Y417" s="90">
        <f t="shared" si="437"/>
        <v>0</v>
      </c>
      <c r="Z417" s="90">
        <f t="shared" si="438"/>
        <v>0</v>
      </c>
      <c r="AA417" s="90">
        <f t="shared" si="439"/>
        <v>0</v>
      </c>
      <c r="AB417" s="90">
        <f t="shared" si="440"/>
        <v>0</v>
      </c>
      <c r="AC417" s="90">
        <f t="shared" si="441"/>
        <v>0</v>
      </c>
      <c r="AD417" s="90">
        <f t="shared" si="442"/>
        <v>0</v>
      </c>
      <c r="AE417" s="90"/>
      <c r="AF417" s="90">
        <f t="shared" si="443"/>
        <v>0</v>
      </c>
      <c r="AG417" s="90"/>
      <c r="AH417" s="90">
        <f t="shared" si="444"/>
        <v>0</v>
      </c>
      <c r="AI417" s="90"/>
      <c r="AJ417" s="90">
        <f t="shared" si="445"/>
        <v>0</v>
      </c>
      <c r="AK417" s="90">
        <f t="shared" si="446"/>
        <v>45989</v>
      </c>
      <c r="AL417" s="87" t="str">
        <f t="shared" si="447"/>
        <v>ok</v>
      </c>
    </row>
    <row r="418" spans="1:38" x14ac:dyDescent="0.5">
      <c r="A418" s="86">
        <v>566</v>
      </c>
      <c r="B418" s="86" t="s">
        <v>841</v>
      </c>
      <c r="C418" s="86" t="s">
        <v>845</v>
      </c>
      <c r="D418" s="322" t="s">
        <v>469</v>
      </c>
      <c r="E418" s="45"/>
      <c r="F418" s="90">
        <f>'Jurisdictional Study'!F1389</f>
        <v>0</v>
      </c>
      <c r="G418" s="89"/>
      <c r="H418" s="90">
        <f t="shared" si="422"/>
        <v>0</v>
      </c>
      <c r="I418" s="90">
        <f t="shared" si="423"/>
        <v>0</v>
      </c>
      <c r="J418" s="90">
        <f t="shared" si="424"/>
        <v>0</v>
      </c>
      <c r="K418" s="90">
        <f t="shared" si="425"/>
        <v>0</v>
      </c>
      <c r="L418" s="90">
        <f t="shared" si="426"/>
        <v>0</v>
      </c>
      <c r="M418" s="90">
        <f t="shared" si="427"/>
        <v>0</v>
      </c>
      <c r="N418" s="90"/>
      <c r="O418" s="90">
        <f t="shared" si="428"/>
        <v>0</v>
      </c>
      <c r="P418" s="90">
        <f t="shared" si="429"/>
        <v>0</v>
      </c>
      <c r="Q418" s="90">
        <f t="shared" si="430"/>
        <v>0</v>
      </c>
      <c r="R418" s="90"/>
      <c r="S418" s="90">
        <f t="shared" si="431"/>
        <v>0</v>
      </c>
      <c r="T418" s="90">
        <f t="shared" si="432"/>
        <v>0</v>
      </c>
      <c r="U418" s="90">
        <f t="shared" si="433"/>
        <v>0</v>
      </c>
      <c r="V418" s="90">
        <f t="shared" si="434"/>
        <v>0</v>
      </c>
      <c r="W418" s="90">
        <f t="shared" si="435"/>
        <v>0</v>
      </c>
      <c r="X418" s="90">
        <f t="shared" si="436"/>
        <v>0</v>
      </c>
      <c r="Y418" s="90">
        <f t="shared" si="437"/>
        <v>0</v>
      </c>
      <c r="Z418" s="90">
        <f t="shared" si="438"/>
        <v>0</v>
      </c>
      <c r="AA418" s="90">
        <f t="shared" si="439"/>
        <v>0</v>
      </c>
      <c r="AB418" s="90">
        <f t="shared" si="440"/>
        <v>0</v>
      </c>
      <c r="AC418" s="90">
        <f t="shared" si="441"/>
        <v>0</v>
      </c>
      <c r="AD418" s="90">
        <f t="shared" si="442"/>
        <v>0</v>
      </c>
      <c r="AE418" s="90"/>
      <c r="AF418" s="90">
        <f t="shared" si="443"/>
        <v>0</v>
      </c>
      <c r="AG418" s="90"/>
      <c r="AH418" s="90">
        <f t="shared" si="444"/>
        <v>0</v>
      </c>
      <c r="AI418" s="90"/>
      <c r="AJ418" s="90">
        <f t="shared" si="445"/>
        <v>0</v>
      </c>
      <c r="AK418" s="90">
        <f t="shared" si="446"/>
        <v>0</v>
      </c>
      <c r="AL418" s="87" t="str">
        <f t="shared" si="447"/>
        <v>ok</v>
      </c>
    </row>
    <row r="419" spans="1:38" x14ac:dyDescent="0.5">
      <c r="A419" s="86">
        <v>568</v>
      </c>
      <c r="B419" s="86" t="s">
        <v>453</v>
      </c>
      <c r="C419" s="86" t="s">
        <v>966</v>
      </c>
      <c r="D419" s="322" t="s">
        <v>469</v>
      </c>
      <c r="E419" s="45"/>
      <c r="F419" s="90">
        <f>'Jurisdictional Study'!F1390</f>
        <v>393950</v>
      </c>
      <c r="G419" s="89"/>
      <c r="H419" s="90">
        <f t="shared" si="422"/>
        <v>0</v>
      </c>
      <c r="I419" s="90">
        <f t="shared" si="423"/>
        <v>0</v>
      </c>
      <c r="J419" s="90">
        <f t="shared" si="424"/>
        <v>0</v>
      </c>
      <c r="K419" s="90">
        <f t="shared" si="425"/>
        <v>0</v>
      </c>
      <c r="L419" s="90">
        <f t="shared" si="426"/>
        <v>0</v>
      </c>
      <c r="M419" s="90">
        <f t="shared" si="427"/>
        <v>0</v>
      </c>
      <c r="N419" s="90"/>
      <c r="O419" s="90">
        <f t="shared" si="428"/>
        <v>393950</v>
      </c>
      <c r="P419" s="90">
        <f t="shared" si="429"/>
        <v>0</v>
      </c>
      <c r="Q419" s="90">
        <f t="shared" si="430"/>
        <v>0</v>
      </c>
      <c r="R419" s="90"/>
      <c r="S419" s="90">
        <f t="shared" si="431"/>
        <v>0</v>
      </c>
      <c r="T419" s="90">
        <f t="shared" si="432"/>
        <v>0</v>
      </c>
      <c r="U419" s="90">
        <f t="shared" si="433"/>
        <v>0</v>
      </c>
      <c r="V419" s="90">
        <f t="shared" si="434"/>
        <v>0</v>
      </c>
      <c r="W419" s="90">
        <f t="shared" si="435"/>
        <v>0</v>
      </c>
      <c r="X419" s="90">
        <f t="shared" si="436"/>
        <v>0</v>
      </c>
      <c r="Y419" s="90">
        <f t="shared" si="437"/>
        <v>0</v>
      </c>
      <c r="Z419" s="90">
        <f t="shared" si="438"/>
        <v>0</v>
      </c>
      <c r="AA419" s="90">
        <f t="shared" si="439"/>
        <v>0</v>
      </c>
      <c r="AB419" s="90">
        <f t="shared" si="440"/>
        <v>0</v>
      </c>
      <c r="AC419" s="90">
        <f t="shared" si="441"/>
        <v>0</v>
      </c>
      <c r="AD419" s="90">
        <f t="shared" si="442"/>
        <v>0</v>
      </c>
      <c r="AE419" s="90"/>
      <c r="AF419" s="90">
        <f t="shared" si="443"/>
        <v>0</v>
      </c>
      <c r="AG419" s="90"/>
      <c r="AH419" s="90">
        <f t="shared" si="444"/>
        <v>0</v>
      </c>
      <c r="AI419" s="90"/>
      <c r="AJ419" s="90">
        <f t="shared" si="445"/>
        <v>0</v>
      </c>
      <c r="AK419" s="90">
        <f t="shared" si="446"/>
        <v>393950</v>
      </c>
      <c r="AL419" s="87" t="str">
        <f t="shared" si="447"/>
        <v>ok</v>
      </c>
    </row>
    <row r="420" spans="1:38" x14ac:dyDescent="0.5">
      <c r="A420" s="86">
        <v>570</v>
      </c>
      <c r="B420" s="86" t="s">
        <v>455</v>
      </c>
      <c r="C420" s="86" t="s">
        <v>967</v>
      </c>
      <c r="D420" s="322" t="s">
        <v>469</v>
      </c>
      <c r="E420" s="45"/>
      <c r="F420" s="90">
        <f>'Jurisdictional Study'!F1391</f>
        <v>0</v>
      </c>
      <c r="G420" s="89"/>
      <c r="H420" s="90">
        <f t="shared" si="422"/>
        <v>0</v>
      </c>
      <c r="I420" s="90">
        <f t="shared" si="423"/>
        <v>0</v>
      </c>
      <c r="J420" s="90">
        <f t="shared" si="424"/>
        <v>0</v>
      </c>
      <c r="K420" s="90">
        <f t="shared" si="425"/>
        <v>0</v>
      </c>
      <c r="L420" s="90">
        <f t="shared" si="426"/>
        <v>0</v>
      </c>
      <c r="M420" s="90">
        <f t="shared" si="427"/>
        <v>0</v>
      </c>
      <c r="N420" s="90"/>
      <c r="O420" s="90">
        <f t="shared" si="428"/>
        <v>0</v>
      </c>
      <c r="P420" s="90">
        <f t="shared" si="429"/>
        <v>0</v>
      </c>
      <c r="Q420" s="90">
        <f t="shared" si="430"/>
        <v>0</v>
      </c>
      <c r="R420" s="90"/>
      <c r="S420" s="90">
        <f t="shared" si="431"/>
        <v>0</v>
      </c>
      <c r="T420" s="90">
        <f t="shared" si="432"/>
        <v>0</v>
      </c>
      <c r="U420" s="90">
        <f t="shared" si="433"/>
        <v>0</v>
      </c>
      <c r="V420" s="90">
        <f t="shared" si="434"/>
        <v>0</v>
      </c>
      <c r="W420" s="90">
        <f t="shared" si="435"/>
        <v>0</v>
      </c>
      <c r="X420" s="90">
        <f t="shared" si="436"/>
        <v>0</v>
      </c>
      <c r="Y420" s="90">
        <f t="shared" si="437"/>
        <v>0</v>
      </c>
      <c r="Z420" s="90">
        <f t="shared" si="438"/>
        <v>0</v>
      </c>
      <c r="AA420" s="90">
        <f t="shared" si="439"/>
        <v>0</v>
      </c>
      <c r="AB420" s="90">
        <f t="shared" si="440"/>
        <v>0</v>
      </c>
      <c r="AC420" s="90">
        <f t="shared" si="441"/>
        <v>0</v>
      </c>
      <c r="AD420" s="90">
        <f t="shared" si="442"/>
        <v>0</v>
      </c>
      <c r="AE420" s="90"/>
      <c r="AF420" s="90">
        <f t="shared" si="443"/>
        <v>0</v>
      </c>
      <c r="AG420" s="90"/>
      <c r="AH420" s="90">
        <f t="shared" si="444"/>
        <v>0</v>
      </c>
      <c r="AI420" s="90"/>
      <c r="AJ420" s="90">
        <f t="shared" si="445"/>
        <v>0</v>
      </c>
      <c r="AK420" s="90">
        <f t="shared" si="446"/>
        <v>0</v>
      </c>
      <c r="AL420" s="87" t="str">
        <f t="shared" si="447"/>
        <v>ok</v>
      </c>
    </row>
    <row r="421" spans="1:38" x14ac:dyDescent="0.5">
      <c r="A421" s="86">
        <v>571</v>
      </c>
      <c r="B421" s="86" t="s">
        <v>456</v>
      </c>
      <c r="C421" s="86" t="s">
        <v>968</v>
      </c>
      <c r="D421" s="322" t="s">
        <v>469</v>
      </c>
      <c r="E421" s="45"/>
      <c r="F421" s="90">
        <f>'Jurisdictional Study'!F1392</f>
        <v>0</v>
      </c>
      <c r="G421" s="89"/>
      <c r="H421" s="90">
        <f t="shared" si="422"/>
        <v>0</v>
      </c>
      <c r="I421" s="90">
        <f t="shared" si="423"/>
        <v>0</v>
      </c>
      <c r="J421" s="90">
        <f t="shared" si="424"/>
        <v>0</v>
      </c>
      <c r="K421" s="90">
        <f t="shared" si="425"/>
        <v>0</v>
      </c>
      <c r="L421" s="90">
        <f t="shared" si="426"/>
        <v>0</v>
      </c>
      <c r="M421" s="90">
        <f t="shared" si="427"/>
        <v>0</v>
      </c>
      <c r="N421" s="90"/>
      <c r="O421" s="90">
        <f t="shared" si="428"/>
        <v>0</v>
      </c>
      <c r="P421" s="90">
        <f t="shared" si="429"/>
        <v>0</v>
      </c>
      <c r="Q421" s="90">
        <f t="shared" si="430"/>
        <v>0</v>
      </c>
      <c r="R421" s="90"/>
      <c r="S421" s="90">
        <f t="shared" si="431"/>
        <v>0</v>
      </c>
      <c r="T421" s="90">
        <f t="shared" si="432"/>
        <v>0</v>
      </c>
      <c r="U421" s="90">
        <f t="shared" si="433"/>
        <v>0</v>
      </c>
      <c r="V421" s="90">
        <f t="shared" si="434"/>
        <v>0</v>
      </c>
      <c r="W421" s="90">
        <f t="shared" si="435"/>
        <v>0</v>
      </c>
      <c r="X421" s="90">
        <f t="shared" si="436"/>
        <v>0</v>
      </c>
      <c r="Y421" s="90">
        <f t="shared" si="437"/>
        <v>0</v>
      </c>
      <c r="Z421" s="90">
        <f t="shared" si="438"/>
        <v>0</v>
      </c>
      <c r="AA421" s="90">
        <f t="shared" si="439"/>
        <v>0</v>
      </c>
      <c r="AB421" s="90">
        <f t="shared" si="440"/>
        <v>0</v>
      </c>
      <c r="AC421" s="90">
        <f t="shared" si="441"/>
        <v>0</v>
      </c>
      <c r="AD421" s="90">
        <f t="shared" si="442"/>
        <v>0</v>
      </c>
      <c r="AE421" s="90"/>
      <c r="AF421" s="90">
        <f t="shared" si="443"/>
        <v>0</v>
      </c>
      <c r="AG421" s="90"/>
      <c r="AH421" s="90">
        <f t="shared" si="444"/>
        <v>0</v>
      </c>
      <c r="AI421" s="90"/>
      <c r="AJ421" s="90">
        <f t="shared" si="445"/>
        <v>0</v>
      </c>
      <c r="AK421" s="90">
        <f>SUM(H421:AJ421)</f>
        <v>0</v>
      </c>
      <c r="AL421" s="87" t="str">
        <f>IF(ABS(AK421-F421)&lt;1,"ok","err")</f>
        <v>ok</v>
      </c>
    </row>
    <row r="422" spans="1:38" x14ac:dyDescent="0.5">
      <c r="A422" s="86">
        <v>572</v>
      </c>
      <c r="B422" s="86" t="s">
        <v>1544</v>
      </c>
      <c r="C422" s="86" t="s">
        <v>1757</v>
      </c>
      <c r="D422" s="322" t="s">
        <v>469</v>
      </c>
      <c r="E422" s="45"/>
      <c r="F422" s="90">
        <f>'Jurisdictional Study'!F1393</f>
        <v>1126679</v>
      </c>
      <c r="G422" s="89"/>
      <c r="H422" s="90">
        <f t="shared" si="422"/>
        <v>0</v>
      </c>
      <c r="I422" s="90">
        <f t="shared" si="423"/>
        <v>0</v>
      </c>
      <c r="J422" s="90">
        <f t="shared" si="424"/>
        <v>0</v>
      </c>
      <c r="K422" s="90">
        <f t="shared" si="425"/>
        <v>0</v>
      </c>
      <c r="L422" s="90">
        <f t="shared" si="426"/>
        <v>0</v>
      </c>
      <c r="M422" s="90">
        <f t="shared" si="427"/>
        <v>0</v>
      </c>
      <c r="N422" s="90"/>
      <c r="O422" s="90">
        <f t="shared" si="428"/>
        <v>1126679</v>
      </c>
      <c r="P422" s="90">
        <f t="shared" si="429"/>
        <v>0</v>
      </c>
      <c r="Q422" s="90">
        <f t="shared" si="430"/>
        <v>0</v>
      </c>
      <c r="R422" s="90"/>
      <c r="S422" s="90">
        <f t="shared" si="431"/>
        <v>0</v>
      </c>
      <c r="T422" s="90">
        <f t="shared" si="432"/>
        <v>0</v>
      </c>
      <c r="U422" s="90">
        <f t="shared" si="433"/>
        <v>0</v>
      </c>
      <c r="V422" s="90">
        <f t="shared" si="434"/>
        <v>0</v>
      </c>
      <c r="W422" s="90">
        <f t="shared" si="435"/>
        <v>0</v>
      </c>
      <c r="X422" s="90">
        <f t="shared" si="436"/>
        <v>0</v>
      </c>
      <c r="Y422" s="90">
        <f t="shared" si="437"/>
        <v>0</v>
      </c>
      <c r="Z422" s="90">
        <f t="shared" si="438"/>
        <v>0</v>
      </c>
      <c r="AA422" s="90">
        <f t="shared" si="439"/>
        <v>0</v>
      </c>
      <c r="AB422" s="90">
        <f t="shared" si="440"/>
        <v>0</v>
      </c>
      <c r="AC422" s="90">
        <f t="shared" si="441"/>
        <v>0</v>
      </c>
      <c r="AD422" s="90">
        <f t="shared" si="442"/>
        <v>0</v>
      </c>
      <c r="AE422" s="90"/>
      <c r="AF422" s="90">
        <f t="shared" si="443"/>
        <v>0</v>
      </c>
      <c r="AG422" s="90"/>
      <c r="AH422" s="90">
        <f t="shared" si="444"/>
        <v>0</v>
      </c>
      <c r="AI422" s="90"/>
      <c r="AJ422" s="90">
        <f t="shared" si="445"/>
        <v>0</v>
      </c>
      <c r="AK422" s="90">
        <f>SUM(H422:AJ422)</f>
        <v>1126679</v>
      </c>
      <c r="AL422" s="87" t="str">
        <f>IF(ABS(AK422-F422)&lt;1,"ok","err")</f>
        <v>ok</v>
      </c>
    </row>
    <row r="423" spans="1:38" x14ac:dyDescent="0.5">
      <c r="A423" s="86">
        <v>573</v>
      </c>
      <c r="B423" s="86" t="s">
        <v>1546</v>
      </c>
      <c r="C423" s="86" t="s">
        <v>1758</v>
      </c>
      <c r="D423" s="322" t="s">
        <v>469</v>
      </c>
      <c r="E423" s="45"/>
      <c r="F423" s="90">
        <f>'Jurisdictional Study'!F1394</f>
        <v>309102</v>
      </c>
      <c r="G423" s="89"/>
      <c r="H423" s="90">
        <f t="shared" si="422"/>
        <v>0</v>
      </c>
      <c r="I423" s="90">
        <f t="shared" si="423"/>
        <v>0</v>
      </c>
      <c r="J423" s="90">
        <f t="shared" si="424"/>
        <v>0</v>
      </c>
      <c r="K423" s="90">
        <f t="shared" si="425"/>
        <v>0</v>
      </c>
      <c r="L423" s="90">
        <f t="shared" si="426"/>
        <v>0</v>
      </c>
      <c r="M423" s="90">
        <f t="shared" si="427"/>
        <v>0</v>
      </c>
      <c r="N423" s="90"/>
      <c r="O423" s="90">
        <f t="shared" si="428"/>
        <v>309102</v>
      </c>
      <c r="P423" s="90">
        <f t="shared" si="429"/>
        <v>0</v>
      </c>
      <c r="Q423" s="90">
        <f t="shared" si="430"/>
        <v>0</v>
      </c>
      <c r="R423" s="90"/>
      <c r="S423" s="90">
        <f t="shared" si="431"/>
        <v>0</v>
      </c>
      <c r="T423" s="90">
        <f t="shared" si="432"/>
        <v>0</v>
      </c>
      <c r="U423" s="90">
        <f t="shared" si="433"/>
        <v>0</v>
      </c>
      <c r="V423" s="90">
        <f t="shared" si="434"/>
        <v>0</v>
      </c>
      <c r="W423" s="90">
        <f t="shared" si="435"/>
        <v>0</v>
      </c>
      <c r="X423" s="90">
        <f t="shared" si="436"/>
        <v>0</v>
      </c>
      <c r="Y423" s="90">
        <f t="shared" si="437"/>
        <v>0</v>
      </c>
      <c r="Z423" s="90">
        <f t="shared" si="438"/>
        <v>0</v>
      </c>
      <c r="AA423" s="90">
        <f t="shared" si="439"/>
        <v>0</v>
      </c>
      <c r="AB423" s="90">
        <f t="shared" si="440"/>
        <v>0</v>
      </c>
      <c r="AC423" s="90">
        <f t="shared" si="441"/>
        <v>0</v>
      </c>
      <c r="AD423" s="90">
        <f t="shared" si="442"/>
        <v>0</v>
      </c>
      <c r="AE423" s="90"/>
      <c r="AF423" s="90">
        <f t="shared" si="443"/>
        <v>0</v>
      </c>
      <c r="AG423" s="90"/>
      <c r="AH423" s="90">
        <f t="shared" si="444"/>
        <v>0</v>
      </c>
      <c r="AI423" s="90"/>
      <c r="AJ423" s="90">
        <f t="shared" si="445"/>
        <v>0</v>
      </c>
      <c r="AK423" s="90">
        <f t="shared" si="446"/>
        <v>309102</v>
      </c>
      <c r="AL423" s="87" t="str">
        <f t="shared" si="447"/>
        <v>ok</v>
      </c>
    </row>
    <row r="424" spans="1:38" x14ac:dyDescent="0.5">
      <c r="D424" s="322"/>
      <c r="E424" s="45"/>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90"/>
      <c r="AL424" s="87"/>
    </row>
    <row r="425" spans="1:38" x14ac:dyDescent="0.5">
      <c r="A425" s="86" t="s">
        <v>1020</v>
      </c>
      <c r="C425" s="86" t="s">
        <v>713</v>
      </c>
      <c r="D425" s="322"/>
      <c r="E425" s="45"/>
      <c r="F425" s="91">
        <f>SUM(F414:F424)</f>
        <v>7981123</v>
      </c>
      <c r="G425" s="91">
        <f>SUM(G414:G423)</f>
        <v>0</v>
      </c>
      <c r="H425" s="91">
        <f t="shared" ref="H425:M425" si="448">SUM(H414:H424)</f>
        <v>0</v>
      </c>
      <c r="I425" s="91">
        <f t="shared" si="448"/>
        <v>0</v>
      </c>
      <c r="J425" s="91">
        <f t="shared" si="448"/>
        <v>0</v>
      </c>
      <c r="K425" s="91">
        <f t="shared" si="448"/>
        <v>0</v>
      </c>
      <c r="L425" s="91">
        <f t="shared" si="448"/>
        <v>0</v>
      </c>
      <c r="M425" s="91">
        <f t="shared" si="448"/>
        <v>0</v>
      </c>
      <c r="N425" s="90"/>
      <c r="O425" s="91">
        <f>SUM(O414:O424)</f>
        <v>7981123</v>
      </c>
      <c r="P425" s="91">
        <f>SUM(P414:P424)</f>
        <v>0</v>
      </c>
      <c r="Q425" s="91">
        <f>SUM(Q414:Q424)</f>
        <v>0</v>
      </c>
      <c r="R425" s="90"/>
      <c r="S425" s="91">
        <f t="shared" ref="S425:AD425" si="449">SUM(S414:S424)</f>
        <v>0</v>
      </c>
      <c r="T425" s="91">
        <f t="shared" si="449"/>
        <v>0</v>
      </c>
      <c r="U425" s="91">
        <f t="shared" si="449"/>
        <v>0</v>
      </c>
      <c r="V425" s="91">
        <f t="shared" si="449"/>
        <v>0</v>
      </c>
      <c r="W425" s="91">
        <f t="shared" si="449"/>
        <v>0</v>
      </c>
      <c r="X425" s="91">
        <f t="shared" si="449"/>
        <v>0</v>
      </c>
      <c r="Y425" s="91">
        <f t="shared" si="449"/>
        <v>0</v>
      </c>
      <c r="Z425" s="91">
        <f t="shared" si="449"/>
        <v>0</v>
      </c>
      <c r="AA425" s="91">
        <f t="shared" si="449"/>
        <v>0</v>
      </c>
      <c r="AB425" s="91">
        <f t="shared" si="449"/>
        <v>0</v>
      </c>
      <c r="AC425" s="91">
        <f t="shared" si="449"/>
        <v>0</v>
      </c>
      <c r="AD425" s="91">
        <f t="shared" si="449"/>
        <v>0</v>
      </c>
      <c r="AE425" s="90"/>
      <c r="AF425" s="91">
        <f>SUM(AF414:AF424)</f>
        <v>0</v>
      </c>
      <c r="AG425" s="90"/>
      <c r="AH425" s="91">
        <f>SUM(AH414:AH424)</f>
        <v>0</v>
      </c>
      <c r="AI425" s="90"/>
      <c r="AJ425" s="91">
        <f>SUM(AJ414:AJ424)</f>
        <v>0</v>
      </c>
      <c r="AK425" s="89">
        <f>SUM(H425:AJ425)</f>
        <v>7981123</v>
      </c>
      <c r="AL425" s="87" t="str">
        <f>IF(ABS(AK425-F425)&lt;1,"ok","err")</f>
        <v>ok</v>
      </c>
    </row>
    <row r="426" spans="1:38" x14ac:dyDescent="0.5">
      <c r="D426" s="322"/>
      <c r="E426" s="45"/>
      <c r="Y426" s="86"/>
      <c r="AL426" s="87"/>
    </row>
    <row r="427" spans="1:38" x14ac:dyDescent="0.5">
      <c r="A427" s="23" t="s">
        <v>1022</v>
      </c>
      <c r="D427" s="322"/>
      <c r="E427" s="45"/>
      <c r="Y427" s="86"/>
      <c r="AL427" s="87"/>
    </row>
    <row r="428" spans="1:38" x14ac:dyDescent="0.5">
      <c r="A428" s="86">
        <v>580</v>
      </c>
      <c r="B428" s="86" t="s">
        <v>781</v>
      </c>
      <c r="C428" s="86" t="s">
        <v>969</v>
      </c>
      <c r="D428" s="322" t="s">
        <v>721</v>
      </c>
      <c r="E428" s="45"/>
      <c r="F428" s="89">
        <f>'Jurisdictional Study'!F1401</f>
        <v>1268655</v>
      </c>
      <c r="H428" s="90">
        <f t="shared" ref="H428:H438" si="450">IF(VLOOKUP($D428,$C$5:$AJ$596,6,)=0,0,((VLOOKUP($D428,$C$5:$AJ$596,6,)/VLOOKUP($D428,$C$5:$AJ$596,4,))*$F428))</f>
        <v>0</v>
      </c>
      <c r="I428" s="90">
        <f t="shared" ref="I428:I438" si="451">IF(VLOOKUP($D428,$C$5:$AJ$596,7,)=0,0,((VLOOKUP($D428,$C$5:$AJ$596,7,)/VLOOKUP($D428,$C$5:$AJ$596,4,))*$F428))</f>
        <v>0</v>
      </c>
      <c r="J428" s="90">
        <f t="shared" ref="J428:J438" si="452">IF(VLOOKUP($D428,$C$5:$AJ$596,8,)=0,0,((VLOOKUP($D428,$C$5:$AJ$596,8,)/VLOOKUP($D428,$C$5:$AJ$596,4,))*$F428))</f>
        <v>0</v>
      </c>
      <c r="K428" s="90">
        <f t="shared" ref="K428:K438" si="453">IF(VLOOKUP($D428,$C$5:$AJ$596,9,)=0,0,((VLOOKUP($D428,$C$5:$AJ$596,9,)/VLOOKUP($D428,$C$5:$AJ$596,4,))*$F428))</f>
        <v>0</v>
      </c>
      <c r="L428" s="90">
        <f t="shared" ref="L428:L438" si="454">IF(VLOOKUP($D428,$C$5:$AJ$596,10,)=0,0,((VLOOKUP($D428,$C$5:$AJ$596,10,)/VLOOKUP($D428,$C$5:$AJ$596,4,))*$F428))</f>
        <v>0</v>
      </c>
      <c r="M428" s="90">
        <f t="shared" ref="M428:M438" si="455">IF(VLOOKUP($D428,$C$5:$AJ$596,11,)=0,0,((VLOOKUP($D428,$C$5:$AJ$596,11,)/VLOOKUP($D428,$C$5:$AJ$596,4,))*$F428))</f>
        <v>0</v>
      </c>
      <c r="N428" s="90"/>
      <c r="O428" s="90">
        <f t="shared" ref="O428:O438" si="456">IF(VLOOKUP($D428,$C$5:$AJ$596,13,)=0,0,((VLOOKUP($D428,$C$5:$AJ$596,13,)/VLOOKUP($D428,$C$5:$AJ$596,4,))*$F428))</f>
        <v>0</v>
      </c>
      <c r="P428" s="90">
        <f t="shared" ref="P428:P438" si="457">IF(VLOOKUP($D428,$C$5:$AJ$596,14,)=0,0,((VLOOKUP($D428,$C$5:$AJ$596,14,)/VLOOKUP($D428,$C$5:$AJ$596,4,))*$F428))</f>
        <v>0</v>
      </c>
      <c r="Q428" s="90">
        <f t="shared" ref="Q428:Q438" si="458">IF(VLOOKUP($D428,$C$5:$AJ$596,15,)=0,0,((VLOOKUP($D428,$C$5:$AJ$596,15,)/VLOOKUP($D428,$C$5:$AJ$596,4,))*$F428))</f>
        <v>0</v>
      </c>
      <c r="R428" s="90"/>
      <c r="S428" s="90">
        <f t="shared" ref="S428:S438" si="459">IF(VLOOKUP($D428,$C$5:$AJ$596,17,)=0,0,((VLOOKUP($D428,$C$5:$AJ$596,17,)/VLOOKUP($D428,$C$5:$AJ$596,4,))*$F428))</f>
        <v>0</v>
      </c>
      <c r="T428" s="90">
        <f t="shared" ref="T428:T438" si="460">IF(VLOOKUP($D428,$C$5:$AJ$596,18,)=0,0,((VLOOKUP($D428,$C$5:$AJ$596,18,)/VLOOKUP($D428,$C$5:$AJ$596,4,))*$F428))</f>
        <v>197594.39731390012</v>
      </c>
      <c r="U428" s="90">
        <f t="shared" ref="U428:U438" si="461">IF(VLOOKUP($D428,$C$5:$AJ$596,19,)=0,0,((VLOOKUP($D428,$C$5:$AJ$596,19,)/VLOOKUP($D428,$C$5:$AJ$596,4,))*$F428))</f>
        <v>0</v>
      </c>
      <c r="V428" s="90">
        <f t="shared" ref="V428:V438" si="462">IF(VLOOKUP($D428,$C$5:$AJ$596,20,)=0,0,((VLOOKUP($D428,$C$5:$AJ$596,20,)/VLOOKUP($D428,$C$5:$AJ$596,4,))*$F428))</f>
        <v>116755.70937912453</v>
      </c>
      <c r="W428" s="90">
        <f t="shared" ref="W428:W438" si="463">IF(VLOOKUP($D428,$C$5:$AJ$596,21,)=0,0,((VLOOKUP($D428,$C$5:$AJ$596,21,)/VLOOKUP($D428,$C$5:$AJ$596,4,))*$F428))</f>
        <v>214361.39848786982</v>
      </c>
      <c r="X428" s="90">
        <f t="shared" ref="X428:X438" si="464">IF(VLOOKUP($D428,$C$5:$AJ$596,22,)=0,0,((VLOOKUP($D428,$C$5:$AJ$596,22,)/VLOOKUP($D428,$C$5:$AJ$596,4,))*$F428))</f>
        <v>50105.33298623193</v>
      </c>
      <c r="Y428" s="90">
        <f t="shared" ref="Y428:Y438" si="465">IF(VLOOKUP($D428,$C$5:$AJ$596,23,)=0,0,((VLOOKUP($D428,$C$5:$AJ$596,23,)/VLOOKUP($D428,$C$5:$AJ$596,4,))*$F428))</f>
        <v>93531.275482374214</v>
      </c>
      <c r="Z428" s="90">
        <f t="shared" ref="Z428:Z438" si="466">IF(VLOOKUP($D428,$C$5:$AJ$596,24,)=0,0,((VLOOKUP($D428,$C$5:$AJ$596,24,)/VLOOKUP($D428,$C$5:$AJ$596,4,))*$F428))</f>
        <v>25001.991298545941</v>
      </c>
      <c r="AA428" s="90">
        <f t="shared" ref="AA428:AA438" si="467">IF(VLOOKUP($D428,$C$5:$AJ$596,25,)=0,0,((VLOOKUP($D428,$C$5:$AJ$596,25,)/VLOOKUP($D428,$C$5:$AJ$596,4,))*$F428))</f>
        <v>20772.329458743821</v>
      </c>
      <c r="AB428" s="90">
        <f t="shared" ref="AB428:AB438" si="468">IF(VLOOKUP($D428,$C$5:$AJ$596,26,)=0,0,((VLOOKUP($D428,$C$5:$AJ$596,26,)/VLOOKUP($D428,$C$5:$AJ$596,4,))*$F428))</f>
        <v>17513.71493244675</v>
      </c>
      <c r="AC428" s="90">
        <f t="shared" ref="AC428:AC438" si="469">IF(VLOOKUP($D428,$C$5:$AJ$596,27,)=0,0,((VLOOKUP($D428,$C$5:$AJ$596,27,)/VLOOKUP($D428,$C$5:$AJ$596,4,))*$F428))</f>
        <v>512962.03566651262</v>
      </c>
      <c r="AD428" s="90">
        <f t="shared" ref="AD428:AD438" si="470">IF(VLOOKUP($D428,$C$5:$AJ$596,28,)=0,0,((VLOOKUP($D428,$C$5:$AJ$596,28,)/VLOOKUP($D428,$C$5:$AJ$596,4,))*$F428))</f>
        <v>20056.814994250195</v>
      </c>
      <c r="AE428" s="90"/>
      <c r="AF428" s="90">
        <f t="shared" ref="AF428:AF438" si="471">IF(VLOOKUP($D428,$C$5:$AJ$596,30,)=0,0,((VLOOKUP($D428,$C$5:$AJ$596,30,)/VLOOKUP($D428,$C$5:$AJ$596,4,))*$F428))</f>
        <v>0</v>
      </c>
      <c r="AG428" s="90"/>
      <c r="AH428" s="90">
        <f t="shared" ref="AH428:AH438" si="472">IF(VLOOKUP($D428,$C$5:$AJ$596,32,)=0,0,((VLOOKUP($D428,$C$5:$AJ$596,32,)/VLOOKUP($D428,$C$5:$AJ$596,4,))*$F428))</f>
        <v>0</v>
      </c>
      <c r="AI428" s="90"/>
      <c r="AJ428" s="90">
        <f t="shared" ref="AJ428:AJ438" si="473">IF(VLOOKUP($D428,$C$5:$AJ$596,34,)=0,0,((VLOOKUP($D428,$C$5:$AJ$596,34,)/VLOOKUP($D428,$C$5:$AJ$596,4,))*$F428))</f>
        <v>0</v>
      </c>
      <c r="AK428" s="90">
        <f t="shared" ref="AK428:AK438" si="474">SUM(H428:AJ428)</f>
        <v>1268654.9999999998</v>
      </c>
      <c r="AL428" s="87" t="str">
        <f t="shared" ref="AL428:AL438" si="475">IF(ABS(AK428-F428)&lt;1,"ok","err")</f>
        <v>ok</v>
      </c>
    </row>
    <row r="429" spans="1:38" x14ac:dyDescent="0.5">
      <c r="A429" s="86">
        <v>581</v>
      </c>
      <c r="B429" s="86" t="s">
        <v>783</v>
      </c>
      <c r="C429" s="86" t="s">
        <v>970</v>
      </c>
      <c r="D429" s="322" t="s">
        <v>113</v>
      </c>
      <c r="E429" s="45"/>
      <c r="F429" s="90">
        <f>'Jurisdictional Study'!F1402</f>
        <v>335815</v>
      </c>
      <c r="H429" s="90">
        <f t="shared" si="450"/>
        <v>0</v>
      </c>
      <c r="I429" s="90">
        <f t="shared" si="451"/>
        <v>0</v>
      </c>
      <c r="J429" s="90">
        <f t="shared" si="452"/>
        <v>0</v>
      </c>
      <c r="K429" s="90">
        <f t="shared" si="453"/>
        <v>0</v>
      </c>
      <c r="L429" s="90">
        <f t="shared" si="454"/>
        <v>0</v>
      </c>
      <c r="M429" s="90">
        <f t="shared" si="455"/>
        <v>0</v>
      </c>
      <c r="N429" s="90"/>
      <c r="O429" s="90">
        <f t="shared" si="456"/>
        <v>0</v>
      </c>
      <c r="P429" s="90">
        <f t="shared" si="457"/>
        <v>0</v>
      </c>
      <c r="Q429" s="90">
        <f t="shared" si="458"/>
        <v>0</v>
      </c>
      <c r="R429" s="90"/>
      <c r="S429" s="90">
        <f t="shared" si="459"/>
        <v>0</v>
      </c>
      <c r="T429" s="90">
        <f t="shared" si="460"/>
        <v>335815</v>
      </c>
      <c r="U429" s="90">
        <f t="shared" si="461"/>
        <v>0</v>
      </c>
      <c r="V429" s="90">
        <f t="shared" si="462"/>
        <v>0</v>
      </c>
      <c r="W429" s="90">
        <f t="shared" si="463"/>
        <v>0</v>
      </c>
      <c r="X429" s="90">
        <f t="shared" si="464"/>
        <v>0</v>
      </c>
      <c r="Y429" s="90">
        <f t="shared" si="465"/>
        <v>0</v>
      </c>
      <c r="Z429" s="90">
        <f t="shared" si="466"/>
        <v>0</v>
      </c>
      <c r="AA429" s="90">
        <f t="shared" si="467"/>
        <v>0</v>
      </c>
      <c r="AB429" s="90">
        <f t="shared" si="468"/>
        <v>0</v>
      </c>
      <c r="AC429" s="90">
        <f t="shared" si="469"/>
        <v>0</v>
      </c>
      <c r="AD429" s="90">
        <f t="shared" si="470"/>
        <v>0</v>
      </c>
      <c r="AE429" s="90"/>
      <c r="AF429" s="90">
        <f t="shared" si="471"/>
        <v>0</v>
      </c>
      <c r="AG429" s="90"/>
      <c r="AH429" s="90">
        <f t="shared" si="472"/>
        <v>0</v>
      </c>
      <c r="AI429" s="90"/>
      <c r="AJ429" s="90">
        <f t="shared" si="473"/>
        <v>0</v>
      </c>
      <c r="AK429" s="90">
        <f t="shared" si="474"/>
        <v>335815</v>
      </c>
      <c r="AL429" s="87" t="str">
        <f t="shared" si="475"/>
        <v>ok</v>
      </c>
    </row>
    <row r="430" spans="1:38" x14ac:dyDescent="0.5">
      <c r="A430" s="86">
        <v>582</v>
      </c>
      <c r="B430" s="86" t="s">
        <v>452</v>
      </c>
      <c r="C430" s="86" t="s">
        <v>971</v>
      </c>
      <c r="D430" s="322" t="s">
        <v>113</v>
      </c>
      <c r="E430" s="45"/>
      <c r="F430" s="90">
        <f>'Jurisdictional Study'!F1403</f>
        <v>1155025</v>
      </c>
      <c r="H430" s="90">
        <f t="shared" si="450"/>
        <v>0</v>
      </c>
      <c r="I430" s="90">
        <f t="shared" si="451"/>
        <v>0</v>
      </c>
      <c r="J430" s="90">
        <f t="shared" si="452"/>
        <v>0</v>
      </c>
      <c r="K430" s="90">
        <f t="shared" si="453"/>
        <v>0</v>
      </c>
      <c r="L430" s="90">
        <f t="shared" si="454"/>
        <v>0</v>
      </c>
      <c r="M430" s="90">
        <f t="shared" si="455"/>
        <v>0</v>
      </c>
      <c r="N430" s="90"/>
      <c r="O430" s="90">
        <f t="shared" si="456"/>
        <v>0</v>
      </c>
      <c r="P430" s="90">
        <f t="shared" si="457"/>
        <v>0</v>
      </c>
      <c r="Q430" s="90">
        <f t="shared" si="458"/>
        <v>0</v>
      </c>
      <c r="R430" s="90"/>
      <c r="S430" s="90">
        <f t="shared" si="459"/>
        <v>0</v>
      </c>
      <c r="T430" s="90">
        <f t="shared" si="460"/>
        <v>1155025</v>
      </c>
      <c r="U430" s="90">
        <f t="shared" si="461"/>
        <v>0</v>
      </c>
      <c r="V430" s="90">
        <f t="shared" si="462"/>
        <v>0</v>
      </c>
      <c r="W430" s="90">
        <f t="shared" si="463"/>
        <v>0</v>
      </c>
      <c r="X430" s="90">
        <f t="shared" si="464"/>
        <v>0</v>
      </c>
      <c r="Y430" s="90">
        <f t="shared" si="465"/>
        <v>0</v>
      </c>
      <c r="Z430" s="90">
        <f t="shared" si="466"/>
        <v>0</v>
      </c>
      <c r="AA430" s="90">
        <f t="shared" si="467"/>
        <v>0</v>
      </c>
      <c r="AB430" s="90">
        <f t="shared" si="468"/>
        <v>0</v>
      </c>
      <c r="AC430" s="90">
        <f t="shared" si="469"/>
        <v>0</v>
      </c>
      <c r="AD430" s="90">
        <f t="shared" si="470"/>
        <v>0</v>
      </c>
      <c r="AE430" s="90"/>
      <c r="AF430" s="90">
        <f t="shared" si="471"/>
        <v>0</v>
      </c>
      <c r="AG430" s="90"/>
      <c r="AH430" s="90">
        <f t="shared" si="472"/>
        <v>0</v>
      </c>
      <c r="AI430" s="90"/>
      <c r="AJ430" s="90">
        <f t="shared" si="473"/>
        <v>0</v>
      </c>
      <c r="AK430" s="90">
        <f t="shared" si="474"/>
        <v>1155025</v>
      </c>
      <c r="AL430" s="87" t="str">
        <f t="shared" si="475"/>
        <v>ok</v>
      </c>
    </row>
    <row r="431" spans="1:38" x14ac:dyDescent="0.5">
      <c r="A431" s="86">
        <v>583</v>
      </c>
      <c r="B431" s="86" t="s">
        <v>785</v>
      </c>
      <c r="C431" s="86" t="s">
        <v>972</v>
      </c>
      <c r="D431" s="322" t="s">
        <v>116</v>
      </c>
      <c r="E431" s="45"/>
      <c r="F431" s="90">
        <f>'Jurisdictional Study'!F1404</f>
        <v>3066624</v>
      </c>
      <c r="H431" s="90">
        <f t="shared" si="450"/>
        <v>0</v>
      </c>
      <c r="I431" s="90">
        <f t="shared" si="451"/>
        <v>0</v>
      </c>
      <c r="J431" s="90">
        <f t="shared" si="452"/>
        <v>0</v>
      </c>
      <c r="K431" s="90">
        <f t="shared" si="453"/>
        <v>0</v>
      </c>
      <c r="L431" s="90">
        <f t="shared" si="454"/>
        <v>0</v>
      </c>
      <c r="M431" s="90">
        <f t="shared" si="455"/>
        <v>0</v>
      </c>
      <c r="N431" s="90"/>
      <c r="O431" s="90">
        <f t="shared" si="456"/>
        <v>0</v>
      </c>
      <c r="P431" s="90">
        <f t="shared" si="457"/>
        <v>0</v>
      </c>
      <c r="Q431" s="90">
        <f t="shared" si="458"/>
        <v>0</v>
      </c>
      <c r="R431" s="90"/>
      <c r="S431" s="90">
        <f t="shared" si="459"/>
        <v>0</v>
      </c>
      <c r="T431" s="90">
        <f t="shared" si="460"/>
        <v>0</v>
      </c>
      <c r="U431" s="90">
        <f t="shared" si="461"/>
        <v>0</v>
      </c>
      <c r="V431" s="90">
        <f t="shared" si="462"/>
        <v>778967.08471296006</v>
      </c>
      <c r="W431" s="90">
        <f t="shared" si="463"/>
        <v>1384229.48488704</v>
      </c>
      <c r="X431" s="90">
        <f t="shared" si="464"/>
        <v>325324.21768703993</v>
      </c>
      <c r="Y431" s="90">
        <f t="shared" si="465"/>
        <v>578103.21271295997</v>
      </c>
      <c r="Z431" s="90">
        <f t="shared" si="466"/>
        <v>0</v>
      </c>
      <c r="AA431" s="90">
        <f t="shared" si="467"/>
        <v>0</v>
      </c>
      <c r="AB431" s="90">
        <f t="shared" si="468"/>
        <v>0</v>
      </c>
      <c r="AC431" s="90">
        <f t="shared" si="469"/>
        <v>0</v>
      </c>
      <c r="AD431" s="90">
        <f t="shared" si="470"/>
        <v>0</v>
      </c>
      <c r="AE431" s="90"/>
      <c r="AF431" s="90">
        <f t="shared" si="471"/>
        <v>0</v>
      </c>
      <c r="AG431" s="90"/>
      <c r="AH431" s="90">
        <f t="shared" si="472"/>
        <v>0</v>
      </c>
      <c r="AI431" s="90"/>
      <c r="AJ431" s="90">
        <f t="shared" si="473"/>
        <v>0</v>
      </c>
      <c r="AK431" s="90">
        <f t="shared" si="474"/>
        <v>3066624</v>
      </c>
      <c r="AL431" s="87" t="str">
        <f t="shared" si="475"/>
        <v>ok</v>
      </c>
    </row>
    <row r="432" spans="1:38" x14ac:dyDescent="0.5">
      <c r="A432" s="86">
        <v>584</v>
      </c>
      <c r="B432" s="86" t="s">
        <v>787</v>
      </c>
      <c r="C432" s="86" t="s">
        <v>973</v>
      </c>
      <c r="D432" s="322" t="s">
        <v>119</v>
      </c>
      <c r="E432" s="45"/>
      <c r="F432" s="90">
        <f>'Jurisdictional Study'!F1405</f>
        <v>28983</v>
      </c>
      <c r="H432" s="90">
        <f t="shared" si="450"/>
        <v>0</v>
      </c>
      <c r="I432" s="90">
        <f t="shared" si="451"/>
        <v>0</v>
      </c>
      <c r="J432" s="90">
        <f t="shared" si="452"/>
        <v>0</v>
      </c>
      <c r="K432" s="90">
        <f t="shared" si="453"/>
        <v>0</v>
      </c>
      <c r="L432" s="90">
        <f t="shared" si="454"/>
        <v>0</v>
      </c>
      <c r="M432" s="90">
        <f t="shared" si="455"/>
        <v>0</v>
      </c>
      <c r="N432" s="90"/>
      <c r="O432" s="90">
        <f t="shared" si="456"/>
        <v>0</v>
      </c>
      <c r="P432" s="90">
        <f t="shared" si="457"/>
        <v>0</v>
      </c>
      <c r="Q432" s="90">
        <f t="shared" si="458"/>
        <v>0</v>
      </c>
      <c r="R432" s="90"/>
      <c r="S432" s="90">
        <f t="shared" si="459"/>
        <v>0</v>
      </c>
      <c r="T432" s="90">
        <f t="shared" si="460"/>
        <v>0</v>
      </c>
      <c r="U432" s="90">
        <f t="shared" si="461"/>
        <v>0</v>
      </c>
      <c r="V432" s="90">
        <f t="shared" si="462"/>
        <v>4405.4484609599995</v>
      </c>
      <c r="W432" s="90">
        <f t="shared" si="463"/>
        <v>13132.164839040001</v>
      </c>
      <c r="X432" s="90">
        <f t="shared" si="464"/>
        <v>2875.0811390399995</v>
      </c>
      <c r="Y432" s="90">
        <f t="shared" si="465"/>
        <v>8570.3055609599996</v>
      </c>
      <c r="Z432" s="90">
        <f t="shared" si="466"/>
        <v>0</v>
      </c>
      <c r="AA432" s="90">
        <f t="shared" si="467"/>
        <v>0</v>
      </c>
      <c r="AB432" s="90">
        <f t="shared" si="468"/>
        <v>0</v>
      </c>
      <c r="AC432" s="90">
        <f t="shared" si="469"/>
        <v>0</v>
      </c>
      <c r="AD432" s="90">
        <f t="shared" si="470"/>
        <v>0</v>
      </c>
      <c r="AE432" s="90"/>
      <c r="AF432" s="90">
        <f t="shared" si="471"/>
        <v>0</v>
      </c>
      <c r="AG432" s="90"/>
      <c r="AH432" s="90">
        <f t="shared" si="472"/>
        <v>0</v>
      </c>
      <c r="AI432" s="90"/>
      <c r="AJ432" s="90">
        <f t="shared" si="473"/>
        <v>0</v>
      </c>
      <c r="AK432" s="90">
        <f t="shared" si="474"/>
        <v>28983</v>
      </c>
      <c r="AL432" s="87" t="str">
        <f t="shared" si="475"/>
        <v>ok</v>
      </c>
    </row>
    <row r="433" spans="1:38" x14ac:dyDescent="0.5">
      <c r="A433" s="86">
        <v>585</v>
      </c>
      <c r="B433" s="86" t="s">
        <v>789</v>
      </c>
      <c r="C433" s="86" t="s">
        <v>974</v>
      </c>
      <c r="D433" s="322" t="s">
        <v>168</v>
      </c>
      <c r="E433" s="45"/>
      <c r="F433" s="90">
        <f>'Jurisdictional Study'!F1406</f>
        <v>0</v>
      </c>
      <c r="H433" s="90">
        <f t="shared" si="450"/>
        <v>0</v>
      </c>
      <c r="I433" s="90">
        <f t="shared" si="451"/>
        <v>0</v>
      </c>
      <c r="J433" s="90">
        <f t="shared" si="452"/>
        <v>0</v>
      </c>
      <c r="K433" s="90">
        <f t="shared" si="453"/>
        <v>0</v>
      </c>
      <c r="L433" s="90">
        <f t="shared" si="454"/>
        <v>0</v>
      </c>
      <c r="M433" s="90">
        <f t="shared" si="455"/>
        <v>0</v>
      </c>
      <c r="N433" s="90"/>
      <c r="O433" s="90">
        <f t="shared" si="456"/>
        <v>0</v>
      </c>
      <c r="P433" s="90">
        <f t="shared" si="457"/>
        <v>0</v>
      </c>
      <c r="Q433" s="90">
        <f t="shared" si="458"/>
        <v>0</v>
      </c>
      <c r="R433" s="90"/>
      <c r="S433" s="90">
        <f t="shared" si="459"/>
        <v>0</v>
      </c>
      <c r="T433" s="90">
        <f t="shared" si="460"/>
        <v>0</v>
      </c>
      <c r="U433" s="90">
        <f t="shared" si="461"/>
        <v>0</v>
      </c>
      <c r="V433" s="90">
        <f t="shared" si="462"/>
        <v>0</v>
      </c>
      <c r="W433" s="90">
        <f t="shared" si="463"/>
        <v>0</v>
      </c>
      <c r="X433" s="90">
        <f t="shared" si="464"/>
        <v>0</v>
      </c>
      <c r="Y433" s="90">
        <f t="shared" si="465"/>
        <v>0</v>
      </c>
      <c r="Z433" s="90">
        <f t="shared" si="466"/>
        <v>0</v>
      </c>
      <c r="AA433" s="90">
        <f t="shared" si="467"/>
        <v>0</v>
      </c>
      <c r="AB433" s="90">
        <f t="shared" si="468"/>
        <v>0</v>
      </c>
      <c r="AC433" s="90">
        <f t="shared" si="469"/>
        <v>0</v>
      </c>
      <c r="AD433" s="90">
        <f t="shared" si="470"/>
        <v>0</v>
      </c>
      <c r="AE433" s="90"/>
      <c r="AF433" s="90">
        <f t="shared" si="471"/>
        <v>0</v>
      </c>
      <c r="AG433" s="90"/>
      <c r="AH433" s="90">
        <f t="shared" si="472"/>
        <v>0</v>
      </c>
      <c r="AI433" s="90"/>
      <c r="AJ433" s="90">
        <f t="shared" si="473"/>
        <v>0</v>
      </c>
      <c r="AK433" s="90">
        <f t="shared" si="474"/>
        <v>0</v>
      </c>
      <c r="AL433" s="87" t="str">
        <f t="shared" si="475"/>
        <v>ok</v>
      </c>
    </row>
    <row r="434" spans="1:38" x14ac:dyDescent="0.5">
      <c r="A434" s="86">
        <v>586</v>
      </c>
      <c r="B434" s="86" t="s">
        <v>347</v>
      </c>
      <c r="C434" s="86" t="s">
        <v>975</v>
      </c>
      <c r="D434" s="322" t="s">
        <v>166</v>
      </c>
      <c r="E434" s="45"/>
      <c r="F434" s="90">
        <f>'Jurisdictional Study'!F1407</f>
        <v>5005004</v>
      </c>
      <c r="H434" s="90">
        <f t="shared" si="450"/>
        <v>0</v>
      </c>
      <c r="I434" s="90">
        <f t="shared" si="451"/>
        <v>0</v>
      </c>
      <c r="J434" s="90">
        <f t="shared" si="452"/>
        <v>0</v>
      </c>
      <c r="K434" s="90">
        <f t="shared" si="453"/>
        <v>0</v>
      </c>
      <c r="L434" s="90">
        <f t="shared" si="454"/>
        <v>0</v>
      </c>
      <c r="M434" s="90">
        <f t="shared" si="455"/>
        <v>0</v>
      </c>
      <c r="N434" s="90"/>
      <c r="O434" s="90">
        <f t="shared" si="456"/>
        <v>0</v>
      </c>
      <c r="P434" s="90">
        <f t="shared" si="457"/>
        <v>0</v>
      </c>
      <c r="Q434" s="90">
        <f t="shared" si="458"/>
        <v>0</v>
      </c>
      <c r="R434" s="90"/>
      <c r="S434" s="90">
        <f t="shared" si="459"/>
        <v>0</v>
      </c>
      <c r="T434" s="90">
        <f t="shared" si="460"/>
        <v>0</v>
      </c>
      <c r="U434" s="90">
        <f t="shared" si="461"/>
        <v>0</v>
      </c>
      <c r="V434" s="90">
        <f t="shared" si="462"/>
        <v>0</v>
      </c>
      <c r="W434" s="90">
        <f t="shared" si="463"/>
        <v>0</v>
      </c>
      <c r="X434" s="90">
        <f t="shared" si="464"/>
        <v>0</v>
      </c>
      <c r="Y434" s="90">
        <f t="shared" si="465"/>
        <v>0</v>
      </c>
      <c r="Z434" s="90">
        <f t="shared" si="466"/>
        <v>0</v>
      </c>
      <c r="AA434" s="90">
        <f t="shared" si="467"/>
        <v>0</v>
      </c>
      <c r="AB434" s="90">
        <f t="shared" si="468"/>
        <v>0</v>
      </c>
      <c r="AC434" s="90">
        <f t="shared" si="469"/>
        <v>5005004</v>
      </c>
      <c r="AD434" s="90">
        <f t="shared" si="470"/>
        <v>0</v>
      </c>
      <c r="AE434" s="90"/>
      <c r="AF434" s="90">
        <f t="shared" si="471"/>
        <v>0</v>
      </c>
      <c r="AG434" s="90"/>
      <c r="AH434" s="90">
        <f t="shared" si="472"/>
        <v>0</v>
      </c>
      <c r="AI434" s="90"/>
      <c r="AJ434" s="90">
        <f t="shared" si="473"/>
        <v>0</v>
      </c>
      <c r="AK434" s="90">
        <f t="shared" si="474"/>
        <v>5005004</v>
      </c>
      <c r="AL434" s="87" t="str">
        <f t="shared" si="475"/>
        <v>ok</v>
      </c>
    </row>
    <row r="435" spans="1:38" x14ac:dyDescent="0.5">
      <c r="A435" s="86">
        <v>586</v>
      </c>
      <c r="B435" s="86" t="s">
        <v>1304</v>
      </c>
      <c r="C435" s="86" t="s">
        <v>976</v>
      </c>
      <c r="D435" s="322" t="s">
        <v>958</v>
      </c>
      <c r="E435" s="45"/>
      <c r="F435" s="90">
        <v>0</v>
      </c>
      <c r="H435" s="90">
        <f t="shared" si="450"/>
        <v>0</v>
      </c>
      <c r="I435" s="90">
        <f t="shared" si="451"/>
        <v>0</v>
      </c>
      <c r="J435" s="90">
        <f t="shared" si="452"/>
        <v>0</v>
      </c>
      <c r="K435" s="90">
        <f t="shared" si="453"/>
        <v>0</v>
      </c>
      <c r="L435" s="90">
        <f t="shared" si="454"/>
        <v>0</v>
      </c>
      <c r="M435" s="90">
        <f t="shared" si="455"/>
        <v>0</v>
      </c>
      <c r="N435" s="90"/>
      <c r="O435" s="90">
        <f t="shared" si="456"/>
        <v>0</v>
      </c>
      <c r="P435" s="90">
        <f t="shared" si="457"/>
        <v>0</v>
      </c>
      <c r="Q435" s="90">
        <f t="shared" si="458"/>
        <v>0</v>
      </c>
      <c r="R435" s="90"/>
      <c r="S435" s="90">
        <f t="shared" si="459"/>
        <v>0</v>
      </c>
      <c r="T435" s="90">
        <f t="shared" si="460"/>
        <v>0</v>
      </c>
      <c r="U435" s="90">
        <f t="shared" si="461"/>
        <v>0</v>
      </c>
      <c r="V435" s="90">
        <f t="shared" si="462"/>
        <v>0</v>
      </c>
      <c r="W435" s="90">
        <f t="shared" si="463"/>
        <v>0</v>
      </c>
      <c r="X435" s="90">
        <f t="shared" si="464"/>
        <v>0</v>
      </c>
      <c r="Y435" s="90">
        <f t="shared" si="465"/>
        <v>0</v>
      </c>
      <c r="Z435" s="90">
        <f t="shared" si="466"/>
        <v>0</v>
      </c>
      <c r="AA435" s="90">
        <f t="shared" si="467"/>
        <v>0</v>
      </c>
      <c r="AB435" s="90">
        <f t="shared" si="468"/>
        <v>0</v>
      </c>
      <c r="AC435" s="90">
        <f t="shared" si="469"/>
        <v>0</v>
      </c>
      <c r="AD435" s="90">
        <f t="shared" si="470"/>
        <v>0</v>
      </c>
      <c r="AE435" s="90"/>
      <c r="AF435" s="90">
        <f t="shared" si="471"/>
        <v>0</v>
      </c>
      <c r="AG435" s="90"/>
      <c r="AH435" s="90">
        <f t="shared" si="472"/>
        <v>0</v>
      </c>
      <c r="AI435" s="90"/>
      <c r="AJ435" s="90">
        <f t="shared" si="473"/>
        <v>0</v>
      </c>
      <c r="AK435" s="90">
        <f t="shared" si="474"/>
        <v>0</v>
      </c>
      <c r="AL435" s="87" t="str">
        <f t="shared" si="475"/>
        <v>ok</v>
      </c>
    </row>
    <row r="436" spans="1:38" x14ac:dyDescent="0.5">
      <c r="A436" s="86">
        <v>587</v>
      </c>
      <c r="B436" s="86" t="s">
        <v>349</v>
      </c>
      <c r="C436" s="86" t="s">
        <v>977</v>
      </c>
      <c r="D436" s="322" t="s">
        <v>168</v>
      </c>
      <c r="E436" s="45"/>
      <c r="F436" s="90">
        <f>'Jurisdictional Study'!F1408</f>
        <v>0</v>
      </c>
      <c r="H436" s="90">
        <f t="shared" si="450"/>
        <v>0</v>
      </c>
      <c r="I436" s="90">
        <f t="shared" si="451"/>
        <v>0</v>
      </c>
      <c r="J436" s="90">
        <f t="shared" si="452"/>
        <v>0</v>
      </c>
      <c r="K436" s="90">
        <f t="shared" si="453"/>
        <v>0</v>
      </c>
      <c r="L436" s="90">
        <f t="shared" si="454"/>
        <v>0</v>
      </c>
      <c r="M436" s="90">
        <f t="shared" si="455"/>
        <v>0</v>
      </c>
      <c r="N436" s="90"/>
      <c r="O436" s="90">
        <f t="shared" si="456"/>
        <v>0</v>
      </c>
      <c r="P436" s="90">
        <f t="shared" si="457"/>
        <v>0</v>
      </c>
      <c r="Q436" s="90">
        <f t="shared" si="458"/>
        <v>0</v>
      </c>
      <c r="R436" s="90"/>
      <c r="S436" s="90">
        <f t="shared" si="459"/>
        <v>0</v>
      </c>
      <c r="T436" s="90">
        <f t="shared" si="460"/>
        <v>0</v>
      </c>
      <c r="U436" s="90">
        <f t="shared" si="461"/>
        <v>0</v>
      </c>
      <c r="V436" s="90">
        <f t="shared" si="462"/>
        <v>0</v>
      </c>
      <c r="W436" s="90">
        <f t="shared" si="463"/>
        <v>0</v>
      </c>
      <c r="X436" s="90">
        <f t="shared" si="464"/>
        <v>0</v>
      </c>
      <c r="Y436" s="90">
        <f t="shared" si="465"/>
        <v>0</v>
      </c>
      <c r="Z436" s="90">
        <f t="shared" si="466"/>
        <v>0</v>
      </c>
      <c r="AA436" s="90">
        <f t="shared" si="467"/>
        <v>0</v>
      </c>
      <c r="AB436" s="90">
        <f t="shared" si="468"/>
        <v>0</v>
      </c>
      <c r="AC436" s="90">
        <f t="shared" si="469"/>
        <v>0</v>
      </c>
      <c r="AD436" s="90">
        <f t="shared" si="470"/>
        <v>0</v>
      </c>
      <c r="AE436" s="90"/>
      <c r="AF436" s="90">
        <f t="shared" si="471"/>
        <v>0</v>
      </c>
      <c r="AG436" s="90"/>
      <c r="AH436" s="90">
        <f t="shared" si="472"/>
        <v>0</v>
      </c>
      <c r="AI436" s="90"/>
      <c r="AJ436" s="90">
        <f t="shared" si="473"/>
        <v>0</v>
      </c>
      <c r="AK436" s="90">
        <f t="shared" si="474"/>
        <v>0</v>
      </c>
      <c r="AL436" s="87" t="str">
        <f t="shared" si="475"/>
        <v>ok</v>
      </c>
    </row>
    <row r="437" spans="1:38" x14ac:dyDescent="0.5">
      <c r="A437" s="86">
        <v>588</v>
      </c>
      <c r="B437" s="86" t="s">
        <v>351</v>
      </c>
      <c r="C437" s="86" t="s">
        <v>978</v>
      </c>
      <c r="D437" s="322" t="s">
        <v>109</v>
      </c>
      <c r="E437" s="45"/>
      <c r="F437" s="90">
        <f>'Jurisdictional Study'!F1409</f>
        <v>3043460</v>
      </c>
      <c r="H437" s="90">
        <f t="shared" si="450"/>
        <v>0</v>
      </c>
      <c r="I437" s="90">
        <f t="shared" si="451"/>
        <v>0</v>
      </c>
      <c r="J437" s="90">
        <f t="shared" si="452"/>
        <v>0</v>
      </c>
      <c r="K437" s="90">
        <f t="shared" si="453"/>
        <v>0</v>
      </c>
      <c r="L437" s="90">
        <f t="shared" si="454"/>
        <v>0</v>
      </c>
      <c r="M437" s="90">
        <f t="shared" si="455"/>
        <v>0</v>
      </c>
      <c r="N437" s="90"/>
      <c r="O437" s="90">
        <f t="shared" si="456"/>
        <v>0</v>
      </c>
      <c r="P437" s="90">
        <f t="shared" si="457"/>
        <v>0</v>
      </c>
      <c r="Q437" s="90">
        <f t="shared" si="458"/>
        <v>0</v>
      </c>
      <c r="R437" s="90"/>
      <c r="S437" s="90">
        <f t="shared" si="459"/>
        <v>0</v>
      </c>
      <c r="T437" s="90">
        <f t="shared" si="460"/>
        <v>477061.14267453883</v>
      </c>
      <c r="U437" s="90">
        <f t="shared" si="461"/>
        <v>0</v>
      </c>
      <c r="V437" s="90">
        <f t="shared" si="462"/>
        <v>379432.1668801558</v>
      </c>
      <c r="W437" s="90">
        <f t="shared" si="463"/>
        <v>737527.02507500455</v>
      </c>
      <c r="X437" s="90">
        <f t="shared" si="464"/>
        <v>170814.5567188907</v>
      </c>
      <c r="Y437" s="90">
        <f t="shared" si="465"/>
        <v>344832.16407177714</v>
      </c>
      <c r="Z437" s="90">
        <f t="shared" si="466"/>
        <v>249002.23849659867</v>
      </c>
      <c r="AA437" s="90">
        <f t="shared" si="467"/>
        <v>206877.7831434916</v>
      </c>
      <c r="AB437" s="90">
        <f t="shared" si="468"/>
        <v>174424.2756705611</v>
      </c>
      <c r="AC437" s="90">
        <f t="shared" si="469"/>
        <v>103736.88465754125</v>
      </c>
      <c r="AD437" s="90">
        <f t="shared" si="470"/>
        <v>199751.76261144024</v>
      </c>
      <c r="AE437" s="90"/>
      <c r="AF437" s="90">
        <f t="shared" si="471"/>
        <v>0</v>
      </c>
      <c r="AG437" s="90"/>
      <c r="AH437" s="90">
        <f t="shared" si="472"/>
        <v>0</v>
      </c>
      <c r="AI437" s="90"/>
      <c r="AJ437" s="90">
        <f t="shared" si="473"/>
        <v>0</v>
      </c>
      <c r="AK437" s="90">
        <f t="shared" si="474"/>
        <v>3043460</v>
      </c>
      <c r="AL437" s="87" t="str">
        <f t="shared" si="475"/>
        <v>ok</v>
      </c>
    </row>
    <row r="438" spans="1:38" x14ac:dyDescent="0.5">
      <c r="A438" s="86">
        <v>589</v>
      </c>
      <c r="B438" s="86" t="s">
        <v>353</v>
      </c>
      <c r="C438" s="86" t="s">
        <v>979</v>
      </c>
      <c r="D438" s="322" t="s">
        <v>109</v>
      </c>
      <c r="E438" s="45"/>
      <c r="F438" s="90">
        <f>'Jurisdictional Study'!F1410</f>
        <v>0</v>
      </c>
      <c r="H438" s="90">
        <f t="shared" si="450"/>
        <v>0</v>
      </c>
      <c r="I438" s="90">
        <f t="shared" si="451"/>
        <v>0</v>
      </c>
      <c r="J438" s="90">
        <f t="shared" si="452"/>
        <v>0</v>
      </c>
      <c r="K438" s="90">
        <f t="shared" si="453"/>
        <v>0</v>
      </c>
      <c r="L438" s="90">
        <f t="shared" si="454"/>
        <v>0</v>
      </c>
      <c r="M438" s="90">
        <f t="shared" si="455"/>
        <v>0</v>
      </c>
      <c r="N438" s="90"/>
      <c r="O438" s="90">
        <f t="shared" si="456"/>
        <v>0</v>
      </c>
      <c r="P438" s="90">
        <f t="shared" si="457"/>
        <v>0</v>
      </c>
      <c r="Q438" s="90">
        <f t="shared" si="458"/>
        <v>0</v>
      </c>
      <c r="R438" s="90"/>
      <c r="S438" s="90">
        <f t="shared" si="459"/>
        <v>0</v>
      </c>
      <c r="T438" s="90">
        <f t="shared" si="460"/>
        <v>0</v>
      </c>
      <c r="U438" s="90">
        <f t="shared" si="461"/>
        <v>0</v>
      </c>
      <c r="V438" s="90">
        <f t="shared" si="462"/>
        <v>0</v>
      </c>
      <c r="W438" s="90">
        <f t="shared" si="463"/>
        <v>0</v>
      </c>
      <c r="X438" s="90">
        <f t="shared" si="464"/>
        <v>0</v>
      </c>
      <c r="Y438" s="90">
        <f t="shared" si="465"/>
        <v>0</v>
      </c>
      <c r="Z438" s="90">
        <f t="shared" si="466"/>
        <v>0</v>
      </c>
      <c r="AA438" s="90">
        <f t="shared" si="467"/>
        <v>0</v>
      </c>
      <c r="AB438" s="90">
        <f t="shared" si="468"/>
        <v>0</v>
      </c>
      <c r="AC438" s="90">
        <f t="shared" si="469"/>
        <v>0</v>
      </c>
      <c r="AD438" s="90">
        <f t="shared" si="470"/>
        <v>0</v>
      </c>
      <c r="AE438" s="90"/>
      <c r="AF438" s="90">
        <f t="shared" si="471"/>
        <v>0</v>
      </c>
      <c r="AG438" s="90"/>
      <c r="AH438" s="90">
        <f t="shared" si="472"/>
        <v>0</v>
      </c>
      <c r="AI438" s="90"/>
      <c r="AJ438" s="90">
        <f t="shared" si="473"/>
        <v>0</v>
      </c>
      <c r="AK438" s="90">
        <f t="shared" si="474"/>
        <v>0</v>
      </c>
      <c r="AL438" s="87" t="str">
        <f t="shared" si="475"/>
        <v>ok</v>
      </c>
    </row>
    <row r="439" spans="1:38" x14ac:dyDescent="0.5">
      <c r="D439" s="322"/>
      <c r="E439" s="45"/>
      <c r="F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L439" s="87"/>
    </row>
    <row r="440" spans="1:38" x14ac:dyDescent="0.5">
      <c r="A440" s="86" t="s">
        <v>1023</v>
      </c>
      <c r="C440" s="86" t="s">
        <v>980</v>
      </c>
      <c r="D440" s="322"/>
      <c r="E440" s="45"/>
      <c r="F440" s="89">
        <f>SUM(F428:F439)</f>
        <v>13903566</v>
      </c>
      <c r="G440" s="89">
        <f t="shared" ref="G440:M440" si="476">SUM(G428:G439)</f>
        <v>0</v>
      </c>
      <c r="H440" s="89">
        <f t="shared" si="476"/>
        <v>0</v>
      </c>
      <c r="I440" s="89">
        <f t="shared" si="476"/>
        <v>0</v>
      </c>
      <c r="J440" s="89">
        <f t="shared" si="476"/>
        <v>0</v>
      </c>
      <c r="K440" s="89">
        <f t="shared" si="476"/>
        <v>0</v>
      </c>
      <c r="L440" s="89">
        <f t="shared" si="476"/>
        <v>0</v>
      </c>
      <c r="M440" s="89">
        <f t="shared" si="476"/>
        <v>0</v>
      </c>
      <c r="N440" s="89"/>
      <c r="O440" s="89">
        <f>SUM(O428:O439)</f>
        <v>0</v>
      </c>
      <c r="P440" s="89">
        <f>SUM(P428:P439)</f>
        <v>0</v>
      </c>
      <c r="Q440" s="89">
        <f>SUM(Q428:Q439)</f>
        <v>0</v>
      </c>
      <c r="R440" s="89"/>
      <c r="S440" s="89">
        <f t="shared" ref="S440:AD440" si="477">SUM(S428:S439)</f>
        <v>0</v>
      </c>
      <c r="T440" s="89">
        <f t="shared" si="477"/>
        <v>2165495.5399884391</v>
      </c>
      <c r="U440" s="89">
        <f t="shared" si="477"/>
        <v>0</v>
      </c>
      <c r="V440" s="89">
        <f t="shared" si="477"/>
        <v>1279560.4094332005</v>
      </c>
      <c r="W440" s="89">
        <f t="shared" si="477"/>
        <v>2349250.0732889543</v>
      </c>
      <c r="X440" s="89">
        <f t="shared" si="477"/>
        <v>549119.18853120261</v>
      </c>
      <c r="Y440" s="89">
        <f t="shared" si="477"/>
        <v>1025036.9578280713</v>
      </c>
      <c r="Z440" s="89">
        <f t="shared" si="477"/>
        <v>274004.22979514464</v>
      </c>
      <c r="AA440" s="89">
        <f t="shared" si="477"/>
        <v>227650.11260223543</v>
      </c>
      <c r="AB440" s="89">
        <f t="shared" si="477"/>
        <v>191937.99060300784</v>
      </c>
      <c r="AC440" s="89">
        <f t="shared" si="477"/>
        <v>5621702.9203240536</v>
      </c>
      <c r="AD440" s="89">
        <f t="shared" si="477"/>
        <v>219808.57760569043</v>
      </c>
      <c r="AE440" s="89"/>
      <c r="AF440" s="89">
        <f>SUM(AF428:AF439)</f>
        <v>0</v>
      </c>
      <c r="AG440" s="89"/>
      <c r="AH440" s="89">
        <f>SUM(AH428:AH439)</f>
        <v>0</v>
      </c>
      <c r="AI440" s="89"/>
      <c r="AJ440" s="89">
        <f>SUM(AJ428:AJ439)</f>
        <v>0</v>
      </c>
      <c r="AK440" s="90">
        <f>SUM(H440:AJ440)</f>
        <v>13903566</v>
      </c>
      <c r="AL440" s="87" t="str">
        <f>IF(ABS(AK440-F440)&lt;1,"ok","err")</f>
        <v>ok</v>
      </c>
    </row>
    <row r="441" spans="1:38" x14ac:dyDescent="0.5">
      <c r="D441" s="322"/>
      <c r="E441" s="45"/>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90"/>
      <c r="AL441" s="87"/>
    </row>
    <row r="442" spans="1:38" x14ac:dyDescent="0.5">
      <c r="A442" s="23"/>
      <c r="D442" s="322"/>
      <c r="E442" s="45"/>
      <c r="F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L442" s="87"/>
    </row>
    <row r="443" spans="1:38" x14ac:dyDescent="0.5">
      <c r="A443" s="22" t="s">
        <v>960</v>
      </c>
      <c r="D443" s="322"/>
      <c r="E443" s="45"/>
      <c r="F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L443" s="87"/>
    </row>
    <row r="444" spans="1:38" x14ac:dyDescent="0.5">
      <c r="D444" s="322"/>
      <c r="E444" s="45"/>
      <c r="F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L444" s="87"/>
    </row>
    <row r="445" spans="1:38" x14ac:dyDescent="0.5">
      <c r="A445" s="23" t="s">
        <v>1024</v>
      </c>
      <c r="D445" s="322"/>
      <c r="E445" s="45"/>
      <c r="F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L445" s="87"/>
    </row>
    <row r="446" spans="1:38" x14ac:dyDescent="0.5">
      <c r="A446" s="86">
        <v>590</v>
      </c>
      <c r="B446" s="86" t="s">
        <v>358</v>
      </c>
      <c r="C446" s="86" t="s">
        <v>981</v>
      </c>
      <c r="D446" s="322" t="s">
        <v>722</v>
      </c>
      <c r="E446" s="45"/>
      <c r="F446" s="89">
        <f>'Jurisdictional Study'!F1411</f>
        <v>0</v>
      </c>
      <c r="H446" s="90">
        <f t="shared" ref="H446:H454" si="478">IF(VLOOKUP($D446,$C$5:$AJ$596,6,)=0,0,((VLOOKUP($D446,$C$5:$AJ$596,6,)/VLOOKUP($D446,$C$5:$AJ$596,4,))*$F446))</f>
        <v>0</v>
      </c>
      <c r="I446" s="90">
        <f t="shared" ref="I446:I454" si="479">IF(VLOOKUP($D446,$C$5:$AJ$596,7,)=0,0,((VLOOKUP($D446,$C$5:$AJ$596,7,)/VLOOKUP($D446,$C$5:$AJ$596,4,))*$F446))</f>
        <v>0</v>
      </c>
      <c r="J446" s="90">
        <f t="shared" ref="J446:J454" si="480">IF(VLOOKUP($D446,$C$5:$AJ$596,8,)=0,0,((VLOOKUP($D446,$C$5:$AJ$596,8,)/VLOOKUP($D446,$C$5:$AJ$596,4,))*$F446))</f>
        <v>0</v>
      </c>
      <c r="K446" s="90">
        <f t="shared" ref="K446:K454" si="481">IF(VLOOKUP($D446,$C$5:$AJ$596,9,)=0,0,((VLOOKUP($D446,$C$5:$AJ$596,9,)/VLOOKUP($D446,$C$5:$AJ$596,4,))*$F446))</f>
        <v>0</v>
      </c>
      <c r="L446" s="90">
        <f t="shared" ref="L446:L454" si="482">IF(VLOOKUP($D446,$C$5:$AJ$596,10,)=0,0,((VLOOKUP($D446,$C$5:$AJ$596,10,)/VLOOKUP($D446,$C$5:$AJ$596,4,))*$F446))</f>
        <v>0</v>
      </c>
      <c r="M446" s="90">
        <f t="shared" ref="M446:M454" si="483">IF(VLOOKUP($D446,$C$5:$AJ$596,11,)=0,0,((VLOOKUP($D446,$C$5:$AJ$596,11,)/VLOOKUP($D446,$C$5:$AJ$596,4,))*$F446))</f>
        <v>0</v>
      </c>
      <c r="N446" s="90"/>
      <c r="O446" s="90">
        <f t="shared" ref="O446:O454" si="484">IF(VLOOKUP($D446,$C$5:$AJ$596,13,)=0,0,((VLOOKUP($D446,$C$5:$AJ$596,13,)/VLOOKUP($D446,$C$5:$AJ$596,4,))*$F446))</f>
        <v>0</v>
      </c>
      <c r="P446" s="90">
        <f t="shared" ref="P446:P454" si="485">IF(VLOOKUP($D446,$C$5:$AJ$596,14,)=0,0,((VLOOKUP($D446,$C$5:$AJ$596,14,)/VLOOKUP($D446,$C$5:$AJ$596,4,))*$F446))</f>
        <v>0</v>
      </c>
      <c r="Q446" s="90">
        <f t="shared" ref="Q446:Q454" si="486">IF(VLOOKUP($D446,$C$5:$AJ$596,15,)=0,0,((VLOOKUP($D446,$C$5:$AJ$596,15,)/VLOOKUP($D446,$C$5:$AJ$596,4,))*$F446))</f>
        <v>0</v>
      </c>
      <c r="R446" s="90"/>
      <c r="S446" s="90">
        <f t="shared" ref="S446:S454" si="487">IF(VLOOKUP($D446,$C$5:$AJ$596,17,)=0,0,((VLOOKUP($D446,$C$5:$AJ$596,17,)/VLOOKUP($D446,$C$5:$AJ$596,4,))*$F446))</f>
        <v>0</v>
      </c>
      <c r="T446" s="90">
        <f t="shared" ref="T446:T454" si="488">IF(VLOOKUP($D446,$C$5:$AJ$596,18,)=0,0,((VLOOKUP($D446,$C$5:$AJ$596,18,)/VLOOKUP($D446,$C$5:$AJ$596,4,))*$F446))</f>
        <v>0</v>
      </c>
      <c r="U446" s="90">
        <f t="shared" ref="U446:U454" si="489">IF(VLOOKUP($D446,$C$5:$AJ$596,19,)=0,0,((VLOOKUP($D446,$C$5:$AJ$596,19,)/VLOOKUP($D446,$C$5:$AJ$596,4,))*$F446))</f>
        <v>0</v>
      </c>
      <c r="V446" s="90">
        <f t="shared" ref="V446:V454" si="490">IF(VLOOKUP($D446,$C$5:$AJ$596,20,)=0,0,((VLOOKUP($D446,$C$5:$AJ$596,20,)/VLOOKUP($D446,$C$5:$AJ$596,4,))*$F446))</f>
        <v>0</v>
      </c>
      <c r="W446" s="90">
        <f t="shared" ref="W446:W454" si="491">IF(VLOOKUP($D446,$C$5:$AJ$596,21,)=0,0,((VLOOKUP($D446,$C$5:$AJ$596,21,)/VLOOKUP($D446,$C$5:$AJ$596,4,))*$F446))</f>
        <v>0</v>
      </c>
      <c r="X446" s="90">
        <f t="shared" ref="X446:X454" si="492">IF(VLOOKUP($D446,$C$5:$AJ$596,22,)=0,0,((VLOOKUP($D446,$C$5:$AJ$596,22,)/VLOOKUP($D446,$C$5:$AJ$596,4,))*$F446))</f>
        <v>0</v>
      </c>
      <c r="Y446" s="90">
        <f t="shared" ref="Y446:Y454" si="493">IF(VLOOKUP($D446,$C$5:$AJ$596,23,)=0,0,((VLOOKUP($D446,$C$5:$AJ$596,23,)/VLOOKUP($D446,$C$5:$AJ$596,4,))*$F446))</f>
        <v>0</v>
      </c>
      <c r="Z446" s="90">
        <f t="shared" ref="Z446:Z454" si="494">IF(VLOOKUP($D446,$C$5:$AJ$596,24,)=0,0,((VLOOKUP($D446,$C$5:$AJ$596,24,)/VLOOKUP($D446,$C$5:$AJ$596,4,))*$F446))</f>
        <v>0</v>
      </c>
      <c r="AA446" s="90">
        <f t="shared" ref="AA446:AA454" si="495">IF(VLOOKUP($D446,$C$5:$AJ$596,25,)=0,0,((VLOOKUP($D446,$C$5:$AJ$596,25,)/VLOOKUP($D446,$C$5:$AJ$596,4,))*$F446))</f>
        <v>0</v>
      </c>
      <c r="AB446" s="90">
        <f t="shared" ref="AB446:AB454" si="496">IF(VLOOKUP($D446,$C$5:$AJ$596,26,)=0,0,((VLOOKUP($D446,$C$5:$AJ$596,26,)/VLOOKUP($D446,$C$5:$AJ$596,4,))*$F446))</f>
        <v>0</v>
      </c>
      <c r="AC446" s="90">
        <f t="shared" ref="AC446:AC454" si="497">IF(VLOOKUP($D446,$C$5:$AJ$596,27,)=0,0,((VLOOKUP($D446,$C$5:$AJ$596,27,)/VLOOKUP($D446,$C$5:$AJ$596,4,))*$F446))</f>
        <v>0</v>
      </c>
      <c r="AD446" s="90">
        <f t="shared" ref="AD446:AD454" si="498">IF(VLOOKUP($D446,$C$5:$AJ$596,28,)=0,0,((VLOOKUP($D446,$C$5:$AJ$596,28,)/VLOOKUP($D446,$C$5:$AJ$596,4,))*$F446))</f>
        <v>0</v>
      </c>
      <c r="AE446" s="90"/>
      <c r="AF446" s="90">
        <f t="shared" ref="AF446:AF454" si="499">IF(VLOOKUP($D446,$C$5:$AJ$596,30,)=0,0,((VLOOKUP($D446,$C$5:$AJ$596,30,)/VLOOKUP($D446,$C$5:$AJ$596,4,))*$F446))</f>
        <v>0</v>
      </c>
      <c r="AG446" s="90"/>
      <c r="AH446" s="90">
        <f t="shared" ref="AH446:AH454" si="500">IF(VLOOKUP($D446,$C$5:$AJ$596,32,)=0,0,((VLOOKUP($D446,$C$5:$AJ$596,32,)/VLOOKUP($D446,$C$5:$AJ$596,4,))*$F446))</f>
        <v>0</v>
      </c>
      <c r="AI446" s="90"/>
      <c r="AJ446" s="90">
        <f t="shared" ref="AJ446:AJ454" si="501">IF(VLOOKUP($D446,$C$5:$AJ$596,34,)=0,0,((VLOOKUP($D446,$C$5:$AJ$596,34,)/VLOOKUP($D446,$C$5:$AJ$596,4,))*$F446))</f>
        <v>0</v>
      </c>
      <c r="AK446" s="90">
        <f t="shared" ref="AK446:AK454" si="502">SUM(H446:AJ446)</f>
        <v>0</v>
      </c>
      <c r="AL446" s="87" t="str">
        <f t="shared" ref="AL446:AL454" si="503">IF(ABS(AK446-F446)&lt;1,"ok","err")</f>
        <v>ok</v>
      </c>
    </row>
    <row r="447" spans="1:38" x14ac:dyDescent="0.5">
      <c r="A447" s="86">
        <v>591</v>
      </c>
      <c r="B447" s="86" t="s">
        <v>559</v>
      </c>
      <c r="C447" s="86" t="s">
        <v>735</v>
      </c>
      <c r="D447" s="45" t="s">
        <v>113</v>
      </c>
      <c r="E447" s="45"/>
      <c r="F447" s="90">
        <f>'Jurisdictional Study'!F1412</f>
        <v>0</v>
      </c>
      <c r="H447" s="90">
        <f t="shared" si="478"/>
        <v>0</v>
      </c>
      <c r="I447" s="90">
        <f t="shared" si="479"/>
        <v>0</v>
      </c>
      <c r="J447" s="90">
        <f t="shared" si="480"/>
        <v>0</v>
      </c>
      <c r="K447" s="90">
        <f t="shared" si="481"/>
        <v>0</v>
      </c>
      <c r="L447" s="90">
        <f t="shared" si="482"/>
        <v>0</v>
      </c>
      <c r="M447" s="90">
        <f t="shared" si="483"/>
        <v>0</v>
      </c>
      <c r="N447" s="90"/>
      <c r="O447" s="90">
        <f t="shared" si="484"/>
        <v>0</v>
      </c>
      <c r="P447" s="90">
        <f t="shared" si="485"/>
        <v>0</v>
      </c>
      <c r="Q447" s="90">
        <f t="shared" si="486"/>
        <v>0</v>
      </c>
      <c r="R447" s="90"/>
      <c r="S447" s="90">
        <f t="shared" si="487"/>
        <v>0</v>
      </c>
      <c r="T447" s="90">
        <f t="shared" si="488"/>
        <v>0</v>
      </c>
      <c r="U447" s="90">
        <f t="shared" si="489"/>
        <v>0</v>
      </c>
      <c r="V447" s="90">
        <f t="shared" si="490"/>
        <v>0</v>
      </c>
      <c r="W447" s="90">
        <f t="shared" si="491"/>
        <v>0</v>
      </c>
      <c r="X447" s="90">
        <f t="shared" si="492"/>
        <v>0</v>
      </c>
      <c r="Y447" s="90">
        <f t="shared" si="493"/>
        <v>0</v>
      </c>
      <c r="Z447" s="90">
        <f t="shared" si="494"/>
        <v>0</v>
      </c>
      <c r="AA447" s="90">
        <f t="shared" si="495"/>
        <v>0</v>
      </c>
      <c r="AB447" s="90">
        <f t="shared" si="496"/>
        <v>0</v>
      </c>
      <c r="AC447" s="90">
        <f t="shared" si="497"/>
        <v>0</v>
      </c>
      <c r="AD447" s="90">
        <f t="shared" si="498"/>
        <v>0</v>
      </c>
      <c r="AE447" s="90"/>
      <c r="AF447" s="90">
        <f t="shared" si="499"/>
        <v>0</v>
      </c>
      <c r="AG447" s="90"/>
      <c r="AH447" s="90">
        <f t="shared" si="500"/>
        <v>0</v>
      </c>
      <c r="AI447" s="90"/>
      <c r="AJ447" s="90">
        <f t="shared" si="501"/>
        <v>0</v>
      </c>
      <c r="AK447" s="90">
        <f>SUM(H447:AJ447)</f>
        <v>0</v>
      </c>
      <c r="AL447" s="87" t="str">
        <f>IF(ABS(AK447-F447)&lt;1,"ok","err")</f>
        <v>ok</v>
      </c>
    </row>
    <row r="448" spans="1:38" x14ac:dyDescent="0.5">
      <c r="A448" s="86">
        <v>592</v>
      </c>
      <c r="B448" s="86" t="s">
        <v>360</v>
      </c>
      <c r="C448" s="86" t="s">
        <v>982</v>
      </c>
      <c r="D448" s="45" t="s">
        <v>113</v>
      </c>
      <c r="E448" s="45"/>
      <c r="F448" s="90">
        <f>'Jurisdictional Study'!F1413</f>
        <v>622340</v>
      </c>
      <c r="H448" s="90">
        <f t="shared" si="478"/>
        <v>0</v>
      </c>
      <c r="I448" s="90">
        <f t="shared" si="479"/>
        <v>0</v>
      </c>
      <c r="J448" s="90">
        <f t="shared" si="480"/>
        <v>0</v>
      </c>
      <c r="K448" s="90">
        <f t="shared" si="481"/>
        <v>0</v>
      </c>
      <c r="L448" s="90">
        <f t="shared" si="482"/>
        <v>0</v>
      </c>
      <c r="M448" s="90">
        <f t="shared" si="483"/>
        <v>0</v>
      </c>
      <c r="N448" s="90"/>
      <c r="O448" s="90">
        <f t="shared" si="484"/>
        <v>0</v>
      </c>
      <c r="P448" s="90">
        <f t="shared" si="485"/>
        <v>0</v>
      </c>
      <c r="Q448" s="90">
        <f t="shared" si="486"/>
        <v>0</v>
      </c>
      <c r="R448" s="90"/>
      <c r="S448" s="90">
        <f t="shared" si="487"/>
        <v>0</v>
      </c>
      <c r="T448" s="90">
        <f t="shared" si="488"/>
        <v>622340</v>
      </c>
      <c r="U448" s="90">
        <f t="shared" si="489"/>
        <v>0</v>
      </c>
      <c r="V448" s="90">
        <f t="shared" si="490"/>
        <v>0</v>
      </c>
      <c r="W448" s="90">
        <f t="shared" si="491"/>
        <v>0</v>
      </c>
      <c r="X448" s="90">
        <f t="shared" si="492"/>
        <v>0</v>
      </c>
      <c r="Y448" s="90">
        <f t="shared" si="493"/>
        <v>0</v>
      </c>
      <c r="Z448" s="90">
        <f t="shared" si="494"/>
        <v>0</v>
      </c>
      <c r="AA448" s="90">
        <f t="shared" si="495"/>
        <v>0</v>
      </c>
      <c r="AB448" s="90">
        <f t="shared" si="496"/>
        <v>0</v>
      </c>
      <c r="AC448" s="90">
        <f t="shared" si="497"/>
        <v>0</v>
      </c>
      <c r="AD448" s="90">
        <f t="shared" si="498"/>
        <v>0</v>
      </c>
      <c r="AE448" s="90"/>
      <c r="AF448" s="90">
        <f t="shared" si="499"/>
        <v>0</v>
      </c>
      <c r="AG448" s="90"/>
      <c r="AH448" s="90">
        <f t="shared" si="500"/>
        <v>0</v>
      </c>
      <c r="AI448" s="90"/>
      <c r="AJ448" s="90">
        <f t="shared" si="501"/>
        <v>0</v>
      </c>
      <c r="AK448" s="90">
        <f t="shared" si="502"/>
        <v>622340</v>
      </c>
      <c r="AL448" s="87" t="str">
        <f t="shared" si="503"/>
        <v>ok</v>
      </c>
    </row>
    <row r="449" spans="1:38" x14ac:dyDescent="0.5">
      <c r="A449" s="86">
        <v>593</v>
      </c>
      <c r="B449" s="86" t="s">
        <v>362</v>
      </c>
      <c r="C449" s="86" t="s">
        <v>983</v>
      </c>
      <c r="D449" s="45" t="s">
        <v>116</v>
      </c>
      <c r="E449" s="45"/>
      <c r="F449" s="90">
        <f>'Jurisdictional Study'!F1414</f>
        <v>6481662</v>
      </c>
      <c r="H449" s="90">
        <f t="shared" si="478"/>
        <v>0</v>
      </c>
      <c r="I449" s="90">
        <f t="shared" si="479"/>
        <v>0</v>
      </c>
      <c r="J449" s="90">
        <f t="shared" si="480"/>
        <v>0</v>
      </c>
      <c r="K449" s="90">
        <f t="shared" si="481"/>
        <v>0</v>
      </c>
      <c r="L449" s="90">
        <f t="shared" si="482"/>
        <v>0</v>
      </c>
      <c r="M449" s="90">
        <f t="shared" si="483"/>
        <v>0</v>
      </c>
      <c r="N449" s="90"/>
      <c r="O449" s="90">
        <f t="shared" si="484"/>
        <v>0</v>
      </c>
      <c r="P449" s="90">
        <f t="shared" si="485"/>
        <v>0</v>
      </c>
      <c r="Q449" s="90">
        <f t="shared" si="486"/>
        <v>0</v>
      </c>
      <c r="R449" s="90"/>
      <c r="S449" s="90">
        <f t="shared" si="487"/>
        <v>0</v>
      </c>
      <c r="T449" s="90">
        <f t="shared" si="488"/>
        <v>0</v>
      </c>
      <c r="U449" s="90">
        <f t="shared" si="489"/>
        <v>0</v>
      </c>
      <c r="V449" s="90">
        <f t="shared" si="490"/>
        <v>1646436.3913654801</v>
      </c>
      <c r="W449" s="90">
        <f t="shared" si="491"/>
        <v>2925727.9834345202</v>
      </c>
      <c r="X449" s="90">
        <f t="shared" si="492"/>
        <v>687610.0948345199</v>
      </c>
      <c r="Y449" s="90">
        <f t="shared" si="493"/>
        <v>1221887.5303654799</v>
      </c>
      <c r="Z449" s="90">
        <f t="shared" si="494"/>
        <v>0</v>
      </c>
      <c r="AA449" s="90">
        <f t="shared" si="495"/>
        <v>0</v>
      </c>
      <c r="AB449" s="90">
        <f t="shared" si="496"/>
        <v>0</v>
      </c>
      <c r="AC449" s="90">
        <f t="shared" si="497"/>
        <v>0</v>
      </c>
      <c r="AD449" s="90">
        <f t="shared" si="498"/>
        <v>0</v>
      </c>
      <c r="AE449" s="90"/>
      <c r="AF449" s="90">
        <f t="shared" si="499"/>
        <v>0</v>
      </c>
      <c r="AG449" s="90"/>
      <c r="AH449" s="90">
        <f t="shared" si="500"/>
        <v>0</v>
      </c>
      <c r="AI449" s="90"/>
      <c r="AJ449" s="90">
        <f t="shared" si="501"/>
        <v>0</v>
      </c>
      <c r="AK449" s="90">
        <f t="shared" si="502"/>
        <v>6481662</v>
      </c>
      <c r="AL449" s="87" t="str">
        <f t="shared" si="503"/>
        <v>ok</v>
      </c>
    </row>
    <row r="450" spans="1:38" x14ac:dyDescent="0.5">
      <c r="A450" s="86">
        <v>594</v>
      </c>
      <c r="B450" s="86" t="s">
        <v>364</v>
      </c>
      <c r="C450" s="86" t="s">
        <v>984</v>
      </c>
      <c r="D450" s="45" t="s">
        <v>119</v>
      </c>
      <c r="E450" s="45"/>
      <c r="F450" s="90">
        <f>'Jurisdictional Study'!F1415</f>
        <v>248892</v>
      </c>
      <c r="H450" s="90">
        <f t="shared" si="478"/>
        <v>0</v>
      </c>
      <c r="I450" s="90">
        <f t="shared" si="479"/>
        <v>0</v>
      </c>
      <c r="J450" s="90">
        <f t="shared" si="480"/>
        <v>0</v>
      </c>
      <c r="K450" s="90">
        <f t="shared" si="481"/>
        <v>0</v>
      </c>
      <c r="L450" s="90">
        <f t="shared" si="482"/>
        <v>0</v>
      </c>
      <c r="M450" s="90">
        <f t="shared" si="483"/>
        <v>0</v>
      </c>
      <c r="N450" s="90"/>
      <c r="O450" s="90">
        <f t="shared" si="484"/>
        <v>0</v>
      </c>
      <c r="P450" s="90">
        <f t="shared" si="485"/>
        <v>0</v>
      </c>
      <c r="Q450" s="90">
        <f t="shared" si="486"/>
        <v>0</v>
      </c>
      <c r="R450" s="90"/>
      <c r="S450" s="90">
        <f t="shared" si="487"/>
        <v>0</v>
      </c>
      <c r="T450" s="90">
        <f t="shared" si="488"/>
        <v>0</v>
      </c>
      <c r="U450" s="90">
        <f t="shared" si="489"/>
        <v>0</v>
      </c>
      <c r="V450" s="90">
        <f t="shared" si="490"/>
        <v>37831.862759039999</v>
      </c>
      <c r="W450" s="90">
        <f t="shared" si="491"/>
        <v>112772.68644096001</v>
      </c>
      <c r="X450" s="90">
        <f t="shared" si="492"/>
        <v>24689.807640959996</v>
      </c>
      <c r="Y450" s="90">
        <f t="shared" si="493"/>
        <v>73597.643159040003</v>
      </c>
      <c r="Z450" s="90">
        <f t="shared" si="494"/>
        <v>0</v>
      </c>
      <c r="AA450" s="90">
        <f t="shared" si="495"/>
        <v>0</v>
      </c>
      <c r="AB450" s="90">
        <f t="shared" si="496"/>
        <v>0</v>
      </c>
      <c r="AC450" s="90">
        <f t="shared" si="497"/>
        <v>0</v>
      </c>
      <c r="AD450" s="90">
        <f t="shared" si="498"/>
        <v>0</v>
      </c>
      <c r="AE450" s="90"/>
      <c r="AF450" s="90">
        <f t="shared" si="499"/>
        <v>0</v>
      </c>
      <c r="AG450" s="90"/>
      <c r="AH450" s="90">
        <f t="shared" si="500"/>
        <v>0</v>
      </c>
      <c r="AI450" s="90"/>
      <c r="AJ450" s="90">
        <f t="shared" si="501"/>
        <v>0</v>
      </c>
      <c r="AK450" s="90">
        <f t="shared" si="502"/>
        <v>248892</v>
      </c>
      <c r="AL450" s="87" t="str">
        <f t="shared" si="503"/>
        <v>ok</v>
      </c>
    </row>
    <row r="451" spans="1:38" x14ac:dyDescent="0.5">
      <c r="A451" s="86">
        <v>595</v>
      </c>
      <c r="B451" s="86" t="s">
        <v>366</v>
      </c>
      <c r="C451" s="86" t="s">
        <v>985</v>
      </c>
      <c r="D451" s="45" t="s">
        <v>120</v>
      </c>
      <c r="E451" s="45"/>
      <c r="F451" s="90">
        <f>'Jurisdictional Study'!F1416</f>
        <v>53407</v>
      </c>
      <c r="H451" s="90">
        <f t="shared" si="478"/>
        <v>0</v>
      </c>
      <c r="I451" s="90">
        <f t="shared" si="479"/>
        <v>0</v>
      </c>
      <c r="J451" s="90">
        <f t="shared" si="480"/>
        <v>0</v>
      </c>
      <c r="K451" s="90">
        <f t="shared" si="481"/>
        <v>0</v>
      </c>
      <c r="L451" s="90">
        <f t="shared" si="482"/>
        <v>0</v>
      </c>
      <c r="M451" s="90">
        <f t="shared" si="483"/>
        <v>0</v>
      </c>
      <c r="N451" s="90"/>
      <c r="O451" s="90">
        <f t="shared" si="484"/>
        <v>0</v>
      </c>
      <c r="P451" s="90">
        <f t="shared" si="485"/>
        <v>0</v>
      </c>
      <c r="Q451" s="90">
        <f t="shared" si="486"/>
        <v>0</v>
      </c>
      <c r="R451" s="90"/>
      <c r="S451" s="90">
        <f t="shared" si="487"/>
        <v>0</v>
      </c>
      <c r="T451" s="90">
        <f t="shared" si="488"/>
        <v>0</v>
      </c>
      <c r="U451" s="90">
        <f t="shared" si="489"/>
        <v>0</v>
      </c>
      <c r="V451" s="90">
        <f t="shared" si="490"/>
        <v>0</v>
      </c>
      <c r="W451" s="90">
        <f t="shared" si="491"/>
        <v>0</v>
      </c>
      <c r="X451" s="90">
        <f t="shared" si="492"/>
        <v>0</v>
      </c>
      <c r="Y451" s="90">
        <f t="shared" si="493"/>
        <v>0</v>
      </c>
      <c r="Z451" s="90">
        <f t="shared" si="494"/>
        <v>29170.970255605454</v>
      </c>
      <c r="AA451" s="90">
        <f t="shared" si="495"/>
        <v>24236.029744394538</v>
      </c>
      <c r="AB451" s="90">
        <f t="shared" si="496"/>
        <v>0</v>
      </c>
      <c r="AC451" s="90">
        <f t="shared" si="497"/>
        <v>0</v>
      </c>
      <c r="AD451" s="90">
        <f t="shared" si="498"/>
        <v>0</v>
      </c>
      <c r="AE451" s="90"/>
      <c r="AF451" s="90">
        <f t="shared" si="499"/>
        <v>0</v>
      </c>
      <c r="AG451" s="90"/>
      <c r="AH451" s="90">
        <f t="shared" si="500"/>
        <v>0</v>
      </c>
      <c r="AI451" s="90"/>
      <c r="AJ451" s="90">
        <f t="shared" si="501"/>
        <v>0</v>
      </c>
      <c r="AK451" s="90">
        <f t="shared" si="502"/>
        <v>53406.999999999993</v>
      </c>
      <c r="AL451" s="87" t="str">
        <f t="shared" si="503"/>
        <v>ok</v>
      </c>
    </row>
    <row r="452" spans="1:38" x14ac:dyDescent="0.5">
      <c r="A452" s="86">
        <v>596</v>
      </c>
      <c r="B452" s="86" t="s">
        <v>460</v>
      </c>
      <c r="C452" s="86" t="s">
        <v>986</v>
      </c>
      <c r="D452" s="45" t="s">
        <v>169</v>
      </c>
      <c r="E452" s="45"/>
      <c r="F452" s="90">
        <f>'Jurisdictional Study'!F1417</f>
        <v>0</v>
      </c>
      <c r="H452" s="90">
        <f t="shared" si="478"/>
        <v>0</v>
      </c>
      <c r="I452" s="90">
        <f t="shared" si="479"/>
        <v>0</v>
      </c>
      <c r="J452" s="90">
        <f t="shared" si="480"/>
        <v>0</v>
      </c>
      <c r="K452" s="90">
        <f t="shared" si="481"/>
        <v>0</v>
      </c>
      <c r="L452" s="90">
        <f t="shared" si="482"/>
        <v>0</v>
      </c>
      <c r="M452" s="90">
        <f t="shared" si="483"/>
        <v>0</v>
      </c>
      <c r="N452" s="90"/>
      <c r="O452" s="90">
        <f t="shared" si="484"/>
        <v>0</v>
      </c>
      <c r="P452" s="90">
        <f t="shared" si="485"/>
        <v>0</v>
      </c>
      <c r="Q452" s="90">
        <f t="shared" si="486"/>
        <v>0</v>
      </c>
      <c r="R452" s="90"/>
      <c r="S452" s="90">
        <f t="shared" si="487"/>
        <v>0</v>
      </c>
      <c r="T452" s="90">
        <f t="shared" si="488"/>
        <v>0</v>
      </c>
      <c r="U452" s="90">
        <f t="shared" si="489"/>
        <v>0</v>
      </c>
      <c r="V452" s="90">
        <f t="shared" si="490"/>
        <v>0</v>
      </c>
      <c r="W452" s="90">
        <f t="shared" si="491"/>
        <v>0</v>
      </c>
      <c r="X452" s="90">
        <f t="shared" si="492"/>
        <v>0</v>
      </c>
      <c r="Y452" s="90">
        <f t="shared" si="493"/>
        <v>0</v>
      </c>
      <c r="Z452" s="90">
        <f t="shared" si="494"/>
        <v>0</v>
      </c>
      <c r="AA452" s="90">
        <f t="shared" si="495"/>
        <v>0</v>
      </c>
      <c r="AB452" s="90">
        <f t="shared" si="496"/>
        <v>0</v>
      </c>
      <c r="AC452" s="90">
        <f t="shared" si="497"/>
        <v>0</v>
      </c>
      <c r="AD452" s="90">
        <f t="shared" si="498"/>
        <v>0</v>
      </c>
      <c r="AE452" s="90"/>
      <c r="AF452" s="90">
        <f t="shared" si="499"/>
        <v>0</v>
      </c>
      <c r="AG452" s="90"/>
      <c r="AH452" s="90">
        <f t="shared" si="500"/>
        <v>0</v>
      </c>
      <c r="AI452" s="90"/>
      <c r="AJ452" s="90">
        <f t="shared" si="501"/>
        <v>0</v>
      </c>
      <c r="AK452" s="90">
        <f t="shared" si="502"/>
        <v>0</v>
      </c>
      <c r="AL452" s="87" t="str">
        <f t="shared" si="503"/>
        <v>ok</v>
      </c>
    </row>
    <row r="453" spans="1:38" x14ac:dyDescent="0.5">
      <c r="A453" s="86">
        <v>597</v>
      </c>
      <c r="B453" s="86" t="s">
        <v>368</v>
      </c>
      <c r="C453" s="86" t="s">
        <v>987</v>
      </c>
      <c r="D453" s="45" t="s">
        <v>166</v>
      </c>
      <c r="E453" s="45"/>
      <c r="F453" s="90">
        <f>'Jurisdictional Study'!F1418</f>
        <v>0</v>
      </c>
      <c r="H453" s="90">
        <f t="shared" si="478"/>
        <v>0</v>
      </c>
      <c r="I453" s="90">
        <f t="shared" si="479"/>
        <v>0</v>
      </c>
      <c r="J453" s="90">
        <f t="shared" si="480"/>
        <v>0</v>
      </c>
      <c r="K453" s="90">
        <f t="shared" si="481"/>
        <v>0</v>
      </c>
      <c r="L453" s="90">
        <f t="shared" si="482"/>
        <v>0</v>
      </c>
      <c r="M453" s="90">
        <f t="shared" si="483"/>
        <v>0</v>
      </c>
      <c r="N453" s="90"/>
      <c r="O453" s="90">
        <f t="shared" si="484"/>
        <v>0</v>
      </c>
      <c r="P453" s="90">
        <f t="shared" si="485"/>
        <v>0</v>
      </c>
      <c r="Q453" s="90">
        <f t="shared" si="486"/>
        <v>0</v>
      </c>
      <c r="R453" s="90"/>
      <c r="S453" s="90">
        <f t="shared" si="487"/>
        <v>0</v>
      </c>
      <c r="T453" s="90">
        <f t="shared" si="488"/>
        <v>0</v>
      </c>
      <c r="U453" s="90">
        <f t="shared" si="489"/>
        <v>0</v>
      </c>
      <c r="V453" s="90">
        <f t="shared" si="490"/>
        <v>0</v>
      </c>
      <c r="W453" s="90">
        <f t="shared" si="491"/>
        <v>0</v>
      </c>
      <c r="X453" s="90">
        <f t="shared" si="492"/>
        <v>0</v>
      </c>
      <c r="Y453" s="90">
        <f t="shared" si="493"/>
        <v>0</v>
      </c>
      <c r="Z453" s="90">
        <f t="shared" si="494"/>
        <v>0</v>
      </c>
      <c r="AA453" s="90">
        <f t="shared" si="495"/>
        <v>0</v>
      </c>
      <c r="AB453" s="90">
        <f t="shared" si="496"/>
        <v>0</v>
      </c>
      <c r="AC453" s="90">
        <f t="shared" si="497"/>
        <v>0</v>
      </c>
      <c r="AD453" s="90">
        <f t="shared" si="498"/>
        <v>0</v>
      </c>
      <c r="AE453" s="90"/>
      <c r="AF453" s="90">
        <f t="shared" si="499"/>
        <v>0</v>
      </c>
      <c r="AG453" s="90"/>
      <c r="AH453" s="90">
        <f t="shared" si="500"/>
        <v>0</v>
      </c>
      <c r="AI453" s="90"/>
      <c r="AJ453" s="90">
        <f t="shared" si="501"/>
        <v>0</v>
      </c>
      <c r="AK453" s="90">
        <f t="shared" si="502"/>
        <v>0</v>
      </c>
      <c r="AL453" s="87" t="str">
        <f t="shared" si="503"/>
        <v>ok</v>
      </c>
    </row>
    <row r="454" spans="1:38" x14ac:dyDescent="0.5">
      <c r="A454" s="86">
        <v>598</v>
      </c>
      <c r="B454" s="86" t="s">
        <v>464</v>
      </c>
      <c r="C454" s="86" t="s">
        <v>988</v>
      </c>
      <c r="D454" s="45" t="s">
        <v>109</v>
      </c>
      <c r="E454" s="45"/>
      <c r="F454" s="90">
        <f>'Jurisdictional Study'!F1419</f>
        <v>3541</v>
      </c>
      <c r="H454" s="90">
        <f t="shared" si="478"/>
        <v>0</v>
      </c>
      <c r="I454" s="90">
        <f t="shared" si="479"/>
        <v>0</v>
      </c>
      <c r="J454" s="90">
        <f t="shared" si="480"/>
        <v>0</v>
      </c>
      <c r="K454" s="90">
        <f t="shared" si="481"/>
        <v>0</v>
      </c>
      <c r="L454" s="90">
        <f t="shared" si="482"/>
        <v>0</v>
      </c>
      <c r="M454" s="90">
        <f t="shared" si="483"/>
        <v>0</v>
      </c>
      <c r="N454" s="90"/>
      <c r="O454" s="90">
        <f t="shared" si="484"/>
        <v>0</v>
      </c>
      <c r="P454" s="90">
        <f t="shared" si="485"/>
        <v>0</v>
      </c>
      <c r="Q454" s="90">
        <f t="shared" si="486"/>
        <v>0</v>
      </c>
      <c r="R454" s="90"/>
      <c r="S454" s="90">
        <f t="shared" si="487"/>
        <v>0</v>
      </c>
      <c r="T454" s="90">
        <f t="shared" si="488"/>
        <v>555.05033948550067</v>
      </c>
      <c r="U454" s="90">
        <f t="shared" si="489"/>
        <v>0</v>
      </c>
      <c r="V454" s="90">
        <f t="shared" si="490"/>
        <v>441.46113401281167</v>
      </c>
      <c r="W454" s="90">
        <f t="shared" si="491"/>
        <v>858.09677005467177</v>
      </c>
      <c r="X454" s="90">
        <f t="shared" si="492"/>
        <v>198.73904876081565</v>
      </c>
      <c r="Y454" s="90">
        <f t="shared" si="493"/>
        <v>401.20477777863448</v>
      </c>
      <c r="Z454" s="90">
        <f t="shared" si="494"/>
        <v>289.70872839349158</v>
      </c>
      <c r="AA454" s="90">
        <f t="shared" si="495"/>
        <v>240.69783408065285</v>
      </c>
      <c r="AB454" s="90">
        <f t="shared" si="496"/>
        <v>202.93887882523734</v>
      </c>
      <c r="AC454" s="90">
        <f t="shared" si="497"/>
        <v>120.69562556181239</v>
      </c>
      <c r="AD454" s="90">
        <f t="shared" si="498"/>
        <v>232.40686304637151</v>
      </c>
      <c r="AE454" s="90"/>
      <c r="AF454" s="90">
        <f t="shared" si="499"/>
        <v>0</v>
      </c>
      <c r="AG454" s="90"/>
      <c r="AH454" s="90">
        <f t="shared" si="500"/>
        <v>0</v>
      </c>
      <c r="AI454" s="90"/>
      <c r="AJ454" s="90">
        <f t="shared" si="501"/>
        <v>0</v>
      </c>
      <c r="AK454" s="90">
        <f t="shared" si="502"/>
        <v>3541</v>
      </c>
      <c r="AL454" s="87" t="str">
        <f t="shared" si="503"/>
        <v>ok</v>
      </c>
    </row>
    <row r="455" spans="1:38" x14ac:dyDescent="0.5">
      <c r="D455" s="45"/>
      <c r="E455" s="45"/>
      <c r="F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87"/>
    </row>
    <row r="456" spans="1:38" x14ac:dyDescent="0.5">
      <c r="A456" s="86" t="s">
        <v>1025</v>
      </c>
      <c r="C456" s="86" t="s">
        <v>989</v>
      </c>
      <c r="D456" s="45"/>
      <c r="E456" s="45"/>
      <c r="F456" s="89">
        <f t="shared" ref="F456:M456" si="504">SUM(F446:F455)</f>
        <v>7409842</v>
      </c>
      <c r="G456" s="89">
        <f t="shared" si="504"/>
        <v>0</v>
      </c>
      <c r="H456" s="89">
        <f t="shared" si="504"/>
        <v>0</v>
      </c>
      <c r="I456" s="89">
        <f t="shared" si="504"/>
        <v>0</v>
      </c>
      <c r="J456" s="89">
        <f t="shared" si="504"/>
        <v>0</v>
      </c>
      <c r="K456" s="89">
        <f t="shared" si="504"/>
        <v>0</v>
      </c>
      <c r="L456" s="89">
        <f t="shared" si="504"/>
        <v>0</v>
      </c>
      <c r="M456" s="89">
        <f t="shared" si="504"/>
        <v>0</v>
      </c>
      <c r="N456" s="89"/>
      <c r="O456" s="89">
        <f>SUM(O446:O455)</f>
        <v>0</v>
      </c>
      <c r="P456" s="89">
        <f>SUM(P446:P455)</f>
        <v>0</v>
      </c>
      <c r="Q456" s="89">
        <f>SUM(Q446:Q455)</f>
        <v>0</v>
      </c>
      <c r="R456" s="89"/>
      <c r="S456" s="89">
        <f t="shared" ref="S456:AD456" si="505">SUM(S446:S455)</f>
        <v>0</v>
      </c>
      <c r="T456" s="89">
        <f t="shared" si="505"/>
        <v>622895.05033948552</v>
      </c>
      <c r="U456" s="89">
        <f t="shared" si="505"/>
        <v>0</v>
      </c>
      <c r="V456" s="89">
        <f t="shared" si="505"/>
        <v>1684709.7152585329</v>
      </c>
      <c r="W456" s="89">
        <f t="shared" si="505"/>
        <v>3039358.7666455349</v>
      </c>
      <c r="X456" s="89">
        <f t="shared" si="505"/>
        <v>712498.64152424072</v>
      </c>
      <c r="Y456" s="89">
        <f t="shared" si="505"/>
        <v>1295886.3783022985</v>
      </c>
      <c r="Z456" s="89">
        <f t="shared" si="505"/>
        <v>29460.678983998947</v>
      </c>
      <c r="AA456" s="89">
        <f t="shared" si="505"/>
        <v>24476.727578475191</v>
      </c>
      <c r="AB456" s="89">
        <f t="shared" si="505"/>
        <v>202.93887882523734</v>
      </c>
      <c r="AC456" s="89">
        <f t="shared" si="505"/>
        <v>120.69562556181239</v>
      </c>
      <c r="AD456" s="89">
        <f t="shared" si="505"/>
        <v>232.40686304637151</v>
      </c>
      <c r="AE456" s="89"/>
      <c r="AF456" s="89">
        <f>SUM(AF446:AF455)</f>
        <v>0</v>
      </c>
      <c r="AG456" s="89"/>
      <c r="AH456" s="89">
        <f>SUM(AH446:AH455)</f>
        <v>0</v>
      </c>
      <c r="AI456" s="89"/>
      <c r="AJ456" s="89">
        <f>SUM(AJ446:AJ455)</f>
        <v>0</v>
      </c>
      <c r="AK456" s="90">
        <f>SUM(H456:AJ456)</f>
        <v>7409842</v>
      </c>
      <c r="AL456" s="87" t="str">
        <f>IF(ABS(AK456-F456)&lt;1,"ok","err")</f>
        <v>ok</v>
      </c>
    </row>
    <row r="457" spans="1:38" x14ac:dyDescent="0.5">
      <c r="D457" s="45"/>
      <c r="E457" s="45"/>
      <c r="F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L457" s="87"/>
    </row>
    <row r="458" spans="1:38" x14ac:dyDescent="0.5">
      <c r="A458" s="86" t="s">
        <v>1026</v>
      </c>
      <c r="D458" s="45" t="s">
        <v>109</v>
      </c>
      <c r="E458" s="45"/>
      <c r="F458" s="90">
        <f>F440+F456</f>
        <v>21313408</v>
      </c>
      <c r="G458" s="90">
        <f>G440+G456</f>
        <v>0</v>
      </c>
      <c r="H458" s="90">
        <f>IF(VLOOKUP($D458,$C$5:$AJ$596,6,)=0,0,((VLOOKUP($D458,$C$5:$AJ$596,6,)/VLOOKUP($D458,$C$5:$AJ$596,4,))*$F458))</f>
        <v>0</v>
      </c>
      <c r="I458" s="90">
        <f>IF(VLOOKUP($D458,$C$5:$AJ$596,7,)=0,0,((VLOOKUP($D458,$C$5:$AJ$596,7,)/VLOOKUP($D458,$C$5:$AJ$596,4,))*$F458))</f>
        <v>0</v>
      </c>
      <c r="J458" s="90">
        <f>IF(VLOOKUP($D458,$C$5:$AJ$596,8,)=0,0,((VLOOKUP($D458,$C$5:$AJ$596,8,)/VLOOKUP($D458,$C$5:$AJ$596,4,))*$F458))</f>
        <v>0</v>
      </c>
      <c r="K458" s="90">
        <f>IF(VLOOKUP($D458,$C$5:$AJ$596,9,)=0,0,((VLOOKUP($D458,$C$5:$AJ$596,9,)/VLOOKUP($D458,$C$5:$AJ$596,4,))*$F458))</f>
        <v>0</v>
      </c>
      <c r="L458" s="90">
        <f>IF(VLOOKUP($D458,$C$5:$AJ$596,10,)=0,0,((VLOOKUP($D458,$C$5:$AJ$596,10,)/VLOOKUP($D458,$C$5:$AJ$596,4,))*$F458))</f>
        <v>0</v>
      </c>
      <c r="M458" s="90">
        <f>IF(VLOOKUP($D458,$C$5:$AJ$596,11,)=0,0,((VLOOKUP($D458,$C$5:$AJ$596,11,)/VLOOKUP($D458,$C$5:$AJ$596,4,))*$F458))</f>
        <v>0</v>
      </c>
      <c r="N458" s="90"/>
      <c r="O458" s="90">
        <f>IF(VLOOKUP($D458,$C$5:$AJ$596,13,)=0,0,((VLOOKUP($D458,$C$5:$AJ$596,13,)/VLOOKUP($D458,$C$5:$AJ$596,4,))*$F458))</f>
        <v>0</v>
      </c>
      <c r="P458" s="90">
        <f>IF(VLOOKUP($D458,$C$5:$AJ$596,14,)=0,0,((VLOOKUP($D458,$C$5:$AJ$596,14,)/VLOOKUP($D458,$C$5:$AJ$596,4,))*$F458))</f>
        <v>0</v>
      </c>
      <c r="Q458" s="90">
        <f>IF(VLOOKUP($D458,$C$5:$AJ$596,15,)=0,0,((VLOOKUP($D458,$C$5:$AJ$596,15,)/VLOOKUP($D458,$C$5:$AJ$596,4,))*$F458))</f>
        <v>0</v>
      </c>
      <c r="R458" s="90"/>
      <c r="S458" s="90">
        <f>IF(VLOOKUP($D458,$C$5:$AJ$596,17,)=0,0,((VLOOKUP($D458,$C$5:$AJ$596,17,)/VLOOKUP($D458,$C$5:$AJ$596,4,))*$F458))</f>
        <v>0</v>
      </c>
      <c r="T458" s="90">
        <f>IF(VLOOKUP($D458,$C$5:$AJ$596,18,)=0,0,((VLOOKUP($D458,$C$5:$AJ$596,18,)/VLOOKUP($D458,$C$5:$AJ$596,4,))*$F458))</f>
        <v>3340868.2140618432</v>
      </c>
      <c r="U458" s="90">
        <f>IF(VLOOKUP($D458,$C$5:$AJ$596,19,)=0,0,((VLOOKUP($D458,$C$5:$AJ$596,19,)/VLOOKUP($D458,$C$5:$AJ$596,4,))*$F458))</f>
        <v>0</v>
      </c>
      <c r="V458" s="90">
        <f>IF(VLOOKUP($D458,$C$5:$AJ$596,20,)=0,0,((VLOOKUP($D458,$C$5:$AJ$596,20,)/VLOOKUP($D458,$C$5:$AJ$596,4,))*$F458))</f>
        <v>2657170.6482230253</v>
      </c>
      <c r="W458" s="90">
        <f>IF(VLOOKUP($D458,$C$5:$AJ$596,21,)=0,0,((VLOOKUP($D458,$C$5:$AJ$596,21,)/VLOOKUP($D458,$C$5:$AJ$596,4,))*$F458))</f>
        <v>5164915.7197563965</v>
      </c>
      <c r="X458" s="90">
        <f>IF(VLOOKUP($D458,$C$5:$AJ$596,22,)=0,0,((VLOOKUP($D458,$C$5:$AJ$596,22,)/VLOOKUP($D458,$C$5:$AJ$596,4,))*$F458))</f>
        <v>1196217.5746317871</v>
      </c>
      <c r="Y458" s="90">
        <f>IF(VLOOKUP($D458,$C$5:$AJ$596,23,)=0,0,((VLOOKUP($D458,$C$5:$AJ$596,23,)/VLOOKUP($D458,$C$5:$AJ$596,4,))*$F458))</f>
        <v>2414866.1734948801</v>
      </c>
      <c r="Z458" s="90">
        <f>IF(VLOOKUP($D458,$C$5:$AJ$596,24,)=0,0,((VLOOKUP($D458,$C$5:$AJ$596,24,)/VLOOKUP($D458,$C$5:$AJ$596,4,))*$F458))</f>
        <v>1743767.3904014884</v>
      </c>
      <c r="AA458" s="90">
        <f>IF(VLOOKUP($D458,$C$5:$AJ$596,25,)=0,0,((VLOOKUP($D458,$C$5:$AJ$596,25,)/VLOOKUP($D458,$C$5:$AJ$596,4,))*$F458))</f>
        <v>1448769.0320466703</v>
      </c>
      <c r="AB458" s="90">
        <f>IF(VLOOKUP($D458,$C$5:$AJ$596,26,)=0,0,((VLOOKUP($D458,$C$5:$AJ$596,26,)/VLOOKUP($D458,$C$5:$AJ$596,4,))*$F458))</f>
        <v>1221496.5047909755</v>
      </c>
      <c r="AC458" s="90">
        <f>IF(VLOOKUP($D458,$C$5:$AJ$596,27,)=0,0,((VLOOKUP($D458,$C$5:$AJ$596,27,)/VLOOKUP($D458,$C$5:$AJ$596,4,))*$F458))</f>
        <v>726471.36724488472</v>
      </c>
      <c r="AD458" s="90">
        <f>IF(VLOOKUP($D458,$C$5:$AJ$596,28,)=0,0,((VLOOKUP($D458,$C$5:$AJ$596,28,)/VLOOKUP($D458,$C$5:$AJ$596,4,))*$F458))</f>
        <v>1398865.3753480483</v>
      </c>
      <c r="AE458" s="90"/>
      <c r="AF458" s="90">
        <f>IF(VLOOKUP($D458,$C$5:$AJ$596,30,)=0,0,((VLOOKUP($D458,$C$5:$AJ$596,30,)/VLOOKUP($D458,$C$5:$AJ$596,4,))*$F458))</f>
        <v>0</v>
      </c>
      <c r="AG458" s="90"/>
      <c r="AH458" s="90">
        <f>IF(VLOOKUP($D458,$C$5:$AJ$596,32,)=0,0,((VLOOKUP($D458,$C$5:$AJ$596,32,)/VLOOKUP($D458,$C$5:$AJ$596,4,))*$F458))</f>
        <v>0</v>
      </c>
      <c r="AI458" s="90"/>
      <c r="AJ458" s="90">
        <f>IF(VLOOKUP($D458,$C$5:$AJ$596,34,)=0,0,((VLOOKUP($D458,$C$5:$AJ$596,34,)/VLOOKUP($D458,$C$5:$AJ$596,4,))*$F458))</f>
        <v>0</v>
      </c>
      <c r="AK458" s="90">
        <f>SUM(H458:AJ458)</f>
        <v>21313408</v>
      </c>
      <c r="AL458" s="87" t="str">
        <f>IF(ABS(AK458-F458)&lt;1,"ok","err")</f>
        <v>ok</v>
      </c>
    </row>
    <row r="459" spans="1:38" x14ac:dyDescent="0.5">
      <c r="D459" s="45"/>
      <c r="E459" s="45"/>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L459" s="87"/>
    </row>
    <row r="460" spans="1:38" x14ac:dyDescent="0.5">
      <c r="A460" s="86" t="s">
        <v>1027</v>
      </c>
      <c r="D460" s="45"/>
      <c r="E460" s="45"/>
      <c r="F460" s="90">
        <f t="shared" ref="F460:M460" si="506">F458+F425</f>
        <v>29294531</v>
      </c>
      <c r="G460" s="90">
        <f t="shared" si="506"/>
        <v>0</v>
      </c>
      <c r="H460" s="90">
        <f t="shared" si="506"/>
        <v>0</v>
      </c>
      <c r="I460" s="90">
        <f t="shared" si="506"/>
        <v>0</v>
      </c>
      <c r="J460" s="90">
        <f t="shared" si="506"/>
        <v>0</v>
      </c>
      <c r="K460" s="90">
        <f t="shared" si="506"/>
        <v>0</v>
      </c>
      <c r="L460" s="90">
        <f t="shared" si="506"/>
        <v>0</v>
      </c>
      <c r="M460" s="90">
        <f t="shared" si="506"/>
        <v>0</v>
      </c>
      <c r="N460" s="90"/>
      <c r="O460" s="90">
        <f>O458+O425</f>
        <v>7981123</v>
      </c>
      <c r="P460" s="90">
        <f>P458+P425</f>
        <v>0</v>
      </c>
      <c r="Q460" s="90">
        <f>Q458+Q425</f>
        <v>0</v>
      </c>
      <c r="R460" s="90"/>
      <c r="S460" s="90">
        <f t="shared" ref="S460:AD460" si="507">S458+S425</f>
        <v>0</v>
      </c>
      <c r="T460" s="90">
        <f t="shared" si="507"/>
        <v>3340868.2140618432</v>
      </c>
      <c r="U460" s="90">
        <f t="shared" si="507"/>
        <v>0</v>
      </c>
      <c r="V460" s="90">
        <f t="shared" si="507"/>
        <v>2657170.6482230253</v>
      </c>
      <c r="W460" s="90">
        <f t="shared" si="507"/>
        <v>5164915.7197563965</v>
      </c>
      <c r="X460" s="90">
        <f t="shared" si="507"/>
        <v>1196217.5746317871</v>
      </c>
      <c r="Y460" s="90">
        <f t="shared" si="507"/>
        <v>2414866.1734948801</v>
      </c>
      <c r="Z460" s="90">
        <f t="shared" si="507"/>
        <v>1743767.3904014884</v>
      </c>
      <c r="AA460" s="90">
        <f t="shared" si="507"/>
        <v>1448769.0320466703</v>
      </c>
      <c r="AB460" s="90">
        <f t="shared" si="507"/>
        <v>1221496.5047909755</v>
      </c>
      <c r="AC460" s="90">
        <f t="shared" si="507"/>
        <v>726471.36724488472</v>
      </c>
      <c r="AD460" s="90">
        <f t="shared" si="507"/>
        <v>1398865.3753480483</v>
      </c>
      <c r="AE460" s="90"/>
      <c r="AF460" s="90">
        <f>AF458+AF425</f>
        <v>0</v>
      </c>
      <c r="AG460" s="90"/>
      <c r="AH460" s="90">
        <f>AH458+AH425</f>
        <v>0</v>
      </c>
      <c r="AI460" s="90"/>
      <c r="AJ460" s="90">
        <f>AJ458+AJ425</f>
        <v>0</v>
      </c>
      <c r="AK460" s="90">
        <f>SUM(H460:AJ460)</f>
        <v>29294531</v>
      </c>
      <c r="AL460" s="87" t="str">
        <f>IF(ABS(AK460-F460)&lt;1,"ok","err")</f>
        <v>ok</v>
      </c>
    </row>
    <row r="461" spans="1:38" x14ac:dyDescent="0.5">
      <c r="D461" s="45"/>
      <c r="E461" s="45"/>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L461" s="87"/>
    </row>
    <row r="462" spans="1:38" x14ac:dyDescent="0.5">
      <c r="A462" s="86" t="s">
        <v>1618</v>
      </c>
      <c r="C462" s="86" t="s">
        <v>990</v>
      </c>
      <c r="D462" s="45"/>
      <c r="E462" s="45"/>
      <c r="F462" s="89">
        <f>F460+F402+F409</f>
        <v>90909155</v>
      </c>
      <c r="G462" s="89">
        <f>G460+G409</f>
        <v>0</v>
      </c>
      <c r="H462" s="89">
        <f t="shared" ref="H462:M462" si="508">H460+H402+H409</f>
        <v>36565300.074191041</v>
      </c>
      <c r="I462" s="89">
        <f t="shared" si="508"/>
        <v>0</v>
      </c>
      <c r="J462" s="89">
        <f t="shared" si="508"/>
        <v>0</v>
      </c>
      <c r="K462" s="89">
        <f t="shared" si="508"/>
        <v>25049323.925808959</v>
      </c>
      <c r="L462" s="89">
        <f t="shared" si="508"/>
        <v>0</v>
      </c>
      <c r="M462" s="89">
        <f t="shared" si="508"/>
        <v>0</v>
      </c>
      <c r="N462" s="89"/>
      <c r="O462" s="89">
        <f>O460+O402+O409</f>
        <v>7981123</v>
      </c>
      <c r="P462" s="89">
        <f>P460+P402+P409</f>
        <v>0</v>
      </c>
      <c r="Q462" s="89">
        <f>Q460+Q402+Q409</f>
        <v>0</v>
      </c>
      <c r="R462" s="89"/>
      <c r="S462" s="89">
        <f t="shared" ref="S462:AD462" si="509">S460+S402+S409</f>
        <v>0</v>
      </c>
      <c r="T462" s="89">
        <f t="shared" si="509"/>
        <v>3340868.2140618432</v>
      </c>
      <c r="U462" s="89">
        <f t="shared" si="509"/>
        <v>0</v>
      </c>
      <c r="V462" s="89">
        <f t="shared" si="509"/>
        <v>2657170.6482230253</v>
      </c>
      <c r="W462" s="89">
        <f t="shared" si="509"/>
        <v>5164915.7197563965</v>
      </c>
      <c r="X462" s="89">
        <f t="shared" si="509"/>
        <v>1196217.5746317871</v>
      </c>
      <c r="Y462" s="89">
        <f t="shared" si="509"/>
        <v>2414866.1734948801</v>
      </c>
      <c r="Z462" s="89">
        <f t="shared" si="509"/>
        <v>1743767.3904014884</v>
      </c>
      <c r="AA462" s="89">
        <f t="shared" si="509"/>
        <v>1448769.0320466703</v>
      </c>
      <c r="AB462" s="89">
        <f t="shared" si="509"/>
        <v>1221496.5047909755</v>
      </c>
      <c r="AC462" s="89">
        <f t="shared" si="509"/>
        <v>726471.36724488472</v>
      </c>
      <c r="AD462" s="89">
        <f t="shared" si="509"/>
        <v>1398865.3753480483</v>
      </c>
      <c r="AE462" s="89"/>
      <c r="AF462" s="89">
        <f>AF460+AF402+AF409</f>
        <v>0</v>
      </c>
      <c r="AG462" s="89"/>
      <c r="AH462" s="89">
        <f>AH460+AH402+AH409</f>
        <v>0</v>
      </c>
      <c r="AI462" s="89"/>
      <c r="AJ462" s="89">
        <f>AJ460+AJ402+AJ409</f>
        <v>0</v>
      </c>
      <c r="AK462" s="90">
        <f>SUM(H462:AJ462)</f>
        <v>90909154.999999985</v>
      </c>
      <c r="AL462" s="87" t="str">
        <f>IF(ABS(AK462-F462)&lt;1,"ok","err")</f>
        <v>ok</v>
      </c>
    </row>
    <row r="463" spans="1:38" x14ac:dyDescent="0.5">
      <c r="A463" s="23"/>
      <c r="D463" s="45"/>
      <c r="E463" s="45"/>
      <c r="F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L463" s="87"/>
    </row>
    <row r="464" spans="1:38" x14ac:dyDescent="0.5">
      <c r="A464" s="23" t="s">
        <v>292</v>
      </c>
      <c r="D464" s="45"/>
      <c r="E464" s="45"/>
      <c r="F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L464" s="87"/>
    </row>
    <row r="465" spans="1:38" x14ac:dyDescent="0.5">
      <c r="A465" s="86">
        <v>901</v>
      </c>
      <c r="B465" s="86" t="s">
        <v>293</v>
      </c>
      <c r="C465" s="86" t="s">
        <v>991</v>
      </c>
      <c r="D465" s="45" t="s">
        <v>714</v>
      </c>
      <c r="E465" s="45"/>
      <c r="F465" s="89">
        <f>'Jurisdictional Study'!F1429</f>
        <v>4005700</v>
      </c>
      <c r="H465" s="90">
        <f>IF(VLOOKUP($D465,$C$5:$AJ$596,6,)=0,0,((VLOOKUP($D465,$C$5:$AJ$596,6,)/VLOOKUP($D465,$C$5:$AJ$596,4,))*$F465))</f>
        <v>0</v>
      </c>
      <c r="I465" s="90">
        <f>IF(VLOOKUP($D465,$C$5:$AJ$596,7,)=0,0,((VLOOKUP($D465,$C$5:$AJ$596,7,)/VLOOKUP($D465,$C$5:$AJ$596,4,))*$F465))</f>
        <v>0</v>
      </c>
      <c r="J465" s="90">
        <f>IF(VLOOKUP($D465,$C$5:$AJ$596,8,)=0,0,((VLOOKUP($D465,$C$5:$AJ$596,8,)/VLOOKUP($D465,$C$5:$AJ$596,4,))*$F465))</f>
        <v>0</v>
      </c>
      <c r="K465" s="90">
        <f>IF(VLOOKUP($D465,$C$5:$AJ$596,9,)=0,0,((VLOOKUP($D465,$C$5:$AJ$596,9,)/VLOOKUP($D465,$C$5:$AJ$596,4,))*$F465))</f>
        <v>0</v>
      </c>
      <c r="L465" s="90">
        <f>IF(VLOOKUP($D465,$C$5:$AJ$596,10,)=0,0,((VLOOKUP($D465,$C$5:$AJ$596,10,)/VLOOKUP($D465,$C$5:$AJ$596,4,))*$F465))</f>
        <v>0</v>
      </c>
      <c r="M465" s="90">
        <f>IF(VLOOKUP($D465,$C$5:$AJ$596,11,)=0,0,((VLOOKUP($D465,$C$5:$AJ$596,11,)/VLOOKUP($D465,$C$5:$AJ$596,4,))*$F465))</f>
        <v>0</v>
      </c>
      <c r="N465" s="90"/>
      <c r="O465" s="90">
        <f>IF(VLOOKUP($D465,$C$5:$AJ$596,13,)=0,0,((VLOOKUP($D465,$C$5:$AJ$596,13,)/VLOOKUP($D465,$C$5:$AJ$596,4,))*$F465))</f>
        <v>0</v>
      </c>
      <c r="P465" s="90">
        <f>IF(VLOOKUP($D465,$C$5:$AJ$596,14,)=0,0,((VLOOKUP($D465,$C$5:$AJ$596,14,)/VLOOKUP($D465,$C$5:$AJ$596,4,))*$F465))</f>
        <v>0</v>
      </c>
      <c r="Q465" s="90">
        <f>IF(VLOOKUP($D465,$C$5:$AJ$596,15,)=0,0,((VLOOKUP($D465,$C$5:$AJ$596,15,)/VLOOKUP($D465,$C$5:$AJ$596,4,))*$F465))</f>
        <v>0</v>
      </c>
      <c r="R465" s="90"/>
      <c r="S465" s="90">
        <f>IF(VLOOKUP($D465,$C$5:$AJ$596,17,)=0,0,((VLOOKUP($D465,$C$5:$AJ$596,17,)/VLOOKUP($D465,$C$5:$AJ$596,4,))*$F465))</f>
        <v>0</v>
      </c>
      <c r="T465" s="90">
        <f>IF(VLOOKUP($D465,$C$5:$AJ$596,18,)=0,0,((VLOOKUP($D465,$C$5:$AJ$596,18,)/VLOOKUP($D465,$C$5:$AJ$596,4,))*$F465))</f>
        <v>0</v>
      </c>
      <c r="U465" s="90">
        <f>IF(VLOOKUP($D465,$C$5:$AJ$596,19,)=0,0,((VLOOKUP($D465,$C$5:$AJ$596,19,)/VLOOKUP($D465,$C$5:$AJ$596,4,))*$F465))</f>
        <v>0</v>
      </c>
      <c r="V465" s="90">
        <f>IF(VLOOKUP($D465,$C$5:$AJ$596,20,)=0,0,((VLOOKUP($D465,$C$5:$AJ$596,20,)/VLOOKUP($D465,$C$5:$AJ$596,4,))*$F465))</f>
        <v>0</v>
      </c>
      <c r="W465" s="90">
        <f>IF(VLOOKUP($D465,$C$5:$AJ$596,21,)=0,0,((VLOOKUP($D465,$C$5:$AJ$596,21,)/VLOOKUP($D465,$C$5:$AJ$596,4,))*$F465))</f>
        <v>0</v>
      </c>
      <c r="X465" s="90">
        <f>IF(VLOOKUP($D465,$C$5:$AJ$596,22,)=0,0,((VLOOKUP($D465,$C$5:$AJ$596,22,)/VLOOKUP($D465,$C$5:$AJ$596,4,))*$F465))</f>
        <v>0</v>
      </c>
      <c r="Y465" s="90">
        <f>IF(VLOOKUP($D465,$C$5:$AJ$596,23,)=0,0,((VLOOKUP($D465,$C$5:$AJ$596,23,)/VLOOKUP($D465,$C$5:$AJ$596,4,))*$F465))</f>
        <v>0</v>
      </c>
      <c r="Z465" s="90">
        <f>IF(VLOOKUP($D465,$C$5:$AJ$596,24,)=0,0,((VLOOKUP($D465,$C$5:$AJ$596,24,)/VLOOKUP($D465,$C$5:$AJ$596,4,))*$F465))</f>
        <v>0</v>
      </c>
      <c r="AA465" s="90">
        <f>IF(VLOOKUP($D465,$C$5:$AJ$596,25,)=0,0,((VLOOKUP($D465,$C$5:$AJ$596,25,)/VLOOKUP($D465,$C$5:$AJ$596,4,))*$F465))</f>
        <v>0</v>
      </c>
      <c r="AB465" s="90">
        <f>IF(VLOOKUP($D465,$C$5:$AJ$596,26,)=0,0,((VLOOKUP($D465,$C$5:$AJ$596,26,)/VLOOKUP($D465,$C$5:$AJ$596,4,))*$F465))</f>
        <v>0</v>
      </c>
      <c r="AC465" s="90">
        <f>IF(VLOOKUP($D465,$C$5:$AJ$596,27,)=0,0,((VLOOKUP($D465,$C$5:$AJ$596,27,)/VLOOKUP($D465,$C$5:$AJ$596,4,))*$F465))</f>
        <v>0</v>
      </c>
      <c r="AD465" s="90">
        <f>IF(VLOOKUP($D465,$C$5:$AJ$596,28,)=0,0,((VLOOKUP($D465,$C$5:$AJ$596,28,)/VLOOKUP($D465,$C$5:$AJ$596,4,))*$F465))</f>
        <v>0</v>
      </c>
      <c r="AE465" s="90"/>
      <c r="AF465" s="90">
        <f>IF(VLOOKUP($D465,$C$5:$AJ$596,30,)=0,0,((VLOOKUP($D465,$C$5:$AJ$596,30,)/VLOOKUP($D465,$C$5:$AJ$596,4,))*$F465))</f>
        <v>4005700</v>
      </c>
      <c r="AG465" s="90"/>
      <c r="AH465" s="90">
        <f>IF(VLOOKUP($D465,$C$5:$AJ$596,32,)=0,0,((VLOOKUP($D465,$C$5:$AJ$596,32,)/VLOOKUP($D465,$C$5:$AJ$596,4,))*$F465))</f>
        <v>0</v>
      </c>
      <c r="AI465" s="90"/>
      <c r="AJ465" s="90">
        <f>IF(VLOOKUP($D465,$C$5:$AJ$596,34,)=0,0,((VLOOKUP($D465,$C$5:$AJ$596,34,)/VLOOKUP($D465,$C$5:$AJ$596,4,))*$F465))</f>
        <v>0</v>
      </c>
      <c r="AK465" s="90">
        <f>SUM(H465:AJ465)</f>
        <v>4005700</v>
      </c>
      <c r="AL465" s="87" t="str">
        <f>IF(ABS(AK465-F465)&lt;1,"ok","err")</f>
        <v>ok</v>
      </c>
    </row>
    <row r="466" spans="1:38" x14ac:dyDescent="0.5">
      <c r="A466" s="86">
        <v>902</v>
      </c>
      <c r="B466" s="86" t="s">
        <v>296</v>
      </c>
      <c r="C466" s="86" t="s">
        <v>992</v>
      </c>
      <c r="D466" s="45" t="s">
        <v>714</v>
      </c>
      <c r="E466" s="45"/>
      <c r="F466" s="90">
        <f>'Jurisdictional Study'!F1430</f>
        <v>752362</v>
      </c>
      <c r="H466" s="90">
        <f>IF(VLOOKUP($D466,$C$5:$AJ$596,6,)=0,0,((VLOOKUP($D466,$C$5:$AJ$596,6,)/VLOOKUP($D466,$C$5:$AJ$596,4,))*$F466))</f>
        <v>0</v>
      </c>
      <c r="I466" s="90">
        <f>IF(VLOOKUP($D466,$C$5:$AJ$596,7,)=0,0,((VLOOKUP($D466,$C$5:$AJ$596,7,)/VLOOKUP($D466,$C$5:$AJ$596,4,))*$F466))</f>
        <v>0</v>
      </c>
      <c r="J466" s="90">
        <f>IF(VLOOKUP($D466,$C$5:$AJ$596,8,)=0,0,((VLOOKUP($D466,$C$5:$AJ$596,8,)/VLOOKUP($D466,$C$5:$AJ$596,4,))*$F466))</f>
        <v>0</v>
      </c>
      <c r="K466" s="90">
        <f>IF(VLOOKUP($D466,$C$5:$AJ$596,9,)=0,0,((VLOOKUP($D466,$C$5:$AJ$596,9,)/VLOOKUP($D466,$C$5:$AJ$596,4,))*$F466))</f>
        <v>0</v>
      </c>
      <c r="L466" s="90">
        <f>IF(VLOOKUP($D466,$C$5:$AJ$596,10,)=0,0,((VLOOKUP($D466,$C$5:$AJ$596,10,)/VLOOKUP($D466,$C$5:$AJ$596,4,))*$F466))</f>
        <v>0</v>
      </c>
      <c r="M466" s="90">
        <f>IF(VLOOKUP($D466,$C$5:$AJ$596,11,)=0,0,((VLOOKUP($D466,$C$5:$AJ$596,11,)/VLOOKUP($D466,$C$5:$AJ$596,4,))*$F466))</f>
        <v>0</v>
      </c>
      <c r="N466" s="90"/>
      <c r="O466" s="90">
        <f>IF(VLOOKUP($D466,$C$5:$AJ$596,13,)=0,0,((VLOOKUP($D466,$C$5:$AJ$596,13,)/VLOOKUP($D466,$C$5:$AJ$596,4,))*$F466))</f>
        <v>0</v>
      </c>
      <c r="P466" s="90">
        <f>IF(VLOOKUP($D466,$C$5:$AJ$596,14,)=0,0,((VLOOKUP($D466,$C$5:$AJ$596,14,)/VLOOKUP($D466,$C$5:$AJ$596,4,))*$F466))</f>
        <v>0</v>
      </c>
      <c r="Q466" s="90">
        <f>IF(VLOOKUP($D466,$C$5:$AJ$596,15,)=0,0,((VLOOKUP($D466,$C$5:$AJ$596,15,)/VLOOKUP($D466,$C$5:$AJ$596,4,))*$F466))</f>
        <v>0</v>
      </c>
      <c r="R466" s="90"/>
      <c r="S466" s="90">
        <f>IF(VLOOKUP($D466,$C$5:$AJ$596,17,)=0,0,((VLOOKUP($D466,$C$5:$AJ$596,17,)/VLOOKUP($D466,$C$5:$AJ$596,4,))*$F466))</f>
        <v>0</v>
      </c>
      <c r="T466" s="90">
        <f>IF(VLOOKUP($D466,$C$5:$AJ$596,18,)=0,0,((VLOOKUP($D466,$C$5:$AJ$596,18,)/VLOOKUP($D466,$C$5:$AJ$596,4,))*$F466))</f>
        <v>0</v>
      </c>
      <c r="U466" s="90">
        <f>IF(VLOOKUP($D466,$C$5:$AJ$596,19,)=0,0,((VLOOKUP($D466,$C$5:$AJ$596,19,)/VLOOKUP($D466,$C$5:$AJ$596,4,))*$F466))</f>
        <v>0</v>
      </c>
      <c r="V466" s="90">
        <f>IF(VLOOKUP($D466,$C$5:$AJ$596,20,)=0,0,((VLOOKUP($D466,$C$5:$AJ$596,20,)/VLOOKUP($D466,$C$5:$AJ$596,4,))*$F466))</f>
        <v>0</v>
      </c>
      <c r="W466" s="90">
        <f>IF(VLOOKUP($D466,$C$5:$AJ$596,21,)=0,0,((VLOOKUP($D466,$C$5:$AJ$596,21,)/VLOOKUP($D466,$C$5:$AJ$596,4,))*$F466))</f>
        <v>0</v>
      </c>
      <c r="X466" s="90">
        <f>IF(VLOOKUP($D466,$C$5:$AJ$596,22,)=0,0,((VLOOKUP($D466,$C$5:$AJ$596,22,)/VLOOKUP($D466,$C$5:$AJ$596,4,))*$F466))</f>
        <v>0</v>
      </c>
      <c r="Y466" s="90">
        <f>IF(VLOOKUP($D466,$C$5:$AJ$596,23,)=0,0,((VLOOKUP($D466,$C$5:$AJ$596,23,)/VLOOKUP($D466,$C$5:$AJ$596,4,))*$F466))</f>
        <v>0</v>
      </c>
      <c r="Z466" s="90">
        <f>IF(VLOOKUP($D466,$C$5:$AJ$596,24,)=0,0,((VLOOKUP($D466,$C$5:$AJ$596,24,)/VLOOKUP($D466,$C$5:$AJ$596,4,))*$F466))</f>
        <v>0</v>
      </c>
      <c r="AA466" s="90">
        <f>IF(VLOOKUP($D466,$C$5:$AJ$596,25,)=0,0,((VLOOKUP($D466,$C$5:$AJ$596,25,)/VLOOKUP($D466,$C$5:$AJ$596,4,))*$F466))</f>
        <v>0</v>
      </c>
      <c r="AB466" s="90">
        <f>IF(VLOOKUP($D466,$C$5:$AJ$596,26,)=0,0,((VLOOKUP($D466,$C$5:$AJ$596,26,)/VLOOKUP($D466,$C$5:$AJ$596,4,))*$F466))</f>
        <v>0</v>
      </c>
      <c r="AC466" s="90">
        <f>IF(VLOOKUP($D466,$C$5:$AJ$596,27,)=0,0,((VLOOKUP($D466,$C$5:$AJ$596,27,)/VLOOKUP($D466,$C$5:$AJ$596,4,))*$F466))</f>
        <v>0</v>
      </c>
      <c r="AD466" s="90">
        <f>IF(VLOOKUP($D466,$C$5:$AJ$596,28,)=0,0,((VLOOKUP($D466,$C$5:$AJ$596,28,)/VLOOKUP($D466,$C$5:$AJ$596,4,))*$F466))</f>
        <v>0</v>
      </c>
      <c r="AE466" s="90"/>
      <c r="AF466" s="90">
        <f>IF(VLOOKUP($D466,$C$5:$AJ$596,30,)=0,0,((VLOOKUP($D466,$C$5:$AJ$596,30,)/VLOOKUP($D466,$C$5:$AJ$596,4,))*$F466))</f>
        <v>752362</v>
      </c>
      <c r="AG466" s="90"/>
      <c r="AH466" s="90">
        <f>IF(VLOOKUP($D466,$C$5:$AJ$596,32,)=0,0,((VLOOKUP($D466,$C$5:$AJ$596,32,)/VLOOKUP($D466,$C$5:$AJ$596,4,))*$F466))</f>
        <v>0</v>
      </c>
      <c r="AI466" s="90"/>
      <c r="AJ466" s="90">
        <f>IF(VLOOKUP($D466,$C$5:$AJ$596,34,)=0,0,((VLOOKUP($D466,$C$5:$AJ$596,34,)/VLOOKUP($D466,$C$5:$AJ$596,4,))*$F466))</f>
        <v>0</v>
      </c>
      <c r="AK466" s="90">
        <f>SUM(H466:AJ466)</f>
        <v>752362</v>
      </c>
      <c r="AL466" s="87" t="str">
        <f>IF(ABS(AK466-F466)&lt;1,"ok","err")</f>
        <v>ok</v>
      </c>
    </row>
    <row r="467" spans="1:38" x14ac:dyDescent="0.5">
      <c r="A467" s="86">
        <v>903</v>
      </c>
      <c r="B467" s="86" t="s">
        <v>1306</v>
      </c>
      <c r="C467" s="86" t="s">
        <v>993</v>
      </c>
      <c r="D467" s="45" t="s">
        <v>714</v>
      </c>
      <c r="E467" s="45"/>
      <c r="F467" s="90">
        <f>'Jurisdictional Study'!F1431</f>
        <v>13439006</v>
      </c>
      <c r="H467" s="90">
        <f>IF(VLOOKUP($D467,$C$5:$AJ$596,6,)=0,0,((VLOOKUP($D467,$C$5:$AJ$596,6,)/VLOOKUP($D467,$C$5:$AJ$596,4,))*$F467))</f>
        <v>0</v>
      </c>
      <c r="I467" s="90">
        <f>IF(VLOOKUP($D467,$C$5:$AJ$596,7,)=0,0,((VLOOKUP($D467,$C$5:$AJ$596,7,)/VLOOKUP($D467,$C$5:$AJ$596,4,))*$F467))</f>
        <v>0</v>
      </c>
      <c r="J467" s="90">
        <f>IF(VLOOKUP($D467,$C$5:$AJ$596,8,)=0,0,((VLOOKUP($D467,$C$5:$AJ$596,8,)/VLOOKUP($D467,$C$5:$AJ$596,4,))*$F467))</f>
        <v>0</v>
      </c>
      <c r="K467" s="90">
        <f>IF(VLOOKUP($D467,$C$5:$AJ$596,9,)=0,0,((VLOOKUP($D467,$C$5:$AJ$596,9,)/VLOOKUP($D467,$C$5:$AJ$596,4,))*$F467))</f>
        <v>0</v>
      </c>
      <c r="L467" s="90">
        <f>IF(VLOOKUP($D467,$C$5:$AJ$596,10,)=0,0,((VLOOKUP($D467,$C$5:$AJ$596,10,)/VLOOKUP($D467,$C$5:$AJ$596,4,))*$F467))</f>
        <v>0</v>
      </c>
      <c r="M467" s="90">
        <f>IF(VLOOKUP($D467,$C$5:$AJ$596,11,)=0,0,((VLOOKUP($D467,$C$5:$AJ$596,11,)/VLOOKUP($D467,$C$5:$AJ$596,4,))*$F467))</f>
        <v>0</v>
      </c>
      <c r="N467" s="90"/>
      <c r="O467" s="90">
        <f>IF(VLOOKUP($D467,$C$5:$AJ$596,13,)=0,0,((VLOOKUP($D467,$C$5:$AJ$596,13,)/VLOOKUP($D467,$C$5:$AJ$596,4,))*$F467))</f>
        <v>0</v>
      </c>
      <c r="P467" s="90">
        <f>IF(VLOOKUP($D467,$C$5:$AJ$596,14,)=0,0,((VLOOKUP($D467,$C$5:$AJ$596,14,)/VLOOKUP($D467,$C$5:$AJ$596,4,))*$F467))</f>
        <v>0</v>
      </c>
      <c r="Q467" s="90">
        <f>IF(VLOOKUP($D467,$C$5:$AJ$596,15,)=0,0,((VLOOKUP($D467,$C$5:$AJ$596,15,)/VLOOKUP($D467,$C$5:$AJ$596,4,))*$F467))</f>
        <v>0</v>
      </c>
      <c r="R467" s="90"/>
      <c r="S467" s="90">
        <f>IF(VLOOKUP($D467,$C$5:$AJ$596,17,)=0,0,((VLOOKUP($D467,$C$5:$AJ$596,17,)/VLOOKUP($D467,$C$5:$AJ$596,4,))*$F467))</f>
        <v>0</v>
      </c>
      <c r="T467" s="90">
        <f>IF(VLOOKUP($D467,$C$5:$AJ$596,18,)=0,0,((VLOOKUP($D467,$C$5:$AJ$596,18,)/VLOOKUP($D467,$C$5:$AJ$596,4,))*$F467))</f>
        <v>0</v>
      </c>
      <c r="U467" s="90">
        <f>IF(VLOOKUP($D467,$C$5:$AJ$596,19,)=0,0,((VLOOKUP($D467,$C$5:$AJ$596,19,)/VLOOKUP($D467,$C$5:$AJ$596,4,))*$F467))</f>
        <v>0</v>
      </c>
      <c r="V467" s="90">
        <f>IF(VLOOKUP($D467,$C$5:$AJ$596,20,)=0,0,((VLOOKUP($D467,$C$5:$AJ$596,20,)/VLOOKUP($D467,$C$5:$AJ$596,4,))*$F467))</f>
        <v>0</v>
      </c>
      <c r="W467" s="90">
        <f>IF(VLOOKUP($D467,$C$5:$AJ$596,21,)=0,0,((VLOOKUP($D467,$C$5:$AJ$596,21,)/VLOOKUP($D467,$C$5:$AJ$596,4,))*$F467))</f>
        <v>0</v>
      </c>
      <c r="X467" s="90">
        <f>IF(VLOOKUP($D467,$C$5:$AJ$596,22,)=0,0,((VLOOKUP($D467,$C$5:$AJ$596,22,)/VLOOKUP($D467,$C$5:$AJ$596,4,))*$F467))</f>
        <v>0</v>
      </c>
      <c r="Y467" s="90">
        <f>IF(VLOOKUP($D467,$C$5:$AJ$596,23,)=0,0,((VLOOKUP($D467,$C$5:$AJ$596,23,)/VLOOKUP($D467,$C$5:$AJ$596,4,))*$F467))</f>
        <v>0</v>
      </c>
      <c r="Z467" s="90">
        <f>IF(VLOOKUP($D467,$C$5:$AJ$596,24,)=0,0,((VLOOKUP($D467,$C$5:$AJ$596,24,)/VLOOKUP($D467,$C$5:$AJ$596,4,))*$F467))</f>
        <v>0</v>
      </c>
      <c r="AA467" s="90">
        <f>IF(VLOOKUP($D467,$C$5:$AJ$596,25,)=0,0,((VLOOKUP($D467,$C$5:$AJ$596,25,)/VLOOKUP($D467,$C$5:$AJ$596,4,))*$F467))</f>
        <v>0</v>
      </c>
      <c r="AB467" s="90">
        <f>IF(VLOOKUP($D467,$C$5:$AJ$596,26,)=0,0,((VLOOKUP($D467,$C$5:$AJ$596,26,)/VLOOKUP($D467,$C$5:$AJ$596,4,))*$F467))</f>
        <v>0</v>
      </c>
      <c r="AC467" s="90">
        <f>IF(VLOOKUP($D467,$C$5:$AJ$596,27,)=0,0,((VLOOKUP($D467,$C$5:$AJ$596,27,)/VLOOKUP($D467,$C$5:$AJ$596,4,))*$F467))</f>
        <v>0</v>
      </c>
      <c r="AD467" s="90">
        <f>IF(VLOOKUP($D467,$C$5:$AJ$596,28,)=0,0,((VLOOKUP($D467,$C$5:$AJ$596,28,)/VLOOKUP($D467,$C$5:$AJ$596,4,))*$F467))</f>
        <v>0</v>
      </c>
      <c r="AE467" s="90"/>
      <c r="AF467" s="90">
        <f>IF(VLOOKUP($D467,$C$5:$AJ$596,30,)=0,0,((VLOOKUP($D467,$C$5:$AJ$596,30,)/VLOOKUP($D467,$C$5:$AJ$596,4,))*$F467))</f>
        <v>13439006</v>
      </c>
      <c r="AG467" s="90"/>
      <c r="AH467" s="90">
        <f>IF(VLOOKUP($D467,$C$5:$AJ$596,32,)=0,0,((VLOOKUP($D467,$C$5:$AJ$596,32,)/VLOOKUP($D467,$C$5:$AJ$596,4,))*$F467))</f>
        <v>0</v>
      </c>
      <c r="AI467" s="90"/>
      <c r="AJ467" s="90">
        <f>IF(VLOOKUP($D467,$C$5:$AJ$596,34,)=0,0,((VLOOKUP($D467,$C$5:$AJ$596,34,)/VLOOKUP($D467,$C$5:$AJ$596,4,))*$F467))</f>
        <v>0</v>
      </c>
      <c r="AK467" s="90">
        <f>SUM(H467:AJ467)</f>
        <v>13439006</v>
      </c>
      <c r="AL467" s="87" t="str">
        <f>IF(ABS(AK467-F467)&lt;1,"ok","err")</f>
        <v>ok</v>
      </c>
    </row>
    <row r="468" spans="1:38" x14ac:dyDescent="0.5">
      <c r="A468" s="86">
        <v>904</v>
      </c>
      <c r="B468" s="86" t="s">
        <v>299</v>
      </c>
      <c r="C468" s="86" t="s">
        <v>994</v>
      </c>
      <c r="D468" s="45" t="s">
        <v>714</v>
      </c>
      <c r="E468" s="45"/>
      <c r="F468" s="90">
        <f>'Jurisdictional Study'!F1432</f>
        <v>0</v>
      </c>
      <c r="H468" s="90">
        <f>IF(VLOOKUP($D468,$C$5:$AJ$596,6,)=0,0,((VLOOKUP($D468,$C$5:$AJ$596,6,)/VLOOKUP($D468,$C$5:$AJ$596,4,))*$F468))</f>
        <v>0</v>
      </c>
      <c r="I468" s="90">
        <f>IF(VLOOKUP($D468,$C$5:$AJ$596,7,)=0,0,((VLOOKUP($D468,$C$5:$AJ$596,7,)/VLOOKUP($D468,$C$5:$AJ$596,4,))*$F468))</f>
        <v>0</v>
      </c>
      <c r="J468" s="90">
        <f>IF(VLOOKUP($D468,$C$5:$AJ$596,8,)=0,0,((VLOOKUP($D468,$C$5:$AJ$596,8,)/VLOOKUP($D468,$C$5:$AJ$596,4,))*$F468))</f>
        <v>0</v>
      </c>
      <c r="K468" s="90">
        <f>IF(VLOOKUP($D468,$C$5:$AJ$596,9,)=0,0,((VLOOKUP($D468,$C$5:$AJ$596,9,)/VLOOKUP($D468,$C$5:$AJ$596,4,))*$F468))</f>
        <v>0</v>
      </c>
      <c r="L468" s="90">
        <f>IF(VLOOKUP($D468,$C$5:$AJ$596,10,)=0,0,((VLOOKUP($D468,$C$5:$AJ$596,10,)/VLOOKUP($D468,$C$5:$AJ$596,4,))*$F468))</f>
        <v>0</v>
      </c>
      <c r="M468" s="90">
        <f>IF(VLOOKUP($D468,$C$5:$AJ$596,11,)=0,0,((VLOOKUP($D468,$C$5:$AJ$596,11,)/VLOOKUP($D468,$C$5:$AJ$596,4,))*$F468))</f>
        <v>0</v>
      </c>
      <c r="N468" s="90"/>
      <c r="O468" s="90">
        <f>IF(VLOOKUP($D468,$C$5:$AJ$596,13,)=0,0,((VLOOKUP($D468,$C$5:$AJ$596,13,)/VLOOKUP($D468,$C$5:$AJ$596,4,))*$F468))</f>
        <v>0</v>
      </c>
      <c r="P468" s="90">
        <f>IF(VLOOKUP($D468,$C$5:$AJ$596,14,)=0,0,((VLOOKUP($D468,$C$5:$AJ$596,14,)/VLOOKUP($D468,$C$5:$AJ$596,4,))*$F468))</f>
        <v>0</v>
      </c>
      <c r="Q468" s="90">
        <f>IF(VLOOKUP($D468,$C$5:$AJ$596,15,)=0,0,((VLOOKUP($D468,$C$5:$AJ$596,15,)/VLOOKUP($D468,$C$5:$AJ$596,4,))*$F468))</f>
        <v>0</v>
      </c>
      <c r="R468" s="90"/>
      <c r="S468" s="90">
        <f>IF(VLOOKUP($D468,$C$5:$AJ$596,17,)=0,0,((VLOOKUP($D468,$C$5:$AJ$596,17,)/VLOOKUP($D468,$C$5:$AJ$596,4,))*$F468))</f>
        <v>0</v>
      </c>
      <c r="T468" s="90">
        <f>IF(VLOOKUP($D468,$C$5:$AJ$596,18,)=0,0,((VLOOKUP($D468,$C$5:$AJ$596,18,)/VLOOKUP($D468,$C$5:$AJ$596,4,))*$F468))</f>
        <v>0</v>
      </c>
      <c r="U468" s="90">
        <f>IF(VLOOKUP($D468,$C$5:$AJ$596,19,)=0,0,((VLOOKUP($D468,$C$5:$AJ$596,19,)/VLOOKUP($D468,$C$5:$AJ$596,4,))*$F468))</f>
        <v>0</v>
      </c>
      <c r="V468" s="90">
        <f>IF(VLOOKUP($D468,$C$5:$AJ$596,20,)=0,0,((VLOOKUP($D468,$C$5:$AJ$596,20,)/VLOOKUP($D468,$C$5:$AJ$596,4,))*$F468))</f>
        <v>0</v>
      </c>
      <c r="W468" s="90">
        <f>IF(VLOOKUP($D468,$C$5:$AJ$596,21,)=0,0,((VLOOKUP($D468,$C$5:$AJ$596,21,)/VLOOKUP($D468,$C$5:$AJ$596,4,))*$F468))</f>
        <v>0</v>
      </c>
      <c r="X468" s="90">
        <f>IF(VLOOKUP($D468,$C$5:$AJ$596,22,)=0,0,((VLOOKUP($D468,$C$5:$AJ$596,22,)/VLOOKUP($D468,$C$5:$AJ$596,4,))*$F468))</f>
        <v>0</v>
      </c>
      <c r="Y468" s="90">
        <f>IF(VLOOKUP($D468,$C$5:$AJ$596,23,)=0,0,((VLOOKUP($D468,$C$5:$AJ$596,23,)/VLOOKUP($D468,$C$5:$AJ$596,4,))*$F468))</f>
        <v>0</v>
      </c>
      <c r="Z468" s="90">
        <f>IF(VLOOKUP($D468,$C$5:$AJ$596,24,)=0,0,((VLOOKUP($D468,$C$5:$AJ$596,24,)/VLOOKUP($D468,$C$5:$AJ$596,4,))*$F468))</f>
        <v>0</v>
      </c>
      <c r="AA468" s="90">
        <f>IF(VLOOKUP($D468,$C$5:$AJ$596,25,)=0,0,((VLOOKUP($D468,$C$5:$AJ$596,25,)/VLOOKUP($D468,$C$5:$AJ$596,4,))*$F468))</f>
        <v>0</v>
      </c>
      <c r="AB468" s="90">
        <f>IF(VLOOKUP($D468,$C$5:$AJ$596,26,)=0,0,((VLOOKUP($D468,$C$5:$AJ$596,26,)/VLOOKUP($D468,$C$5:$AJ$596,4,))*$F468))</f>
        <v>0</v>
      </c>
      <c r="AC468" s="90">
        <f>IF(VLOOKUP($D468,$C$5:$AJ$596,27,)=0,0,((VLOOKUP($D468,$C$5:$AJ$596,27,)/VLOOKUP($D468,$C$5:$AJ$596,4,))*$F468))</f>
        <v>0</v>
      </c>
      <c r="AD468" s="90">
        <f>IF(VLOOKUP($D468,$C$5:$AJ$596,28,)=0,0,((VLOOKUP($D468,$C$5:$AJ$596,28,)/VLOOKUP($D468,$C$5:$AJ$596,4,))*$F468))</f>
        <v>0</v>
      </c>
      <c r="AE468" s="90"/>
      <c r="AF468" s="90">
        <f>IF(VLOOKUP($D468,$C$5:$AJ$596,30,)=0,0,((VLOOKUP($D468,$C$5:$AJ$596,30,)/VLOOKUP($D468,$C$5:$AJ$596,4,))*$F468))</f>
        <v>0</v>
      </c>
      <c r="AG468" s="90"/>
      <c r="AH468" s="90">
        <f>IF(VLOOKUP($D468,$C$5:$AJ$596,32,)=0,0,((VLOOKUP($D468,$C$5:$AJ$596,32,)/VLOOKUP($D468,$C$5:$AJ$596,4,))*$F468))</f>
        <v>0</v>
      </c>
      <c r="AI468" s="90"/>
      <c r="AJ468" s="90">
        <f>IF(VLOOKUP($D468,$C$5:$AJ$596,34,)=0,0,((VLOOKUP($D468,$C$5:$AJ$596,34,)/VLOOKUP($D468,$C$5:$AJ$596,4,))*$F468))</f>
        <v>0</v>
      </c>
      <c r="AK468" s="90">
        <f>SUM(H468:AJ468)</f>
        <v>0</v>
      </c>
      <c r="AL468" s="87" t="str">
        <f>IF(ABS(AK468-F468)&lt;1,"ok","err")</f>
        <v>ok</v>
      </c>
    </row>
    <row r="469" spans="1:38" x14ac:dyDescent="0.5">
      <c r="A469" s="86">
        <v>905</v>
      </c>
      <c r="B469" s="86" t="s">
        <v>1307</v>
      </c>
      <c r="C469" s="86" t="s">
        <v>993</v>
      </c>
      <c r="D469" s="45" t="s">
        <v>714</v>
      </c>
      <c r="E469" s="45"/>
      <c r="F469" s="90">
        <f>'Jurisdictional Study'!F1433</f>
        <v>0</v>
      </c>
      <c r="H469" s="90">
        <f>IF(VLOOKUP($D469,$C$5:$AJ$596,6,)=0,0,((VLOOKUP($D469,$C$5:$AJ$596,6,)/VLOOKUP($D469,$C$5:$AJ$596,4,))*$F469))</f>
        <v>0</v>
      </c>
      <c r="I469" s="90">
        <f>IF(VLOOKUP($D469,$C$5:$AJ$596,7,)=0,0,((VLOOKUP($D469,$C$5:$AJ$596,7,)/VLOOKUP($D469,$C$5:$AJ$596,4,))*$F469))</f>
        <v>0</v>
      </c>
      <c r="J469" s="90">
        <f>IF(VLOOKUP($D469,$C$5:$AJ$596,8,)=0,0,((VLOOKUP($D469,$C$5:$AJ$596,8,)/VLOOKUP($D469,$C$5:$AJ$596,4,))*$F469))</f>
        <v>0</v>
      </c>
      <c r="K469" s="90">
        <f>IF(VLOOKUP($D469,$C$5:$AJ$596,9,)=0,0,((VLOOKUP($D469,$C$5:$AJ$596,9,)/VLOOKUP($D469,$C$5:$AJ$596,4,))*$F469))</f>
        <v>0</v>
      </c>
      <c r="L469" s="90">
        <f>IF(VLOOKUP($D469,$C$5:$AJ$596,10,)=0,0,((VLOOKUP($D469,$C$5:$AJ$596,10,)/VLOOKUP($D469,$C$5:$AJ$596,4,))*$F469))</f>
        <v>0</v>
      </c>
      <c r="M469" s="90">
        <f>IF(VLOOKUP($D469,$C$5:$AJ$596,11,)=0,0,((VLOOKUP($D469,$C$5:$AJ$596,11,)/VLOOKUP($D469,$C$5:$AJ$596,4,))*$F469))</f>
        <v>0</v>
      </c>
      <c r="N469" s="90"/>
      <c r="O469" s="90">
        <f>IF(VLOOKUP($D469,$C$5:$AJ$596,13,)=0,0,((VLOOKUP($D469,$C$5:$AJ$596,13,)/VLOOKUP($D469,$C$5:$AJ$596,4,))*$F469))</f>
        <v>0</v>
      </c>
      <c r="P469" s="90">
        <f>IF(VLOOKUP($D469,$C$5:$AJ$596,14,)=0,0,((VLOOKUP($D469,$C$5:$AJ$596,14,)/VLOOKUP($D469,$C$5:$AJ$596,4,))*$F469))</f>
        <v>0</v>
      </c>
      <c r="Q469" s="90">
        <f>IF(VLOOKUP($D469,$C$5:$AJ$596,15,)=0,0,((VLOOKUP($D469,$C$5:$AJ$596,15,)/VLOOKUP($D469,$C$5:$AJ$596,4,))*$F469))</f>
        <v>0</v>
      </c>
      <c r="R469" s="90"/>
      <c r="S469" s="90">
        <f>IF(VLOOKUP($D469,$C$5:$AJ$596,17,)=0,0,((VLOOKUP($D469,$C$5:$AJ$596,17,)/VLOOKUP($D469,$C$5:$AJ$596,4,))*$F469))</f>
        <v>0</v>
      </c>
      <c r="T469" s="90">
        <f>IF(VLOOKUP($D469,$C$5:$AJ$596,18,)=0,0,((VLOOKUP($D469,$C$5:$AJ$596,18,)/VLOOKUP($D469,$C$5:$AJ$596,4,))*$F469))</f>
        <v>0</v>
      </c>
      <c r="U469" s="90">
        <f>IF(VLOOKUP($D469,$C$5:$AJ$596,19,)=0,0,((VLOOKUP($D469,$C$5:$AJ$596,19,)/VLOOKUP($D469,$C$5:$AJ$596,4,))*$F469))</f>
        <v>0</v>
      </c>
      <c r="V469" s="90">
        <f>IF(VLOOKUP($D469,$C$5:$AJ$596,20,)=0,0,((VLOOKUP($D469,$C$5:$AJ$596,20,)/VLOOKUP($D469,$C$5:$AJ$596,4,))*$F469))</f>
        <v>0</v>
      </c>
      <c r="W469" s="90">
        <f>IF(VLOOKUP($D469,$C$5:$AJ$596,21,)=0,0,((VLOOKUP($D469,$C$5:$AJ$596,21,)/VLOOKUP($D469,$C$5:$AJ$596,4,))*$F469))</f>
        <v>0</v>
      </c>
      <c r="X469" s="90">
        <f>IF(VLOOKUP($D469,$C$5:$AJ$596,22,)=0,0,((VLOOKUP($D469,$C$5:$AJ$596,22,)/VLOOKUP($D469,$C$5:$AJ$596,4,))*$F469))</f>
        <v>0</v>
      </c>
      <c r="Y469" s="90">
        <f>IF(VLOOKUP($D469,$C$5:$AJ$596,23,)=0,0,((VLOOKUP($D469,$C$5:$AJ$596,23,)/VLOOKUP($D469,$C$5:$AJ$596,4,))*$F469))</f>
        <v>0</v>
      </c>
      <c r="Z469" s="90">
        <f>IF(VLOOKUP($D469,$C$5:$AJ$596,24,)=0,0,((VLOOKUP($D469,$C$5:$AJ$596,24,)/VLOOKUP($D469,$C$5:$AJ$596,4,))*$F469))</f>
        <v>0</v>
      </c>
      <c r="AA469" s="90">
        <f>IF(VLOOKUP($D469,$C$5:$AJ$596,25,)=0,0,((VLOOKUP($D469,$C$5:$AJ$596,25,)/VLOOKUP($D469,$C$5:$AJ$596,4,))*$F469))</f>
        <v>0</v>
      </c>
      <c r="AB469" s="90">
        <f>IF(VLOOKUP($D469,$C$5:$AJ$596,26,)=0,0,((VLOOKUP($D469,$C$5:$AJ$596,26,)/VLOOKUP($D469,$C$5:$AJ$596,4,))*$F469))</f>
        <v>0</v>
      </c>
      <c r="AC469" s="90">
        <f>IF(VLOOKUP($D469,$C$5:$AJ$596,27,)=0,0,((VLOOKUP($D469,$C$5:$AJ$596,27,)/VLOOKUP($D469,$C$5:$AJ$596,4,))*$F469))</f>
        <v>0</v>
      </c>
      <c r="AD469" s="90">
        <f>IF(VLOOKUP($D469,$C$5:$AJ$596,28,)=0,0,((VLOOKUP($D469,$C$5:$AJ$596,28,)/VLOOKUP($D469,$C$5:$AJ$596,4,))*$F469))</f>
        <v>0</v>
      </c>
      <c r="AE469" s="90"/>
      <c r="AF469" s="90">
        <f>IF(VLOOKUP($D469,$C$5:$AJ$596,30,)=0,0,((VLOOKUP($D469,$C$5:$AJ$596,30,)/VLOOKUP($D469,$C$5:$AJ$596,4,))*$F469))</f>
        <v>0</v>
      </c>
      <c r="AG469" s="90"/>
      <c r="AH469" s="90">
        <f>IF(VLOOKUP($D469,$C$5:$AJ$596,32,)=0,0,((VLOOKUP($D469,$C$5:$AJ$596,32,)/VLOOKUP($D469,$C$5:$AJ$596,4,))*$F469))</f>
        <v>0</v>
      </c>
      <c r="AI469" s="90"/>
      <c r="AJ469" s="90">
        <f>IF(VLOOKUP($D469,$C$5:$AJ$596,34,)=0,0,((VLOOKUP($D469,$C$5:$AJ$596,34,)/VLOOKUP($D469,$C$5:$AJ$596,4,))*$F469))</f>
        <v>0</v>
      </c>
      <c r="AK469" s="90">
        <f>SUM(H469:AJ469)</f>
        <v>0</v>
      </c>
      <c r="AL469" s="87" t="str">
        <f>IF(ABS(AK469-F469)&lt;1,"ok","err")</f>
        <v>ok</v>
      </c>
    </row>
    <row r="470" spans="1:38" x14ac:dyDescent="0.5">
      <c r="A470" s="23"/>
      <c r="D470" s="45"/>
      <c r="E470" s="45"/>
      <c r="F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87"/>
    </row>
    <row r="471" spans="1:38" x14ac:dyDescent="0.5">
      <c r="A471" s="86" t="s">
        <v>1028</v>
      </c>
      <c r="C471" s="86" t="s">
        <v>995</v>
      </c>
      <c r="D471" s="45"/>
      <c r="E471" s="45"/>
      <c r="F471" s="89">
        <f>SUM(F465:F470)</f>
        <v>18197068</v>
      </c>
      <c r="G471" s="89">
        <f>SUM(G465:G470)</f>
        <v>0</v>
      </c>
      <c r="H471" s="89">
        <f t="shared" ref="H471:M471" si="510">SUM(H465:H470)</f>
        <v>0</v>
      </c>
      <c r="I471" s="89">
        <f t="shared" si="510"/>
        <v>0</v>
      </c>
      <c r="J471" s="89">
        <f t="shared" si="510"/>
        <v>0</v>
      </c>
      <c r="K471" s="89">
        <f t="shared" si="510"/>
        <v>0</v>
      </c>
      <c r="L471" s="89">
        <f t="shared" si="510"/>
        <v>0</v>
      </c>
      <c r="M471" s="89">
        <f t="shared" si="510"/>
        <v>0</v>
      </c>
      <c r="N471" s="90"/>
      <c r="O471" s="89">
        <f>SUM(O465:O470)</f>
        <v>0</v>
      </c>
      <c r="P471" s="89">
        <f>SUM(P465:P470)</f>
        <v>0</v>
      </c>
      <c r="Q471" s="89">
        <f>SUM(Q465:Q470)</f>
        <v>0</v>
      </c>
      <c r="R471" s="90"/>
      <c r="S471" s="89">
        <f t="shared" ref="S471:AJ471" si="511">SUM(S465:S470)</f>
        <v>0</v>
      </c>
      <c r="T471" s="89">
        <f t="shared" si="511"/>
        <v>0</v>
      </c>
      <c r="U471" s="89">
        <f t="shared" si="511"/>
        <v>0</v>
      </c>
      <c r="V471" s="89">
        <f t="shared" si="511"/>
        <v>0</v>
      </c>
      <c r="W471" s="89">
        <f t="shared" si="511"/>
        <v>0</v>
      </c>
      <c r="X471" s="89">
        <f t="shared" si="511"/>
        <v>0</v>
      </c>
      <c r="Y471" s="89">
        <f t="shared" si="511"/>
        <v>0</v>
      </c>
      <c r="Z471" s="89">
        <f t="shared" si="511"/>
        <v>0</v>
      </c>
      <c r="AA471" s="89">
        <f t="shared" si="511"/>
        <v>0</v>
      </c>
      <c r="AB471" s="89">
        <f t="shared" si="511"/>
        <v>0</v>
      </c>
      <c r="AC471" s="89">
        <f t="shared" si="511"/>
        <v>0</v>
      </c>
      <c r="AD471" s="89">
        <f t="shared" si="511"/>
        <v>0</v>
      </c>
      <c r="AE471" s="89"/>
      <c r="AF471" s="89">
        <f t="shared" si="511"/>
        <v>18197068</v>
      </c>
      <c r="AG471" s="90"/>
      <c r="AH471" s="89">
        <f t="shared" si="511"/>
        <v>0</v>
      </c>
      <c r="AI471" s="90"/>
      <c r="AJ471" s="89">
        <f t="shared" si="511"/>
        <v>0</v>
      </c>
      <c r="AK471" s="90">
        <f>SUM(H471:AJ471)</f>
        <v>18197068</v>
      </c>
      <c r="AL471" s="87" t="str">
        <f>IF(ABS(AK471-F471)&lt;1,"ok","err")</f>
        <v>ok</v>
      </c>
    </row>
    <row r="472" spans="1:38" x14ac:dyDescent="0.5">
      <c r="D472" s="45"/>
      <c r="E472" s="45"/>
      <c r="F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L472" s="87"/>
    </row>
    <row r="473" spans="1:38" x14ac:dyDescent="0.5">
      <c r="A473" s="23" t="s">
        <v>303</v>
      </c>
      <c r="D473" s="45"/>
      <c r="E473" s="45"/>
      <c r="F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L473" s="87"/>
    </row>
    <row r="474" spans="1:38" x14ac:dyDescent="0.5">
      <c r="A474" s="86">
        <v>907</v>
      </c>
      <c r="B474" s="86" t="s">
        <v>465</v>
      </c>
      <c r="C474" s="86" t="s">
        <v>996</v>
      </c>
      <c r="D474" s="45" t="s">
        <v>715</v>
      </c>
      <c r="E474" s="45"/>
      <c r="F474" s="89">
        <f>'Jurisdictional Study'!F1438</f>
        <v>350160</v>
      </c>
      <c r="H474" s="90">
        <f t="shared" ref="H474:H483" si="512">IF(VLOOKUP($D474,$C$5:$AJ$596,6,)=0,0,((VLOOKUP($D474,$C$5:$AJ$596,6,)/VLOOKUP($D474,$C$5:$AJ$596,4,))*$F474))</f>
        <v>0</v>
      </c>
      <c r="I474" s="90">
        <f t="shared" ref="I474:I483" si="513">IF(VLOOKUP($D474,$C$5:$AJ$596,7,)=0,0,((VLOOKUP($D474,$C$5:$AJ$596,7,)/VLOOKUP($D474,$C$5:$AJ$596,4,))*$F474))</f>
        <v>0</v>
      </c>
      <c r="J474" s="90">
        <f t="shared" ref="J474:J483" si="514">IF(VLOOKUP($D474,$C$5:$AJ$596,8,)=0,0,((VLOOKUP($D474,$C$5:$AJ$596,8,)/VLOOKUP($D474,$C$5:$AJ$596,4,))*$F474))</f>
        <v>0</v>
      </c>
      <c r="K474" s="90">
        <f t="shared" ref="K474:K483" si="515">IF(VLOOKUP($D474,$C$5:$AJ$596,9,)=0,0,((VLOOKUP($D474,$C$5:$AJ$596,9,)/VLOOKUP($D474,$C$5:$AJ$596,4,))*$F474))</f>
        <v>0</v>
      </c>
      <c r="L474" s="90">
        <f t="shared" ref="L474:L483" si="516">IF(VLOOKUP($D474,$C$5:$AJ$596,10,)=0,0,((VLOOKUP($D474,$C$5:$AJ$596,10,)/VLOOKUP($D474,$C$5:$AJ$596,4,))*$F474))</f>
        <v>0</v>
      </c>
      <c r="M474" s="90">
        <f t="shared" ref="M474:M483" si="517">IF(VLOOKUP($D474,$C$5:$AJ$596,11,)=0,0,((VLOOKUP($D474,$C$5:$AJ$596,11,)/VLOOKUP($D474,$C$5:$AJ$596,4,))*$F474))</f>
        <v>0</v>
      </c>
      <c r="N474" s="90"/>
      <c r="O474" s="90">
        <f t="shared" ref="O474:O483" si="518">IF(VLOOKUP($D474,$C$5:$AJ$596,13,)=0,0,((VLOOKUP($D474,$C$5:$AJ$596,13,)/VLOOKUP($D474,$C$5:$AJ$596,4,))*$F474))</f>
        <v>0</v>
      </c>
      <c r="P474" s="90">
        <f t="shared" ref="P474:P483" si="519">IF(VLOOKUP($D474,$C$5:$AJ$596,14,)=0,0,((VLOOKUP($D474,$C$5:$AJ$596,14,)/VLOOKUP($D474,$C$5:$AJ$596,4,))*$F474))</f>
        <v>0</v>
      </c>
      <c r="Q474" s="90">
        <f t="shared" ref="Q474:Q483" si="520">IF(VLOOKUP($D474,$C$5:$AJ$596,15,)=0,0,((VLOOKUP($D474,$C$5:$AJ$596,15,)/VLOOKUP($D474,$C$5:$AJ$596,4,))*$F474))</f>
        <v>0</v>
      </c>
      <c r="R474" s="90"/>
      <c r="S474" s="90">
        <f t="shared" ref="S474:S483" si="521">IF(VLOOKUP($D474,$C$5:$AJ$596,17,)=0,0,((VLOOKUP($D474,$C$5:$AJ$596,17,)/VLOOKUP($D474,$C$5:$AJ$596,4,))*$F474))</f>
        <v>0</v>
      </c>
      <c r="T474" s="90">
        <f t="shared" ref="T474:T483" si="522">IF(VLOOKUP($D474,$C$5:$AJ$596,18,)=0,0,((VLOOKUP($D474,$C$5:$AJ$596,18,)/VLOOKUP($D474,$C$5:$AJ$596,4,))*$F474))</f>
        <v>0</v>
      </c>
      <c r="U474" s="90">
        <f t="shared" ref="U474:U483" si="523">IF(VLOOKUP($D474,$C$5:$AJ$596,19,)=0,0,((VLOOKUP($D474,$C$5:$AJ$596,19,)/VLOOKUP($D474,$C$5:$AJ$596,4,))*$F474))</f>
        <v>0</v>
      </c>
      <c r="V474" s="90">
        <f t="shared" ref="V474:V483" si="524">IF(VLOOKUP($D474,$C$5:$AJ$596,20,)=0,0,((VLOOKUP($D474,$C$5:$AJ$596,20,)/VLOOKUP($D474,$C$5:$AJ$596,4,))*$F474))</f>
        <v>0</v>
      </c>
      <c r="W474" s="90">
        <f t="shared" ref="W474:W483" si="525">IF(VLOOKUP($D474,$C$5:$AJ$596,21,)=0,0,((VLOOKUP($D474,$C$5:$AJ$596,21,)/VLOOKUP($D474,$C$5:$AJ$596,4,))*$F474))</f>
        <v>0</v>
      </c>
      <c r="X474" s="90">
        <f t="shared" ref="X474:X483" si="526">IF(VLOOKUP($D474,$C$5:$AJ$596,22,)=0,0,((VLOOKUP($D474,$C$5:$AJ$596,22,)/VLOOKUP($D474,$C$5:$AJ$596,4,))*$F474))</f>
        <v>0</v>
      </c>
      <c r="Y474" s="90">
        <f t="shared" ref="Y474:Y483" si="527">IF(VLOOKUP($D474,$C$5:$AJ$596,23,)=0,0,((VLOOKUP($D474,$C$5:$AJ$596,23,)/VLOOKUP($D474,$C$5:$AJ$596,4,))*$F474))</f>
        <v>0</v>
      </c>
      <c r="Z474" s="90">
        <f t="shared" ref="Z474:Z483" si="528">IF(VLOOKUP($D474,$C$5:$AJ$596,24,)=0,0,((VLOOKUP($D474,$C$5:$AJ$596,24,)/VLOOKUP($D474,$C$5:$AJ$596,4,))*$F474))</f>
        <v>0</v>
      </c>
      <c r="AA474" s="90">
        <f t="shared" ref="AA474:AA483" si="529">IF(VLOOKUP($D474,$C$5:$AJ$596,25,)=0,0,((VLOOKUP($D474,$C$5:$AJ$596,25,)/VLOOKUP($D474,$C$5:$AJ$596,4,))*$F474))</f>
        <v>0</v>
      </c>
      <c r="AB474" s="90">
        <f t="shared" ref="AB474:AB483" si="530">IF(VLOOKUP($D474,$C$5:$AJ$596,26,)=0,0,((VLOOKUP($D474,$C$5:$AJ$596,26,)/VLOOKUP($D474,$C$5:$AJ$596,4,))*$F474))</f>
        <v>0</v>
      </c>
      <c r="AC474" s="90">
        <f t="shared" ref="AC474:AC483" si="531">IF(VLOOKUP($D474,$C$5:$AJ$596,27,)=0,0,((VLOOKUP($D474,$C$5:$AJ$596,27,)/VLOOKUP($D474,$C$5:$AJ$596,4,))*$F474))</f>
        <v>0</v>
      </c>
      <c r="AD474" s="90">
        <f t="shared" ref="AD474:AD483" si="532">IF(VLOOKUP($D474,$C$5:$AJ$596,28,)=0,0,((VLOOKUP($D474,$C$5:$AJ$596,28,)/VLOOKUP($D474,$C$5:$AJ$596,4,))*$F474))</f>
        <v>0</v>
      </c>
      <c r="AE474" s="90"/>
      <c r="AF474" s="90">
        <f t="shared" ref="AF474:AF483" si="533">IF(VLOOKUP($D474,$C$5:$AJ$596,30,)=0,0,((VLOOKUP($D474,$C$5:$AJ$596,30,)/VLOOKUP($D474,$C$5:$AJ$596,4,))*$F474))</f>
        <v>0</v>
      </c>
      <c r="AG474" s="90"/>
      <c r="AH474" s="90">
        <f t="shared" ref="AH474:AH483" si="534">IF(VLOOKUP($D474,$C$5:$AJ$596,32,)=0,0,((VLOOKUP($D474,$C$5:$AJ$596,32,)/VLOOKUP($D474,$C$5:$AJ$596,4,))*$F474))</f>
        <v>350160</v>
      </c>
      <c r="AI474" s="90"/>
      <c r="AJ474" s="90">
        <f t="shared" ref="AJ474:AJ483" si="535">IF(VLOOKUP($D474,$C$5:$AJ$596,34,)=0,0,((VLOOKUP($D474,$C$5:$AJ$596,34,)/VLOOKUP($D474,$C$5:$AJ$596,4,))*$F474))</f>
        <v>0</v>
      </c>
      <c r="AK474" s="90">
        <f t="shared" ref="AK474:AK483" si="536">SUM(H474:AJ474)</f>
        <v>350160</v>
      </c>
      <c r="AL474" s="87" t="str">
        <f t="shared" ref="AL474:AL483" si="537">IF(ABS(AK474-F474)&lt;1,"ok","err")</f>
        <v>ok</v>
      </c>
    </row>
    <row r="475" spans="1:38" x14ac:dyDescent="0.5">
      <c r="A475" s="86">
        <v>908</v>
      </c>
      <c r="B475" s="86" t="s">
        <v>1176</v>
      </c>
      <c r="C475" s="86" t="s">
        <v>997</v>
      </c>
      <c r="D475" s="45" t="s">
        <v>715</v>
      </c>
      <c r="E475" s="45"/>
      <c r="F475" s="90">
        <f>'Jurisdictional Study'!F1439</f>
        <v>1306105</v>
      </c>
      <c r="H475" s="90">
        <f t="shared" si="512"/>
        <v>0</v>
      </c>
      <c r="I475" s="90">
        <f t="shared" si="513"/>
        <v>0</v>
      </c>
      <c r="J475" s="90">
        <f t="shared" si="514"/>
        <v>0</v>
      </c>
      <c r="K475" s="90">
        <f t="shared" si="515"/>
        <v>0</v>
      </c>
      <c r="L475" s="90">
        <f t="shared" si="516"/>
        <v>0</v>
      </c>
      <c r="M475" s="90">
        <f t="shared" si="517"/>
        <v>0</v>
      </c>
      <c r="N475" s="90"/>
      <c r="O475" s="90">
        <f t="shared" si="518"/>
        <v>0</v>
      </c>
      <c r="P475" s="90">
        <f t="shared" si="519"/>
        <v>0</v>
      </c>
      <c r="Q475" s="90">
        <f t="shared" si="520"/>
        <v>0</v>
      </c>
      <c r="R475" s="90"/>
      <c r="S475" s="90">
        <f t="shared" si="521"/>
        <v>0</v>
      </c>
      <c r="T475" s="90">
        <f t="shared" si="522"/>
        <v>0</v>
      </c>
      <c r="U475" s="90">
        <f t="shared" si="523"/>
        <v>0</v>
      </c>
      <c r="V475" s="90">
        <f t="shared" si="524"/>
        <v>0</v>
      </c>
      <c r="W475" s="90">
        <f t="shared" si="525"/>
        <v>0</v>
      </c>
      <c r="X475" s="90">
        <f t="shared" si="526"/>
        <v>0</v>
      </c>
      <c r="Y475" s="90">
        <f t="shared" si="527"/>
        <v>0</v>
      </c>
      <c r="Z475" s="90">
        <f t="shared" si="528"/>
        <v>0</v>
      </c>
      <c r="AA475" s="90">
        <f t="shared" si="529"/>
        <v>0</v>
      </c>
      <c r="AB475" s="90">
        <f t="shared" si="530"/>
        <v>0</v>
      </c>
      <c r="AC475" s="90">
        <f t="shared" si="531"/>
        <v>0</v>
      </c>
      <c r="AD475" s="90">
        <f t="shared" si="532"/>
        <v>0</v>
      </c>
      <c r="AE475" s="90"/>
      <c r="AF475" s="90">
        <f t="shared" si="533"/>
        <v>0</v>
      </c>
      <c r="AG475" s="90"/>
      <c r="AH475" s="90">
        <f t="shared" si="534"/>
        <v>1306105</v>
      </c>
      <c r="AI475" s="90"/>
      <c r="AJ475" s="90">
        <f t="shared" si="535"/>
        <v>0</v>
      </c>
      <c r="AK475" s="90">
        <f t="shared" si="536"/>
        <v>1306105</v>
      </c>
      <c r="AL475" s="87" t="str">
        <f t="shared" si="537"/>
        <v>ok</v>
      </c>
    </row>
    <row r="476" spans="1:38" x14ac:dyDescent="0.5">
      <c r="A476" s="86">
        <v>908</v>
      </c>
      <c r="B476" s="86" t="s">
        <v>1308</v>
      </c>
      <c r="C476" s="86" t="s">
        <v>998</v>
      </c>
      <c r="D476" s="45" t="s">
        <v>715</v>
      </c>
      <c r="E476" s="45"/>
      <c r="F476" s="90">
        <v>0</v>
      </c>
      <c r="H476" s="90">
        <f t="shared" si="512"/>
        <v>0</v>
      </c>
      <c r="I476" s="90">
        <f t="shared" si="513"/>
        <v>0</v>
      </c>
      <c r="J476" s="90">
        <f t="shared" si="514"/>
        <v>0</v>
      </c>
      <c r="K476" s="90">
        <f t="shared" si="515"/>
        <v>0</v>
      </c>
      <c r="L476" s="90">
        <f t="shared" si="516"/>
        <v>0</v>
      </c>
      <c r="M476" s="90">
        <f t="shared" si="517"/>
        <v>0</v>
      </c>
      <c r="N476" s="90"/>
      <c r="O476" s="90">
        <f t="shared" si="518"/>
        <v>0</v>
      </c>
      <c r="P476" s="90">
        <f t="shared" si="519"/>
        <v>0</v>
      </c>
      <c r="Q476" s="90">
        <f t="shared" si="520"/>
        <v>0</v>
      </c>
      <c r="R476" s="90"/>
      <c r="S476" s="90">
        <f t="shared" si="521"/>
        <v>0</v>
      </c>
      <c r="T476" s="90">
        <f t="shared" si="522"/>
        <v>0</v>
      </c>
      <c r="U476" s="90">
        <f t="shared" si="523"/>
        <v>0</v>
      </c>
      <c r="V476" s="90">
        <f t="shared" si="524"/>
        <v>0</v>
      </c>
      <c r="W476" s="90">
        <f t="shared" si="525"/>
        <v>0</v>
      </c>
      <c r="X476" s="90">
        <f t="shared" si="526"/>
        <v>0</v>
      </c>
      <c r="Y476" s="90">
        <f t="shared" si="527"/>
        <v>0</v>
      </c>
      <c r="Z476" s="90">
        <f t="shared" si="528"/>
        <v>0</v>
      </c>
      <c r="AA476" s="90">
        <f t="shared" si="529"/>
        <v>0</v>
      </c>
      <c r="AB476" s="90">
        <f t="shared" si="530"/>
        <v>0</v>
      </c>
      <c r="AC476" s="90">
        <f t="shared" si="531"/>
        <v>0</v>
      </c>
      <c r="AD476" s="90">
        <f t="shared" si="532"/>
        <v>0</v>
      </c>
      <c r="AE476" s="90"/>
      <c r="AF476" s="90">
        <f t="shared" si="533"/>
        <v>0</v>
      </c>
      <c r="AG476" s="90"/>
      <c r="AH476" s="90">
        <f t="shared" si="534"/>
        <v>0</v>
      </c>
      <c r="AI476" s="90"/>
      <c r="AJ476" s="90">
        <f t="shared" si="535"/>
        <v>0</v>
      </c>
      <c r="AK476" s="90">
        <f t="shared" si="536"/>
        <v>0</v>
      </c>
      <c r="AL476" s="87" t="str">
        <f t="shared" si="537"/>
        <v>ok</v>
      </c>
    </row>
    <row r="477" spans="1:38" x14ac:dyDescent="0.5">
      <c r="A477" s="86">
        <v>909</v>
      </c>
      <c r="B477" s="86" t="s">
        <v>1178</v>
      </c>
      <c r="C477" s="86" t="s">
        <v>999</v>
      </c>
      <c r="D477" s="45" t="s">
        <v>715</v>
      </c>
      <c r="E477" s="45"/>
      <c r="F477" s="90">
        <f>'Jurisdictional Study'!F1440</f>
        <v>0</v>
      </c>
      <c r="H477" s="90">
        <f t="shared" si="512"/>
        <v>0</v>
      </c>
      <c r="I477" s="90">
        <f t="shared" si="513"/>
        <v>0</v>
      </c>
      <c r="J477" s="90">
        <f t="shared" si="514"/>
        <v>0</v>
      </c>
      <c r="K477" s="90">
        <f t="shared" si="515"/>
        <v>0</v>
      </c>
      <c r="L477" s="90">
        <f t="shared" si="516"/>
        <v>0</v>
      </c>
      <c r="M477" s="90">
        <f t="shared" si="517"/>
        <v>0</v>
      </c>
      <c r="N477" s="90"/>
      <c r="O477" s="90">
        <f t="shared" si="518"/>
        <v>0</v>
      </c>
      <c r="P477" s="90">
        <f t="shared" si="519"/>
        <v>0</v>
      </c>
      <c r="Q477" s="90">
        <f t="shared" si="520"/>
        <v>0</v>
      </c>
      <c r="R477" s="90"/>
      <c r="S477" s="90">
        <f t="shared" si="521"/>
        <v>0</v>
      </c>
      <c r="T477" s="90">
        <f t="shared" si="522"/>
        <v>0</v>
      </c>
      <c r="U477" s="90">
        <f t="shared" si="523"/>
        <v>0</v>
      </c>
      <c r="V477" s="90">
        <f t="shared" si="524"/>
        <v>0</v>
      </c>
      <c r="W477" s="90">
        <f t="shared" si="525"/>
        <v>0</v>
      </c>
      <c r="X477" s="90">
        <f t="shared" si="526"/>
        <v>0</v>
      </c>
      <c r="Y477" s="90">
        <f t="shared" si="527"/>
        <v>0</v>
      </c>
      <c r="Z477" s="90">
        <f t="shared" si="528"/>
        <v>0</v>
      </c>
      <c r="AA477" s="90">
        <f t="shared" si="529"/>
        <v>0</v>
      </c>
      <c r="AB477" s="90">
        <f t="shared" si="530"/>
        <v>0</v>
      </c>
      <c r="AC477" s="90">
        <f t="shared" si="531"/>
        <v>0</v>
      </c>
      <c r="AD477" s="90">
        <f t="shared" si="532"/>
        <v>0</v>
      </c>
      <c r="AE477" s="90"/>
      <c r="AF477" s="90">
        <f t="shared" si="533"/>
        <v>0</v>
      </c>
      <c r="AG477" s="90"/>
      <c r="AH477" s="90">
        <f t="shared" si="534"/>
        <v>0</v>
      </c>
      <c r="AI477" s="90"/>
      <c r="AJ477" s="90">
        <f t="shared" si="535"/>
        <v>0</v>
      </c>
      <c r="AK477" s="90">
        <f t="shared" si="536"/>
        <v>0</v>
      </c>
      <c r="AL477" s="87" t="str">
        <f t="shared" si="537"/>
        <v>ok</v>
      </c>
    </row>
    <row r="478" spans="1:38" x14ac:dyDescent="0.5">
      <c r="A478" s="86">
        <v>909</v>
      </c>
      <c r="B478" s="86" t="s">
        <v>1310</v>
      </c>
      <c r="C478" s="86" t="s">
        <v>1000</v>
      </c>
      <c r="D478" s="45" t="s">
        <v>715</v>
      </c>
      <c r="E478" s="45"/>
      <c r="F478" s="90">
        <v>0</v>
      </c>
      <c r="H478" s="90">
        <f t="shared" si="512"/>
        <v>0</v>
      </c>
      <c r="I478" s="90">
        <f t="shared" si="513"/>
        <v>0</v>
      </c>
      <c r="J478" s="90">
        <f t="shared" si="514"/>
        <v>0</v>
      </c>
      <c r="K478" s="90">
        <f t="shared" si="515"/>
        <v>0</v>
      </c>
      <c r="L478" s="90">
        <f t="shared" si="516"/>
        <v>0</v>
      </c>
      <c r="M478" s="90">
        <f t="shared" si="517"/>
        <v>0</v>
      </c>
      <c r="N478" s="90"/>
      <c r="O478" s="90">
        <f t="shared" si="518"/>
        <v>0</v>
      </c>
      <c r="P478" s="90">
        <f t="shared" si="519"/>
        <v>0</v>
      </c>
      <c r="Q478" s="90">
        <f t="shared" si="520"/>
        <v>0</v>
      </c>
      <c r="R478" s="90"/>
      <c r="S478" s="90">
        <f t="shared" si="521"/>
        <v>0</v>
      </c>
      <c r="T478" s="90">
        <f t="shared" si="522"/>
        <v>0</v>
      </c>
      <c r="U478" s="90">
        <f t="shared" si="523"/>
        <v>0</v>
      </c>
      <c r="V478" s="90">
        <f t="shared" si="524"/>
        <v>0</v>
      </c>
      <c r="W478" s="90">
        <f t="shared" si="525"/>
        <v>0</v>
      </c>
      <c r="X478" s="90">
        <f t="shared" si="526"/>
        <v>0</v>
      </c>
      <c r="Y478" s="90">
        <f t="shared" si="527"/>
        <v>0</v>
      </c>
      <c r="Z478" s="90">
        <f t="shared" si="528"/>
        <v>0</v>
      </c>
      <c r="AA478" s="90">
        <f t="shared" si="529"/>
        <v>0</v>
      </c>
      <c r="AB478" s="90">
        <f t="shared" si="530"/>
        <v>0</v>
      </c>
      <c r="AC478" s="90">
        <f t="shared" si="531"/>
        <v>0</v>
      </c>
      <c r="AD478" s="90">
        <f t="shared" si="532"/>
        <v>0</v>
      </c>
      <c r="AE478" s="90"/>
      <c r="AF478" s="90">
        <f t="shared" si="533"/>
        <v>0</v>
      </c>
      <c r="AG478" s="90"/>
      <c r="AH478" s="90">
        <f t="shared" si="534"/>
        <v>0</v>
      </c>
      <c r="AI478" s="90"/>
      <c r="AJ478" s="90">
        <f t="shared" si="535"/>
        <v>0</v>
      </c>
      <c r="AK478" s="90">
        <f t="shared" si="536"/>
        <v>0</v>
      </c>
      <c r="AL478" s="87" t="str">
        <f t="shared" si="537"/>
        <v>ok</v>
      </c>
    </row>
    <row r="479" spans="1:38" x14ac:dyDescent="0.5">
      <c r="A479" s="86">
        <v>910</v>
      </c>
      <c r="B479" s="86" t="s">
        <v>1180</v>
      </c>
      <c r="C479" s="86" t="s">
        <v>1001</v>
      </c>
      <c r="D479" s="45" t="s">
        <v>715</v>
      </c>
      <c r="E479" s="45"/>
      <c r="F479" s="90">
        <f>'Jurisdictional Study'!F1441</f>
        <v>516578</v>
      </c>
      <c r="H479" s="90">
        <f t="shared" si="512"/>
        <v>0</v>
      </c>
      <c r="I479" s="90">
        <f t="shared" si="513"/>
        <v>0</v>
      </c>
      <c r="J479" s="90">
        <f t="shared" si="514"/>
        <v>0</v>
      </c>
      <c r="K479" s="90">
        <f t="shared" si="515"/>
        <v>0</v>
      </c>
      <c r="L479" s="90">
        <f t="shared" si="516"/>
        <v>0</v>
      </c>
      <c r="M479" s="90">
        <f t="shared" si="517"/>
        <v>0</v>
      </c>
      <c r="N479" s="90"/>
      <c r="O479" s="90">
        <f t="shared" si="518"/>
        <v>0</v>
      </c>
      <c r="P479" s="90">
        <f t="shared" si="519"/>
        <v>0</v>
      </c>
      <c r="Q479" s="90">
        <f t="shared" si="520"/>
        <v>0</v>
      </c>
      <c r="R479" s="90"/>
      <c r="S479" s="90">
        <f t="shared" si="521"/>
        <v>0</v>
      </c>
      <c r="T479" s="90">
        <f t="shared" si="522"/>
        <v>0</v>
      </c>
      <c r="U479" s="90">
        <f t="shared" si="523"/>
        <v>0</v>
      </c>
      <c r="V479" s="90">
        <f t="shared" si="524"/>
        <v>0</v>
      </c>
      <c r="W479" s="90">
        <f t="shared" si="525"/>
        <v>0</v>
      </c>
      <c r="X479" s="90">
        <f t="shared" si="526"/>
        <v>0</v>
      </c>
      <c r="Y479" s="90">
        <f t="shared" si="527"/>
        <v>0</v>
      </c>
      <c r="Z479" s="90">
        <f t="shared" si="528"/>
        <v>0</v>
      </c>
      <c r="AA479" s="90">
        <f t="shared" si="529"/>
        <v>0</v>
      </c>
      <c r="AB479" s="90">
        <f t="shared" si="530"/>
        <v>0</v>
      </c>
      <c r="AC479" s="90">
        <f t="shared" si="531"/>
        <v>0</v>
      </c>
      <c r="AD479" s="90">
        <f t="shared" si="532"/>
        <v>0</v>
      </c>
      <c r="AE479" s="90"/>
      <c r="AF479" s="90">
        <f t="shared" si="533"/>
        <v>0</v>
      </c>
      <c r="AG479" s="90"/>
      <c r="AH479" s="90">
        <f t="shared" si="534"/>
        <v>516578</v>
      </c>
      <c r="AI479" s="90"/>
      <c r="AJ479" s="90">
        <f t="shared" si="535"/>
        <v>0</v>
      </c>
      <c r="AK479" s="90">
        <f t="shared" si="536"/>
        <v>516578</v>
      </c>
      <c r="AL479" s="87" t="str">
        <f t="shared" si="537"/>
        <v>ok</v>
      </c>
    </row>
    <row r="480" spans="1:38" x14ac:dyDescent="0.5">
      <c r="A480" s="86">
        <v>911</v>
      </c>
      <c r="B480" s="86" t="s">
        <v>843</v>
      </c>
      <c r="C480" s="86" t="s">
        <v>930</v>
      </c>
      <c r="D480" s="322" t="s">
        <v>715</v>
      </c>
      <c r="E480" s="45"/>
      <c r="F480" s="90">
        <f>'Jurisdictional Study'!F1442</f>
        <v>0</v>
      </c>
      <c r="H480" s="90">
        <f t="shared" si="512"/>
        <v>0</v>
      </c>
      <c r="I480" s="90">
        <f t="shared" si="513"/>
        <v>0</v>
      </c>
      <c r="J480" s="90">
        <f t="shared" si="514"/>
        <v>0</v>
      </c>
      <c r="K480" s="90">
        <f t="shared" si="515"/>
        <v>0</v>
      </c>
      <c r="L480" s="90">
        <f t="shared" si="516"/>
        <v>0</v>
      </c>
      <c r="M480" s="90">
        <f t="shared" si="517"/>
        <v>0</v>
      </c>
      <c r="N480" s="90"/>
      <c r="O480" s="90">
        <f t="shared" si="518"/>
        <v>0</v>
      </c>
      <c r="P480" s="90">
        <f t="shared" si="519"/>
        <v>0</v>
      </c>
      <c r="Q480" s="90">
        <f t="shared" si="520"/>
        <v>0</v>
      </c>
      <c r="R480" s="90"/>
      <c r="S480" s="90">
        <f t="shared" si="521"/>
        <v>0</v>
      </c>
      <c r="T480" s="90">
        <f t="shared" si="522"/>
        <v>0</v>
      </c>
      <c r="U480" s="90">
        <f t="shared" si="523"/>
        <v>0</v>
      </c>
      <c r="V480" s="90">
        <f t="shared" si="524"/>
        <v>0</v>
      </c>
      <c r="W480" s="90">
        <f t="shared" si="525"/>
        <v>0</v>
      </c>
      <c r="X480" s="90">
        <f t="shared" si="526"/>
        <v>0</v>
      </c>
      <c r="Y480" s="90">
        <f t="shared" si="527"/>
        <v>0</v>
      </c>
      <c r="Z480" s="90">
        <f t="shared" si="528"/>
        <v>0</v>
      </c>
      <c r="AA480" s="90">
        <f t="shared" si="529"/>
        <v>0</v>
      </c>
      <c r="AB480" s="90">
        <f t="shared" si="530"/>
        <v>0</v>
      </c>
      <c r="AC480" s="90">
        <f t="shared" si="531"/>
        <v>0</v>
      </c>
      <c r="AD480" s="90">
        <f t="shared" si="532"/>
        <v>0</v>
      </c>
      <c r="AE480" s="90"/>
      <c r="AF480" s="90">
        <f t="shared" si="533"/>
        <v>0</v>
      </c>
      <c r="AG480" s="90"/>
      <c r="AH480" s="90">
        <f t="shared" si="534"/>
        <v>0</v>
      </c>
      <c r="AI480" s="90"/>
      <c r="AJ480" s="90">
        <f t="shared" si="535"/>
        <v>0</v>
      </c>
      <c r="AK480" s="90">
        <f t="shared" si="536"/>
        <v>0</v>
      </c>
      <c r="AL480" s="87" t="str">
        <f t="shared" si="537"/>
        <v>ok</v>
      </c>
    </row>
    <row r="481" spans="1:38" x14ac:dyDescent="0.5">
      <c r="A481" s="86">
        <v>912</v>
      </c>
      <c r="B481" s="86" t="s">
        <v>843</v>
      </c>
      <c r="C481" s="86" t="s">
        <v>846</v>
      </c>
      <c r="D481" s="322" t="s">
        <v>715</v>
      </c>
      <c r="E481" s="45"/>
      <c r="F481" s="90">
        <f>'Jurisdictional Study'!F1443</f>
        <v>0</v>
      </c>
      <c r="H481" s="90">
        <f t="shared" si="512"/>
        <v>0</v>
      </c>
      <c r="I481" s="90">
        <f t="shared" si="513"/>
        <v>0</v>
      </c>
      <c r="J481" s="90">
        <f t="shared" si="514"/>
        <v>0</v>
      </c>
      <c r="K481" s="90">
        <f t="shared" si="515"/>
        <v>0</v>
      </c>
      <c r="L481" s="90">
        <f t="shared" si="516"/>
        <v>0</v>
      </c>
      <c r="M481" s="90">
        <f t="shared" si="517"/>
        <v>0</v>
      </c>
      <c r="N481" s="90"/>
      <c r="O481" s="90">
        <f t="shared" si="518"/>
        <v>0</v>
      </c>
      <c r="P481" s="90">
        <f t="shared" si="519"/>
        <v>0</v>
      </c>
      <c r="Q481" s="90">
        <f t="shared" si="520"/>
        <v>0</v>
      </c>
      <c r="R481" s="90"/>
      <c r="S481" s="90">
        <f t="shared" si="521"/>
        <v>0</v>
      </c>
      <c r="T481" s="90">
        <f t="shared" si="522"/>
        <v>0</v>
      </c>
      <c r="U481" s="90">
        <f t="shared" si="523"/>
        <v>0</v>
      </c>
      <c r="V481" s="90">
        <f t="shared" si="524"/>
        <v>0</v>
      </c>
      <c r="W481" s="90">
        <f t="shared" si="525"/>
        <v>0</v>
      </c>
      <c r="X481" s="90">
        <f t="shared" si="526"/>
        <v>0</v>
      </c>
      <c r="Y481" s="90">
        <f t="shared" si="527"/>
        <v>0</v>
      </c>
      <c r="Z481" s="90">
        <f t="shared" si="528"/>
        <v>0</v>
      </c>
      <c r="AA481" s="90">
        <f t="shared" si="529"/>
        <v>0</v>
      </c>
      <c r="AB481" s="90">
        <f t="shared" si="530"/>
        <v>0</v>
      </c>
      <c r="AC481" s="90">
        <f t="shared" si="531"/>
        <v>0</v>
      </c>
      <c r="AD481" s="90">
        <f t="shared" si="532"/>
        <v>0</v>
      </c>
      <c r="AE481" s="90"/>
      <c r="AF481" s="90">
        <f t="shared" si="533"/>
        <v>0</v>
      </c>
      <c r="AG481" s="90"/>
      <c r="AH481" s="90">
        <f t="shared" si="534"/>
        <v>0</v>
      </c>
      <c r="AI481" s="90"/>
      <c r="AJ481" s="90">
        <f t="shared" si="535"/>
        <v>0</v>
      </c>
      <c r="AK481" s="90">
        <f t="shared" si="536"/>
        <v>0</v>
      </c>
      <c r="AL481" s="87" t="str">
        <f t="shared" si="537"/>
        <v>ok</v>
      </c>
    </row>
    <row r="482" spans="1:38" x14ac:dyDescent="0.5">
      <c r="A482" s="86">
        <v>913</v>
      </c>
      <c r="B482" s="86" t="s">
        <v>501</v>
      </c>
      <c r="C482" s="86" t="s">
        <v>847</v>
      </c>
      <c r="D482" s="322" t="s">
        <v>715</v>
      </c>
      <c r="E482" s="45"/>
      <c r="F482" s="90">
        <f>'Jurisdictional Study'!F1444</f>
        <v>0</v>
      </c>
      <c r="H482" s="90">
        <f t="shared" si="512"/>
        <v>0</v>
      </c>
      <c r="I482" s="90">
        <f t="shared" si="513"/>
        <v>0</v>
      </c>
      <c r="J482" s="90">
        <f t="shared" si="514"/>
        <v>0</v>
      </c>
      <c r="K482" s="90">
        <f t="shared" si="515"/>
        <v>0</v>
      </c>
      <c r="L482" s="90">
        <f t="shared" si="516"/>
        <v>0</v>
      </c>
      <c r="M482" s="90">
        <f t="shared" si="517"/>
        <v>0</v>
      </c>
      <c r="N482" s="90"/>
      <c r="O482" s="90">
        <f t="shared" si="518"/>
        <v>0</v>
      </c>
      <c r="P482" s="90">
        <f t="shared" si="519"/>
        <v>0</v>
      </c>
      <c r="Q482" s="90">
        <f t="shared" si="520"/>
        <v>0</v>
      </c>
      <c r="R482" s="90"/>
      <c r="S482" s="90">
        <f t="shared" si="521"/>
        <v>0</v>
      </c>
      <c r="T482" s="90">
        <f t="shared" si="522"/>
        <v>0</v>
      </c>
      <c r="U482" s="90">
        <f t="shared" si="523"/>
        <v>0</v>
      </c>
      <c r="V482" s="90">
        <f t="shared" si="524"/>
        <v>0</v>
      </c>
      <c r="W482" s="90">
        <f t="shared" si="525"/>
        <v>0</v>
      </c>
      <c r="X482" s="90">
        <f t="shared" si="526"/>
        <v>0</v>
      </c>
      <c r="Y482" s="90">
        <f t="shared" si="527"/>
        <v>0</v>
      </c>
      <c r="Z482" s="90">
        <f t="shared" si="528"/>
        <v>0</v>
      </c>
      <c r="AA482" s="90">
        <f t="shared" si="529"/>
        <v>0</v>
      </c>
      <c r="AB482" s="90">
        <f t="shared" si="530"/>
        <v>0</v>
      </c>
      <c r="AC482" s="90">
        <f t="shared" si="531"/>
        <v>0</v>
      </c>
      <c r="AD482" s="90">
        <f t="shared" si="532"/>
        <v>0</v>
      </c>
      <c r="AE482" s="90"/>
      <c r="AF482" s="90">
        <f t="shared" si="533"/>
        <v>0</v>
      </c>
      <c r="AG482" s="90"/>
      <c r="AH482" s="90">
        <f t="shared" si="534"/>
        <v>0</v>
      </c>
      <c r="AI482" s="90"/>
      <c r="AJ482" s="90">
        <f t="shared" si="535"/>
        <v>0</v>
      </c>
      <c r="AK482" s="90">
        <f t="shared" si="536"/>
        <v>0</v>
      </c>
      <c r="AL482" s="87" t="str">
        <f t="shared" si="537"/>
        <v>ok</v>
      </c>
    </row>
    <row r="483" spans="1:38" x14ac:dyDescent="0.5">
      <c r="A483" s="86">
        <v>916</v>
      </c>
      <c r="B483" s="86" t="s">
        <v>853</v>
      </c>
      <c r="C483" s="86" t="s">
        <v>855</v>
      </c>
      <c r="D483" s="322" t="s">
        <v>715</v>
      </c>
      <c r="E483" s="45"/>
      <c r="F483" s="90">
        <f>'Jurisdictional Study'!F1445</f>
        <v>0</v>
      </c>
      <c r="H483" s="90">
        <f t="shared" si="512"/>
        <v>0</v>
      </c>
      <c r="I483" s="90">
        <f t="shared" si="513"/>
        <v>0</v>
      </c>
      <c r="J483" s="90">
        <f t="shared" si="514"/>
        <v>0</v>
      </c>
      <c r="K483" s="90">
        <f t="shared" si="515"/>
        <v>0</v>
      </c>
      <c r="L483" s="90">
        <f t="shared" si="516"/>
        <v>0</v>
      </c>
      <c r="M483" s="90">
        <f t="shared" si="517"/>
        <v>0</v>
      </c>
      <c r="N483" s="90"/>
      <c r="O483" s="90">
        <f t="shared" si="518"/>
        <v>0</v>
      </c>
      <c r="P483" s="90">
        <f t="shared" si="519"/>
        <v>0</v>
      </c>
      <c r="Q483" s="90">
        <f t="shared" si="520"/>
        <v>0</v>
      </c>
      <c r="R483" s="90"/>
      <c r="S483" s="90">
        <f t="shared" si="521"/>
        <v>0</v>
      </c>
      <c r="T483" s="90">
        <f t="shared" si="522"/>
        <v>0</v>
      </c>
      <c r="U483" s="90">
        <f t="shared" si="523"/>
        <v>0</v>
      </c>
      <c r="V483" s="90">
        <f t="shared" si="524"/>
        <v>0</v>
      </c>
      <c r="W483" s="90">
        <f t="shared" si="525"/>
        <v>0</v>
      </c>
      <c r="X483" s="90">
        <f t="shared" si="526"/>
        <v>0</v>
      </c>
      <c r="Y483" s="90">
        <f t="shared" si="527"/>
        <v>0</v>
      </c>
      <c r="Z483" s="90">
        <f t="shared" si="528"/>
        <v>0</v>
      </c>
      <c r="AA483" s="90">
        <f t="shared" si="529"/>
        <v>0</v>
      </c>
      <c r="AB483" s="90">
        <f t="shared" si="530"/>
        <v>0</v>
      </c>
      <c r="AC483" s="90">
        <f t="shared" si="531"/>
        <v>0</v>
      </c>
      <c r="AD483" s="90">
        <f t="shared" si="532"/>
        <v>0</v>
      </c>
      <c r="AE483" s="90"/>
      <c r="AF483" s="90">
        <f t="shared" si="533"/>
        <v>0</v>
      </c>
      <c r="AG483" s="90"/>
      <c r="AH483" s="90">
        <f t="shared" si="534"/>
        <v>0</v>
      </c>
      <c r="AI483" s="90"/>
      <c r="AJ483" s="90">
        <f t="shared" si="535"/>
        <v>0</v>
      </c>
      <c r="AK483" s="90">
        <f t="shared" si="536"/>
        <v>0</v>
      </c>
      <c r="AL483" s="87" t="str">
        <f t="shared" si="537"/>
        <v>ok</v>
      </c>
    </row>
    <row r="484" spans="1:38" x14ac:dyDescent="0.5">
      <c r="D484" s="322"/>
      <c r="E484" s="45"/>
      <c r="F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87"/>
    </row>
    <row r="485" spans="1:38" x14ac:dyDescent="0.5">
      <c r="A485" s="86" t="s">
        <v>1029</v>
      </c>
      <c r="C485" s="86" t="s">
        <v>1002</v>
      </c>
      <c r="D485" s="322"/>
      <c r="E485" s="45"/>
      <c r="F485" s="89">
        <f t="shared" ref="F485:M485" si="538">SUM(F474:F484)</f>
        <v>2172843</v>
      </c>
      <c r="G485" s="89">
        <f t="shared" si="538"/>
        <v>0</v>
      </c>
      <c r="H485" s="89">
        <f t="shared" si="538"/>
        <v>0</v>
      </c>
      <c r="I485" s="89">
        <f t="shared" si="538"/>
        <v>0</v>
      </c>
      <c r="J485" s="89">
        <f t="shared" si="538"/>
        <v>0</v>
      </c>
      <c r="K485" s="89">
        <f t="shared" si="538"/>
        <v>0</v>
      </c>
      <c r="L485" s="89">
        <f t="shared" si="538"/>
        <v>0</v>
      </c>
      <c r="M485" s="89">
        <f t="shared" si="538"/>
        <v>0</v>
      </c>
      <c r="N485" s="90"/>
      <c r="O485" s="89">
        <f>SUM(O474:O484)</f>
        <v>0</v>
      </c>
      <c r="P485" s="89">
        <f>SUM(P474:P484)</f>
        <v>0</v>
      </c>
      <c r="Q485" s="89">
        <f>SUM(Q474:Q484)</f>
        <v>0</v>
      </c>
      <c r="R485" s="90"/>
      <c r="S485" s="89">
        <f t="shared" ref="S485:AD485" si="539">SUM(S474:S484)</f>
        <v>0</v>
      </c>
      <c r="T485" s="89">
        <f t="shared" si="539"/>
        <v>0</v>
      </c>
      <c r="U485" s="89">
        <f t="shared" si="539"/>
        <v>0</v>
      </c>
      <c r="V485" s="89">
        <f t="shared" si="539"/>
        <v>0</v>
      </c>
      <c r="W485" s="89">
        <f t="shared" si="539"/>
        <v>0</v>
      </c>
      <c r="X485" s="89">
        <f t="shared" si="539"/>
        <v>0</v>
      </c>
      <c r="Y485" s="89">
        <f t="shared" si="539"/>
        <v>0</v>
      </c>
      <c r="Z485" s="89">
        <f t="shared" si="539"/>
        <v>0</v>
      </c>
      <c r="AA485" s="89">
        <f t="shared" si="539"/>
        <v>0</v>
      </c>
      <c r="AB485" s="89">
        <f t="shared" si="539"/>
        <v>0</v>
      </c>
      <c r="AC485" s="89">
        <f t="shared" si="539"/>
        <v>0</v>
      </c>
      <c r="AD485" s="89">
        <f t="shared" si="539"/>
        <v>0</v>
      </c>
      <c r="AE485" s="90"/>
      <c r="AF485" s="89">
        <f>SUM(AF474:AF484)</f>
        <v>0</v>
      </c>
      <c r="AG485" s="90"/>
      <c r="AH485" s="89">
        <f>SUM(AH474:AH484)</f>
        <v>2172843</v>
      </c>
      <c r="AI485" s="90"/>
      <c r="AJ485" s="89">
        <f>SUM(AJ474:AJ484)</f>
        <v>0</v>
      </c>
      <c r="AK485" s="90">
        <f>SUM(H485:AJ485)</f>
        <v>2172843</v>
      </c>
      <c r="AL485" s="87" t="str">
        <f>IF(ABS(AK485-F485)&lt;1,"ok","err")</f>
        <v>ok</v>
      </c>
    </row>
    <row r="486" spans="1:38" x14ac:dyDescent="0.5">
      <c r="D486" s="322"/>
      <c r="E486" s="45"/>
      <c r="F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L486" s="87"/>
    </row>
    <row r="487" spans="1:38" x14ac:dyDescent="0.5">
      <c r="A487" s="86" t="s">
        <v>291</v>
      </c>
      <c r="C487" s="86" t="s">
        <v>716</v>
      </c>
      <c r="D487" s="322"/>
      <c r="E487" s="45"/>
      <c r="F487" s="90">
        <f>F462+F471+F485</f>
        <v>111279066</v>
      </c>
      <c r="G487" s="90"/>
      <c r="H487" s="90">
        <f t="shared" ref="H487:M487" si="540">H462+H471+H485</f>
        <v>36565300.074191041</v>
      </c>
      <c r="I487" s="90">
        <f t="shared" si="540"/>
        <v>0</v>
      </c>
      <c r="J487" s="90">
        <f t="shared" si="540"/>
        <v>0</v>
      </c>
      <c r="K487" s="90">
        <f t="shared" si="540"/>
        <v>25049323.925808959</v>
      </c>
      <c r="L487" s="90">
        <f t="shared" si="540"/>
        <v>0</v>
      </c>
      <c r="M487" s="90">
        <f t="shared" si="540"/>
        <v>0</v>
      </c>
      <c r="N487" s="90"/>
      <c r="O487" s="90">
        <f>O462+O471+O485</f>
        <v>7981123</v>
      </c>
      <c r="P487" s="90">
        <f>P462+P471+P485</f>
        <v>0</v>
      </c>
      <c r="Q487" s="90">
        <f>Q462+Q471+Q485</f>
        <v>0</v>
      </c>
      <c r="R487" s="90"/>
      <c r="S487" s="90">
        <f t="shared" ref="S487:AD487" si="541">S462+S471+S485</f>
        <v>0</v>
      </c>
      <c r="T487" s="90">
        <f t="shared" si="541"/>
        <v>3340868.2140618432</v>
      </c>
      <c r="U487" s="90">
        <f t="shared" si="541"/>
        <v>0</v>
      </c>
      <c r="V487" s="90">
        <f t="shared" si="541"/>
        <v>2657170.6482230253</v>
      </c>
      <c r="W487" s="90">
        <f t="shared" si="541"/>
        <v>5164915.7197563965</v>
      </c>
      <c r="X487" s="90">
        <f t="shared" si="541"/>
        <v>1196217.5746317871</v>
      </c>
      <c r="Y487" s="90">
        <f t="shared" si="541"/>
        <v>2414866.1734948801</v>
      </c>
      <c r="Z487" s="90">
        <f t="shared" si="541"/>
        <v>1743767.3904014884</v>
      </c>
      <c r="AA487" s="90">
        <f t="shared" si="541"/>
        <v>1448769.0320466703</v>
      </c>
      <c r="AB487" s="90">
        <f t="shared" si="541"/>
        <v>1221496.5047909755</v>
      </c>
      <c r="AC487" s="90">
        <f t="shared" si="541"/>
        <v>726471.36724488472</v>
      </c>
      <c r="AD487" s="90">
        <f t="shared" si="541"/>
        <v>1398865.3753480483</v>
      </c>
      <c r="AE487" s="90"/>
      <c r="AF487" s="90">
        <f>AF462+AF471+AF485</f>
        <v>18197068</v>
      </c>
      <c r="AG487" s="90"/>
      <c r="AH487" s="90">
        <f>AH462+AH471+AH485</f>
        <v>2172843</v>
      </c>
      <c r="AI487" s="90"/>
      <c r="AJ487" s="90">
        <f>AJ462+AJ471+AJ485</f>
        <v>0</v>
      </c>
      <c r="AK487" s="90">
        <f>SUM(H487:AJ487)</f>
        <v>111279065.99999999</v>
      </c>
      <c r="AL487" s="87" t="str">
        <f>IF(ABS(AK487-F487)&lt;1,"ok","err")</f>
        <v>ok</v>
      </c>
    </row>
    <row r="488" spans="1:38" x14ac:dyDescent="0.5">
      <c r="D488" s="322"/>
      <c r="E488" s="45"/>
      <c r="F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L488" s="87"/>
    </row>
    <row r="489" spans="1:38" x14ac:dyDescent="0.5">
      <c r="D489" s="322"/>
      <c r="E489" s="45"/>
      <c r="F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L489" s="87"/>
    </row>
    <row r="490" spans="1:38" x14ac:dyDescent="0.5">
      <c r="A490" s="22" t="s">
        <v>960</v>
      </c>
      <c r="D490" s="45"/>
      <c r="E490" s="45"/>
      <c r="F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L490" s="87"/>
    </row>
    <row r="491" spans="1:38" x14ac:dyDescent="0.5">
      <c r="D491" s="45"/>
      <c r="E491" s="45"/>
      <c r="F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L491" s="87"/>
    </row>
    <row r="492" spans="1:38" x14ac:dyDescent="0.5">
      <c r="A492" s="23" t="s">
        <v>1184</v>
      </c>
      <c r="D492" s="45"/>
      <c r="E492" s="45"/>
      <c r="F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L492" s="87"/>
    </row>
    <row r="493" spans="1:38" x14ac:dyDescent="0.5">
      <c r="A493" s="86">
        <v>920</v>
      </c>
      <c r="B493" s="86" t="s">
        <v>1185</v>
      </c>
      <c r="C493" s="86" t="s">
        <v>1004</v>
      </c>
      <c r="D493" s="45" t="s">
        <v>716</v>
      </c>
      <c r="E493" s="45"/>
      <c r="F493" s="89">
        <f>'Jurisdictional Study'!F1451</f>
        <v>32982892</v>
      </c>
      <c r="H493" s="90">
        <f t="shared" ref="H493:H504" si="542">IF(VLOOKUP($D493,$C$5:$AJ$596,6,)=0,0,((VLOOKUP($D493,$C$5:$AJ$596,6,)/VLOOKUP($D493,$C$5:$AJ$596,4,))*$F493))</f>
        <v>10837881.612833047</v>
      </c>
      <c r="I493" s="90">
        <f t="shared" ref="I493:I504" si="543">IF(VLOOKUP($D493,$C$5:$AJ$596,7,)=0,0,((VLOOKUP($D493,$C$5:$AJ$596,7,)/VLOOKUP($D493,$C$5:$AJ$596,4,))*$F493))</f>
        <v>0</v>
      </c>
      <c r="J493" s="90">
        <f t="shared" ref="J493:J504" si="544">IF(VLOOKUP($D493,$C$5:$AJ$596,8,)=0,0,((VLOOKUP($D493,$C$5:$AJ$596,8,)/VLOOKUP($D493,$C$5:$AJ$596,4,))*$F493))</f>
        <v>0</v>
      </c>
      <c r="K493" s="90">
        <f t="shared" ref="K493:K504" si="545">IF(VLOOKUP($D493,$C$5:$AJ$596,9,)=0,0,((VLOOKUP($D493,$C$5:$AJ$596,9,)/VLOOKUP($D493,$C$5:$AJ$596,4,))*$F493))</f>
        <v>7424569.3769389912</v>
      </c>
      <c r="L493" s="90">
        <f t="shared" ref="L493:L504" si="546">IF(VLOOKUP($D493,$C$5:$AJ$596,10,)=0,0,((VLOOKUP($D493,$C$5:$AJ$596,10,)/VLOOKUP($D493,$C$5:$AJ$596,4,))*$F493))</f>
        <v>0</v>
      </c>
      <c r="M493" s="90">
        <f t="shared" ref="M493:M504" si="547">IF(VLOOKUP($D493,$C$5:$AJ$596,11,)=0,0,((VLOOKUP($D493,$C$5:$AJ$596,11,)/VLOOKUP($D493,$C$5:$AJ$596,4,))*$F493))</f>
        <v>0</v>
      </c>
      <c r="N493" s="90"/>
      <c r="O493" s="90">
        <f t="shared" ref="O493:O504" si="548">IF(VLOOKUP($D493,$C$5:$AJ$596,13,)=0,0,((VLOOKUP($D493,$C$5:$AJ$596,13,)/VLOOKUP($D493,$C$5:$AJ$596,4,))*$F493))</f>
        <v>2365588.8516148762</v>
      </c>
      <c r="P493" s="90">
        <f t="shared" ref="P493:P504" si="549">IF(VLOOKUP($D493,$C$5:$AJ$596,14,)=0,0,((VLOOKUP($D493,$C$5:$AJ$596,14,)/VLOOKUP($D493,$C$5:$AJ$596,4,))*$F493))</f>
        <v>0</v>
      </c>
      <c r="Q493" s="90">
        <f t="shared" ref="Q493:Q504" si="550">IF(VLOOKUP($D493,$C$5:$AJ$596,15,)=0,0,((VLOOKUP($D493,$C$5:$AJ$596,15,)/VLOOKUP($D493,$C$5:$AJ$596,4,))*$F493))</f>
        <v>0</v>
      </c>
      <c r="R493" s="90"/>
      <c r="S493" s="90">
        <f t="shared" ref="S493:S504" si="551">IF(VLOOKUP($D493,$C$5:$AJ$596,17,)=0,0,((VLOOKUP($D493,$C$5:$AJ$596,17,)/VLOOKUP($D493,$C$5:$AJ$596,4,))*$F493))</f>
        <v>0</v>
      </c>
      <c r="T493" s="90">
        <f t="shared" ref="T493:T504" si="552">IF(VLOOKUP($D493,$C$5:$AJ$596,18,)=0,0,((VLOOKUP($D493,$C$5:$AJ$596,18,)/VLOOKUP($D493,$C$5:$AJ$596,4,))*$F493))</f>
        <v>990226.63876990706</v>
      </c>
      <c r="U493" s="90">
        <f t="shared" ref="U493:U504" si="553">IF(VLOOKUP($D493,$C$5:$AJ$596,19,)=0,0,((VLOOKUP($D493,$C$5:$AJ$596,19,)/VLOOKUP($D493,$C$5:$AJ$596,4,))*$F493))</f>
        <v>0</v>
      </c>
      <c r="V493" s="90">
        <f t="shared" ref="V493:V504" si="554">IF(VLOOKUP($D493,$C$5:$AJ$596,20,)=0,0,((VLOOKUP($D493,$C$5:$AJ$596,20,)/VLOOKUP($D493,$C$5:$AJ$596,4,))*$F493))</f>
        <v>787580.05136303033</v>
      </c>
      <c r="W493" s="90">
        <f t="shared" ref="W493:W504" si="555">IF(VLOOKUP($D493,$C$5:$AJ$596,21,)=0,0,((VLOOKUP($D493,$C$5:$AJ$596,21,)/VLOOKUP($D493,$C$5:$AJ$596,4,))*$F493))</f>
        <v>1530870.6614578117</v>
      </c>
      <c r="X493" s="90">
        <f t="shared" ref="X493:X504" si="556">IF(VLOOKUP($D493,$C$5:$AJ$596,22,)=0,0,((VLOOKUP($D493,$C$5:$AJ$596,22,)/VLOOKUP($D493,$C$5:$AJ$596,4,))*$F493))</f>
        <v>354556.49019000726</v>
      </c>
      <c r="Y493" s="90">
        <f t="shared" ref="Y493:Y504" si="557">IF(VLOOKUP($D493,$C$5:$AJ$596,23,)=0,0,((VLOOKUP($D493,$C$5:$AJ$596,23,)/VLOOKUP($D493,$C$5:$AJ$596,4,))*$F493))</f>
        <v>715761.49097832013</v>
      </c>
      <c r="Z493" s="90">
        <f t="shared" ref="Z493:Z504" si="558">IF(VLOOKUP($D493,$C$5:$AJ$596,24,)=0,0,((VLOOKUP($D493,$C$5:$AJ$596,24,)/VLOOKUP($D493,$C$5:$AJ$596,4,))*$F493))</f>
        <v>516849.15751120809</v>
      </c>
      <c r="AA493" s="90">
        <f t="shared" ref="AA493:AA504" si="559">IF(VLOOKUP($D493,$C$5:$AJ$596,25,)=0,0,((VLOOKUP($D493,$C$5:$AJ$596,25,)/VLOOKUP($D493,$C$5:$AJ$596,4,))*$F493))</f>
        <v>429412.23569345794</v>
      </c>
      <c r="AB493" s="90">
        <f t="shared" ref="AB493:AB504" si="560">IF(VLOOKUP($D493,$C$5:$AJ$596,26,)=0,0,((VLOOKUP($D493,$C$5:$AJ$596,26,)/VLOOKUP($D493,$C$5:$AJ$596,4,))*$F493))</f>
        <v>362049.11439406069</v>
      </c>
      <c r="AC493" s="90">
        <f t="shared" ref="AC493:AC504" si="561">IF(VLOOKUP($D493,$C$5:$AJ$596,27,)=0,0,((VLOOKUP($D493,$C$5:$AJ$596,27,)/VLOOKUP($D493,$C$5:$AJ$596,4,))*$F493))</f>
        <v>215324.65636376181</v>
      </c>
      <c r="AD493" s="90">
        <f t="shared" ref="AD493:AD504" si="562">IF(VLOOKUP($D493,$C$5:$AJ$596,28,)=0,0,((VLOOKUP($D493,$C$5:$AJ$596,28,)/VLOOKUP($D493,$C$5:$AJ$596,4,))*$F493))</f>
        <v>414620.89192628686</v>
      </c>
      <c r="AE493" s="90"/>
      <c r="AF493" s="90">
        <f t="shared" ref="AF493:AF504" si="563">IF(VLOOKUP($D493,$C$5:$AJ$596,30,)=0,0,((VLOOKUP($D493,$C$5:$AJ$596,30,)/VLOOKUP($D493,$C$5:$AJ$596,4,))*$F493))</f>
        <v>5393574.4622502141</v>
      </c>
      <c r="AG493" s="90"/>
      <c r="AH493" s="90">
        <f t="shared" ref="AH493:AH504" si="564">IF(VLOOKUP($D493,$C$5:$AJ$596,32,)=0,0,((VLOOKUP($D493,$C$5:$AJ$596,32,)/VLOOKUP($D493,$C$5:$AJ$596,4,))*$F493))</f>
        <v>644026.30771501991</v>
      </c>
      <c r="AI493" s="90"/>
      <c r="AJ493" s="90">
        <f t="shared" ref="AJ493:AJ504" si="565">IF(VLOOKUP($D493,$C$5:$AJ$596,34,)=0,0,((VLOOKUP($D493,$C$5:$AJ$596,34,)/VLOOKUP($D493,$C$5:$AJ$596,4,))*$F493))</f>
        <v>0</v>
      </c>
      <c r="AK493" s="90">
        <f t="shared" ref="AK493:AK504" si="566">SUM(H493:AJ493)</f>
        <v>32982892</v>
      </c>
      <c r="AL493" s="87" t="str">
        <f t="shared" ref="AL493:AL504" si="567">IF(ABS(AK493-F493)&lt;1,"ok","err")</f>
        <v>ok</v>
      </c>
    </row>
    <row r="494" spans="1:38" x14ac:dyDescent="0.5">
      <c r="A494" s="86">
        <v>921</v>
      </c>
      <c r="B494" s="86" t="s">
        <v>1187</v>
      </c>
      <c r="C494" s="86" t="s">
        <v>1005</v>
      </c>
      <c r="D494" s="45" t="s">
        <v>716</v>
      </c>
      <c r="E494" s="45"/>
      <c r="F494" s="90">
        <f>'Jurisdictional Study'!F1452</f>
        <v>4507</v>
      </c>
      <c r="H494" s="90">
        <f t="shared" si="542"/>
        <v>1480.9596571773798</v>
      </c>
      <c r="I494" s="90">
        <f t="shared" si="543"/>
        <v>0</v>
      </c>
      <c r="J494" s="90">
        <f t="shared" si="544"/>
        <v>0</v>
      </c>
      <c r="K494" s="90">
        <f t="shared" si="545"/>
        <v>1014.5421505750325</v>
      </c>
      <c r="L494" s="90">
        <f t="shared" si="546"/>
        <v>0</v>
      </c>
      <c r="M494" s="90">
        <f t="shared" si="547"/>
        <v>0</v>
      </c>
      <c r="N494" s="90"/>
      <c r="O494" s="90">
        <f t="shared" si="548"/>
        <v>323.24966998734516</v>
      </c>
      <c r="P494" s="90">
        <f t="shared" si="549"/>
        <v>0</v>
      </c>
      <c r="Q494" s="90">
        <f t="shared" si="550"/>
        <v>0</v>
      </c>
      <c r="R494" s="90"/>
      <c r="S494" s="90">
        <f t="shared" si="551"/>
        <v>0</v>
      </c>
      <c r="T494" s="90">
        <f t="shared" si="552"/>
        <v>135.31110191719912</v>
      </c>
      <c r="U494" s="90">
        <f t="shared" si="553"/>
        <v>0</v>
      </c>
      <c r="V494" s="90">
        <f t="shared" si="554"/>
        <v>107.6201350534446</v>
      </c>
      <c r="W494" s="90">
        <f t="shared" si="555"/>
        <v>209.18826860877928</v>
      </c>
      <c r="X494" s="90">
        <f t="shared" si="556"/>
        <v>48.448938355264993</v>
      </c>
      <c r="Y494" s="90">
        <f t="shared" si="557"/>
        <v>97.806373068780289</v>
      </c>
      <c r="Z494" s="90">
        <f t="shared" si="558"/>
        <v>70.625679303774064</v>
      </c>
      <c r="AA494" s="90">
        <f t="shared" si="559"/>
        <v>58.677721355374629</v>
      </c>
      <c r="AB494" s="90">
        <f t="shared" si="560"/>
        <v>49.472779966475699</v>
      </c>
      <c r="AC494" s="90">
        <f t="shared" si="561"/>
        <v>29.423381862071842</v>
      </c>
      <c r="AD494" s="90">
        <f t="shared" si="562"/>
        <v>56.656534542567549</v>
      </c>
      <c r="AE494" s="90"/>
      <c r="AF494" s="90">
        <f t="shared" si="563"/>
        <v>737.01360394236247</v>
      </c>
      <c r="AG494" s="90"/>
      <c r="AH494" s="90">
        <f t="shared" si="564"/>
        <v>88.00400428414811</v>
      </c>
      <c r="AI494" s="90"/>
      <c r="AJ494" s="90">
        <f t="shared" si="565"/>
        <v>0</v>
      </c>
      <c r="AK494" s="90">
        <f t="shared" si="566"/>
        <v>4507.0000000000009</v>
      </c>
      <c r="AL494" s="87" t="str">
        <f t="shared" si="567"/>
        <v>ok</v>
      </c>
    </row>
    <row r="495" spans="1:38" x14ac:dyDescent="0.5">
      <c r="A495" s="86">
        <v>922</v>
      </c>
      <c r="B495" s="86" t="s">
        <v>897</v>
      </c>
      <c r="C495" s="86" t="s">
        <v>1744</v>
      </c>
      <c r="D495" s="45" t="s">
        <v>716</v>
      </c>
      <c r="E495" s="45"/>
      <c r="F495" s="90">
        <f>'Jurisdictional Study'!F1453</f>
        <v>-4373143</v>
      </c>
      <c r="H495" s="90">
        <f t="shared" si="542"/>
        <v>-1436975.4510911156</v>
      </c>
      <c r="I495" s="90">
        <f t="shared" si="543"/>
        <v>0</v>
      </c>
      <c r="J495" s="90">
        <f t="shared" si="544"/>
        <v>0</v>
      </c>
      <c r="K495" s="90">
        <f t="shared" si="545"/>
        <v>-984410.45129623904</v>
      </c>
      <c r="L495" s="90">
        <f t="shared" si="546"/>
        <v>0</v>
      </c>
      <c r="M495" s="90">
        <f t="shared" si="547"/>
        <v>0</v>
      </c>
      <c r="N495" s="90"/>
      <c r="O495" s="90">
        <f t="shared" si="548"/>
        <v>-313649.21933824464</v>
      </c>
      <c r="P495" s="90">
        <f t="shared" si="549"/>
        <v>0</v>
      </c>
      <c r="Q495" s="90">
        <f t="shared" si="550"/>
        <v>0</v>
      </c>
      <c r="R495" s="90"/>
      <c r="S495" s="90">
        <f t="shared" si="551"/>
        <v>0</v>
      </c>
      <c r="T495" s="90">
        <f t="shared" si="552"/>
        <v>-131292.38921044729</v>
      </c>
      <c r="U495" s="90">
        <f t="shared" si="553"/>
        <v>0</v>
      </c>
      <c r="V495" s="90">
        <f t="shared" si="554"/>
        <v>-104423.83853295448</v>
      </c>
      <c r="W495" s="90">
        <f t="shared" si="555"/>
        <v>-202975.41880377254</v>
      </c>
      <c r="X495" s="90">
        <f t="shared" si="556"/>
        <v>-47010.014560851698</v>
      </c>
      <c r="Y495" s="90">
        <f t="shared" si="557"/>
        <v>-94901.543319530741</v>
      </c>
      <c r="Z495" s="90">
        <f t="shared" si="558"/>
        <v>-68528.110731649518</v>
      </c>
      <c r="AA495" s="90">
        <f t="shared" si="559"/>
        <v>-56935.004748437335</v>
      </c>
      <c r="AB495" s="90">
        <f t="shared" si="560"/>
        <v>-48003.448280659737</v>
      </c>
      <c r="AC495" s="90">
        <f t="shared" si="561"/>
        <v>-28549.513296304958</v>
      </c>
      <c r="AD495" s="90">
        <f t="shared" si="562"/>
        <v>-54973.846780361098</v>
      </c>
      <c r="AE495" s="90"/>
      <c r="AF495" s="90">
        <f t="shared" si="563"/>
        <v>-715124.44707905804</v>
      </c>
      <c r="AG495" s="90"/>
      <c r="AH495" s="90">
        <f t="shared" si="564"/>
        <v>-85390.302930373276</v>
      </c>
      <c r="AI495" s="90"/>
      <c r="AJ495" s="90">
        <f t="shared" si="565"/>
        <v>0</v>
      </c>
      <c r="AK495" s="90">
        <f>SUM(H495:AJ495)</f>
        <v>-4373143</v>
      </c>
      <c r="AL495" s="87" t="str">
        <f>IF(ABS(AK495-F495)&lt;1,"ok","err")</f>
        <v>ok</v>
      </c>
    </row>
    <row r="496" spans="1:38" x14ac:dyDescent="0.5">
      <c r="A496" s="86">
        <v>923</v>
      </c>
      <c r="B496" s="86" t="s">
        <v>1189</v>
      </c>
      <c r="C496" s="86" t="s">
        <v>1006</v>
      </c>
      <c r="D496" s="45" t="s">
        <v>716</v>
      </c>
      <c r="E496" s="45"/>
      <c r="F496" s="90">
        <f>'Jurisdictional Study'!F1454</f>
        <v>0</v>
      </c>
      <c r="H496" s="90">
        <f t="shared" si="542"/>
        <v>0</v>
      </c>
      <c r="I496" s="90">
        <f t="shared" si="543"/>
        <v>0</v>
      </c>
      <c r="J496" s="90">
        <f t="shared" si="544"/>
        <v>0</v>
      </c>
      <c r="K496" s="90">
        <f t="shared" si="545"/>
        <v>0</v>
      </c>
      <c r="L496" s="90">
        <f t="shared" si="546"/>
        <v>0</v>
      </c>
      <c r="M496" s="90">
        <f t="shared" si="547"/>
        <v>0</v>
      </c>
      <c r="N496" s="90"/>
      <c r="O496" s="90">
        <f t="shared" si="548"/>
        <v>0</v>
      </c>
      <c r="P496" s="90">
        <f t="shared" si="549"/>
        <v>0</v>
      </c>
      <c r="Q496" s="90">
        <f t="shared" si="550"/>
        <v>0</v>
      </c>
      <c r="R496" s="90"/>
      <c r="S496" s="90">
        <f t="shared" si="551"/>
        <v>0</v>
      </c>
      <c r="T496" s="90">
        <f t="shared" si="552"/>
        <v>0</v>
      </c>
      <c r="U496" s="90">
        <f t="shared" si="553"/>
        <v>0</v>
      </c>
      <c r="V496" s="90">
        <f t="shared" si="554"/>
        <v>0</v>
      </c>
      <c r="W496" s="90">
        <f t="shared" si="555"/>
        <v>0</v>
      </c>
      <c r="X496" s="90">
        <f t="shared" si="556"/>
        <v>0</v>
      </c>
      <c r="Y496" s="90">
        <f t="shared" si="557"/>
        <v>0</v>
      </c>
      <c r="Z496" s="90">
        <f t="shared" si="558"/>
        <v>0</v>
      </c>
      <c r="AA496" s="90">
        <f t="shared" si="559"/>
        <v>0</v>
      </c>
      <c r="AB496" s="90">
        <f t="shared" si="560"/>
        <v>0</v>
      </c>
      <c r="AC496" s="90">
        <f t="shared" si="561"/>
        <v>0</v>
      </c>
      <c r="AD496" s="90">
        <f t="shared" si="562"/>
        <v>0</v>
      </c>
      <c r="AE496" s="90"/>
      <c r="AF496" s="90">
        <f t="shared" si="563"/>
        <v>0</v>
      </c>
      <c r="AG496" s="90"/>
      <c r="AH496" s="90">
        <f t="shared" si="564"/>
        <v>0</v>
      </c>
      <c r="AI496" s="90"/>
      <c r="AJ496" s="90">
        <f t="shared" si="565"/>
        <v>0</v>
      </c>
      <c r="AK496" s="90">
        <f t="shared" si="566"/>
        <v>0</v>
      </c>
      <c r="AL496" s="87" t="str">
        <f t="shared" si="567"/>
        <v>ok</v>
      </c>
    </row>
    <row r="497" spans="1:38" x14ac:dyDescent="0.5">
      <c r="A497" s="86">
        <v>924</v>
      </c>
      <c r="B497" s="86" t="s">
        <v>1191</v>
      </c>
      <c r="C497" s="86" t="s">
        <v>1007</v>
      </c>
      <c r="D497" s="45" t="s">
        <v>184</v>
      </c>
      <c r="E497" s="45"/>
      <c r="F497" s="90">
        <f>'Jurisdictional Study'!F1455</f>
        <v>0</v>
      </c>
      <c r="H497" s="90">
        <f t="shared" si="542"/>
        <v>0</v>
      </c>
      <c r="I497" s="90">
        <f t="shared" si="543"/>
        <v>0</v>
      </c>
      <c r="J497" s="90">
        <f t="shared" si="544"/>
        <v>0</v>
      </c>
      <c r="K497" s="90">
        <f t="shared" si="545"/>
        <v>0</v>
      </c>
      <c r="L497" s="90">
        <f t="shared" si="546"/>
        <v>0</v>
      </c>
      <c r="M497" s="90">
        <f t="shared" si="547"/>
        <v>0</v>
      </c>
      <c r="N497" s="90"/>
      <c r="O497" s="90">
        <f t="shared" si="548"/>
        <v>0</v>
      </c>
      <c r="P497" s="90">
        <f t="shared" si="549"/>
        <v>0</v>
      </c>
      <c r="Q497" s="90">
        <f t="shared" si="550"/>
        <v>0</v>
      </c>
      <c r="R497" s="90"/>
      <c r="S497" s="90">
        <f t="shared" si="551"/>
        <v>0</v>
      </c>
      <c r="T497" s="90">
        <f t="shared" si="552"/>
        <v>0</v>
      </c>
      <c r="U497" s="90">
        <f t="shared" si="553"/>
        <v>0</v>
      </c>
      <c r="V497" s="90">
        <f t="shared" si="554"/>
        <v>0</v>
      </c>
      <c r="W497" s="90">
        <f t="shared" si="555"/>
        <v>0</v>
      </c>
      <c r="X497" s="90">
        <f t="shared" si="556"/>
        <v>0</v>
      </c>
      <c r="Y497" s="90">
        <f t="shared" si="557"/>
        <v>0</v>
      </c>
      <c r="Z497" s="90">
        <f t="shared" si="558"/>
        <v>0</v>
      </c>
      <c r="AA497" s="90">
        <f t="shared" si="559"/>
        <v>0</v>
      </c>
      <c r="AB497" s="90">
        <f t="shared" si="560"/>
        <v>0</v>
      </c>
      <c r="AC497" s="90">
        <f t="shared" si="561"/>
        <v>0</v>
      </c>
      <c r="AD497" s="90">
        <f t="shared" si="562"/>
        <v>0</v>
      </c>
      <c r="AE497" s="90"/>
      <c r="AF497" s="90">
        <f t="shared" si="563"/>
        <v>0</v>
      </c>
      <c r="AG497" s="90"/>
      <c r="AH497" s="90">
        <f t="shared" si="564"/>
        <v>0</v>
      </c>
      <c r="AI497" s="90"/>
      <c r="AJ497" s="90">
        <f t="shared" si="565"/>
        <v>0</v>
      </c>
      <c r="AK497" s="90">
        <f t="shared" si="566"/>
        <v>0</v>
      </c>
      <c r="AL497" s="87" t="str">
        <f t="shared" si="567"/>
        <v>ok</v>
      </c>
    </row>
    <row r="498" spans="1:38" x14ac:dyDescent="0.5">
      <c r="A498" s="86">
        <v>925</v>
      </c>
      <c r="B498" s="86" t="s">
        <v>1167</v>
      </c>
      <c r="C498" s="86" t="s">
        <v>1008</v>
      </c>
      <c r="D498" s="45" t="s">
        <v>716</v>
      </c>
      <c r="E498" s="45"/>
      <c r="F498" s="90">
        <f>'Jurisdictional Study'!F1456</f>
        <v>615769</v>
      </c>
      <c r="H498" s="90">
        <f t="shared" si="542"/>
        <v>202336.15423573507</v>
      </c>
      <c r="I498" s="90">
        <f t="shared" si="543"/>
        <v>0</v>
      </c>
      <c r="J498" s="90">
        <f t="shared" si="544"/>
        <v>0</v>
      </c>
      <c r="K498" s="90">
        <f t="shared" si="545"/>
        <v>138611.84946027005</v>
      </c>
      <c r="L498" s="90">
        <f t="shared" si="546"/>
        <v>0</v>
      </c>
      <c r="M498" s="90">
        <f t="shared" si="547"/>
        <v>0</v>
      </c>
      <c r="N498" s="90"/>
      <c r="O498" s="90">
        <f t="shared" si="548"/>
        <v>44163.995127232643</v>
      </c>
      <c r="P498" s="90">
        <f t="shared" si="549"/>
        <v>0</v>
      </c>
      <c r="Q498" s="90">
        <f t="shared" si="550"/>
        <v>0</v>
      </c>
      <c r="R498" s="90"/>
      <c r="S498" s="90">
        <f t="shared" si="551"/>
        <v>0</v>
      </c>
      <c r="T498" s="90">
        <f t="shared" si="552"/>
        <v>18486.883052241355</v>
      </c>
      <c r="U498" s="90">
        <f t="shared" si="553"/>
        <v>0</v>
      </c>
      <c r="V498" s="90">
        <f t="shared" si="554"/>
        <v>14703.603936482034</v>
      </c>
      <c r="W498" s="90">
        <f t="shared" si="555"/>
        <v>28580.353000434749</v>
      </c>
      <c r="X498" s="90">
        <f t="shared" si="556"/>
        <v>6619.3375465017016</v>
      </c>
      <c r="Y498" s="90">
        <f t="shared" si="557"/>
        <v>13362.798433146165</v>
      </c>
      <c r="Z498" s="90">
        <f t="shared" si="558"/>
        <v>9649.2353936555683</v>
      </c>
      <c r="AA498" s="90">
        <f t="shared" si="559"/>
        <v>8016.845307583244</v>
      </c>
      <c r="AB498" s="90">
        <f t="shared" si="560"/>
        <v>6759.2199350292376</v>
      </c>
      <c r="AC498" s="90">
        <f t="shared" si="561"/>
        <v>4019.9703629523224</v>
      </c>
      <c r="AD498" s="90">
        <f t="shared" si="562"/>
        <v>7740.7006032265972</v>
      </c>
      <c r="AE498" s="90"/>
      <c r="AF498" s="90">
        <f t="shared" si="563"/>
        <v>100694.50407942857</v>
      </c>
      <c r="AG498" s="90"/>
      <c r="AH498" s="90">
        <f t="shared" si="564"/>
        <v>12023.549526080675</v>
      </c>
      <c r="AI498" s="90"/>
      <c r="AJ498" s="90">
        <f t="shared" si="565"/>
        <v>0</v>
      </c>
      <c r="AK498" s="90">
        <f t="shared" si="566"/>
        <v>615769</v>
      </c>
      <c r="AL498" s="87" t="str">
        <f t="shared" si="567"/>
        <v>ok</v>
      </c>
    </row>
    <row r="499" spans="1:38" x14ac:dyDescent="0.5">
      <c r="A499" s="86">
        <v>926</v>
      </c>
      <c r="B499" s="86" t="s">
        <v>1169</v>
      </c>
      <c r="C499" s="86" t="s">
        <v>1009</v>
      </c>
      <c r="D499" s="45" t="s">
        <v>716</v>
      </c>
      <c r="E499" s="45"/>
      <c r="F499" s="90">
        <f>'Jurisdictional Study'!F1457</f>
        <v>31672892</v>
      </c>
      <c r="H499" s="90">
        <f t="shared" si="542"/>
        <v>10407427.396968311</v>
      </c>
      <c r="I499" s="90">
        <f t="shared" si="543"/>
        <v>0</v>
      </c>
      <c r="J499" s="90">
        <f t="shared" si="544"/>
        <v>0</v>
      </c>
      <c r="K499" s="90">
        <f t="shared" si="545"/>
        <v>7129683.5954317153</v>
      </c>
      <c r="L499" s="90">
        <f t="shared" si="546"/>
        <v>0</v>
      </c>
      <c r="M499" s="90">
        <f t="shared" si="547"/>
        <v>0</v>
      </c>
      <c r="N499" s="90"/>
      <c r="O499" s="90">
        <f t="shared" si="548"/>
        <v>2271633.4338905755</v>
      </c>
      <c r="P499" s="90">
        <f t="shared" si="549"/>
        <v>0</v>
      </c>
      <c r="Q499" s="90">
        <f t="shared" si="550"/>
        <v>0</v>
      </c>
      <c r="R499" s="90"/>
      <c r="S499" s="90">
        <f t="shared" si="551"/>
        <v>0</v>
      </c>
      <c r="T499" s="90">
        <f t="shared" si="552"/>
        <v>950897.25259029074</v>
      </c>
      <c r="U499" s="90">
        <f t="shared" si="553"/>
        <v>0</v>
      </c>
      <c r="V499" s="90">
        <f t="shared" si="554"/>
        <v>756299.29322679504</v>
      </c>
      <c r="W499" s="90">
        <f t="shared" si="555"/>
        <v>1470068.2137370438</v>
      </c>
      <c r="X499" s="90">
        <f t="shared" si="556"/>
        <v>340474.37143132143</v>
      </c>
      <c r="Y499" s="90">
        <f t="shared" si="557"/>
        <v>687333.1908407337</v>
      </c>
      <c r="Z499" s="90">
        <f t="shared" si="558"/>
        <v>496321.16996118723</v>
      </c>
      <c r="AA499" s="90">
        <f t="shared" si="559"/>
        <v>412357.0293532004</v>
      </c>
      <c r="AB499" s="90">
        <f t="shared" si="560"/>
        <v>347669.40688217181</v>
      </c>
      <c r="AC499" s="90">
        <f t="shared" si="561"/>
        <v>206772.48635282015</v>
      </c>
      <c r="AD499" s="90">
        <f t="shared" si="562"/>
        <v>398153.16167317756</v>
      </c>
      <c r="AE499" s="90"/>
      <c r="AF499" s="90">
        <f t="shared" si="563"/>
        <v>5179354.8436204167</v>
      </c>
      <c r="AG499" s="90"/>
      <c r="AH499" s="90">
        <f t="shared" si="564"/>
        <v>618447.15404023975</v>
      </c>
      <c r="AI499" s="90"/>
      <c r="AJ499" s="90">
        <f t="shared" si="565"/>
        <v>0</v>
      </c>
      <c r="AK499" s="90">
        <f t="shared" si="566"/>
        <v>31672891.999999996</v>
      </c>
      <c r="AL499" s="87" t="str">
        <f t="shared" si="567"/>
        <v>ok</v>
      </c>
    </row>
    <row r="500" spans="1:38" x14ac:dyDescent="0.5">
      <c r="A500" s="86">
        <v>928</v>
      </c>
      <c r="B500" s="86" t="s">
        <v>549</v>
      </c>
      <c r="C500" s="86" t="s">
        <v>1010</v>
      </c>
      <c r="D500" s="45" t="s">
        <v>184</v>
      </c>
      <c r="E500" s="45"/>
      <c r="F500" s="90">
        <f>'Jurisdictional Study'!F1458</f>
        <v>0</v>
      </c>
      <c r="H500" s="90">
        <f t="shared" si="542"/>
        <v>0</v>
      </c>
      <c r="I500" s="90">
        <f t="shared" si="543"/>
        <v>0</v>
      </c>
      <c r="J500" s="90">
        <f t="shared" si="544"/>
        <v>0</v>
      </c>
      <c r="K500" s="90">
        <f t="shared" si="545"/>
        <v>0</v>
      </c>
      <c r="L500" s="90">
        <f t="shared" si="546"/>
        <v>0</v>
      </c>
      <c r="M500" s="90">
        <f t="shared" si="547"/>
        <v>0</v>
      </c>
      <c r="N500" s="90"/>
      <c r="O500" s="90">
        <f t="shared" si="548"/>
        <v>0</v>
      </c>
      <c r="P500" s="90">
        <f t="shared" si="549"/>
        <v>0</v>
      </c>
      <c r="Q500" s="90">
        <f t="shared" si="550"/>
        <v>0</v>
      </c>
      <c r="R500" s="90"/>
      <c r="S500" s="90">
        <f t="shared" si="551"/>
        <v>0</v>
      </c>
      <c r="T500" s="90">
        <f t="shared" si="552"/>
        <v>0</v>
      </c>
      <c r="U500" s="90">
        <f t="shared" si="553"/>
        <v>0</v>
      </c>
      <c r="V500" s="90">
        <f t="shared" si="554"/>
        <v>0</v>
      </c>
      <c r="W500" s="90">
        <f t="shared" si="555"/>
        <v>0</v>
      </c>
      <c r="X500" s="90">
        <f t="shared" si="556"/>
        <v>0</v>
      </c>
      <c r="Y500" s="90">
        <f t="shared" si="557"/>
        <v>0</v>
      </c>
      <c r="Z500" s="90">
        <f t="shared" si="558"/>
        <v>0</v>
      </c>
      <c r="AA500" s="90">
        <f t="shared" si="559"/>
        <v>0</v>
      </c>
      <c r="AB500" s="90">
        <f t="shared" si="560"/>
        <v>0</v>
      </c>
      <c r="AC500" s="90">
        <f t="shared" si="561"/>
        <v>0</v>
      </c>
      <c r="AD500" s="90">
        <f t="shared" si="562"/>
        <v>0</v>
      </c>
      <c r="AE500" s="90"/>
      <c r="AF500" s="90">
        <f t="shared" si="563"/>
        <v>0</v>
      </c>
      <c r="AG500" s="90"/>
      <c r="AH500" s="90">
        <f t="shared" si="564"/>
        <v>0</v>
      </c>
      <c r="AI500" s="90"/>
      <c r="AJ500" s="90">
        <f t="shared" si="565"/>
        <v>0</v>
      </c>
      <c r="AK500" s="90">
        <f t="shared" si="566"/>
        <v>0</v>
      </c>
      <c r="AL500" s="87" t="str">
        <f t="shared" si="567"/>
        <v>ok</v>
      </c>
    </row>
    <row r="501" spans="1:38" x14ac:dyDescent="0.5">
      <c r="A501" s="86">
        <v>929</v>
      </c>
      <c r="B501" s="86" t="s">
        <v>466</v>
      </c>
      <c r="C501" s="86" t="s">
        <v>1011</v>
      </c>
      <c r="D501" s="45" t="s">
        <v>716</v>
      </c>
      <c r="E501" s="45"/>
      <c r="F501" s="90">
        <f>'Jurisdictional Study'!F1459</f>
        <v>0</v>
      </c>
      <c r="H501" s="90">
        <f t="shared" si="542"/>
        <v>0</v>
      </c>
      <c r="I501" s="90">
        <f t="shared" si="543"/>
        <v>0</v>
      </c>
      <c r="J501" s="90">
        <f t="shared" si="544"/>
        <v>0</v>
      </c>
      <c r="K501" s="90">
        <f t="shared" si="545"/>
        <v>0</v>
      </c>
      <c r="L501" s="90">
        <f t="shared" si="546"/>
        <v>0</v>
      </c>
      <c r="M501" s="90">
        <f t="shared" si="547"/>
        <v>0</v>
      </c>
      <c r="N501" s="90"/>
      <c r="O501" s="90">
        <f t="shared" si="548"/>
        <v>0</v>
      </c>
      <c r="P501" s="90">
        <f t="shared" si="549"/>
        <v>0</v>
      </c>
      <c r="Q501" s="90">
        <f t="shared" si="550"/>
        <v>0</v>
      </c>
      <c r="R501" s="90"/>
      <c r="S501" s="90">
        <f t="shared" si="551"/>
        <v>0</v>
      </c>
      <c r="T501" s="90">
        <f t="shared" si="552"/>
        <v>0</v>
      </c>
      <c r="U501" s="90">
        <f t="shared" si="553"/>
        <v>0</v>
      </c>
      <c r="V501" s="90">
        <f t="shared" si="554"/>
        <v>0</v>
      </c>
      <c r="W501" s="90">
        <f t="shared" si="555"/>
        <v>0</v>
      </c>
      <c r="X501" s="90">
        <f t="shared" si="556"/>
        <v>0</v>
      </c>
      <c r="Y501" s="90">
        <f t="shared" si="557"/>
        <v>0</v>
      </c>
      <c r="Z501" s="90">
        <f t="shared" si="558"/>
        <v>0</v>
      </c>
      <c r="AA501" s="90">
        <f t="shared" si="559"/>
        <v>0</v>
      </c>
      <c r="AB501" s="90">
        <f t="shared" si="560"/>
        <v>0</v>
      </c>
      <c r="AC501" s="90">
        <f t="shared" si="561"/>
        <v>0</v>
      </c>
      <c r="AD501" s="90">
        <f t="shared" si="562"/>
        <v>0</v>
      </c>
      <c r="AE501" s="90"/>
      <c r="AF501" s="90">
        <f t="shared" si="563"/>
        <v>0</v>
      </c>
      <c r="AG501" s="90"/>
      <c r="AH501" s="90">
        <f t="shared" si="564"/>
        <v>0</v>
      </c>
      <c r="AI501" s="90"/>
      <c r="AJ501" s="90">
        <f t="shared" si="565"/>
        <v>0</v>
      </c>
      <c r="AK501" s="90">
        <f t="shared" si="566"/>
        <v>0</v>
      </c>
      <c r="AL501" s="87" t="str">
        <f t="shared" si="567"/>
        <v>ok</v>
      </c>
    </row>
    <row r="502" spans="1:38" x14ac:dyDescent="0.5">
      <c r="A502" s="86">
        <v>930</v>
      </c>
      <c r="B502" s="86" t="s">
        <v>252</v>
      </c>
      <c r="C502" s="86" t="s">
        <v>1012</v>
      </c>
      <c r="D502" s="45" t="s">
        <v>716</v>
      </c>
      <c r="E502" s="45"/>
      <c r="F502" s="90">
        <f>'Jurisdictional Study'!F1460</f>
        <v>314464</v>
      </c>
      <c r="H502" s="90">
        <f t="shared" si="542"/>
        <v>103330.04163182329</v>
      </c>
      <c r="I502" s="90">
        <f t="shared" si="543"/>
        <v>0</v>
      </c>
      <c r="J502" s="90">
        <f t="shared" si="544"/>
        <v>0</v>
      </c>
      <c r="K502" s="90">
        <f t="shared" si="545"/>
        <v>70786.994195346575</v>
      </c>
      <c r="L502" s="90">
        <f t="shared" si="546"/>
        <v>0</v>
      </c>
      <c r="M502" s="90">
        <f t="shared" si="547"/>
        <v>0</v>
      </c>
      <c r="N502" s="90"/>
      <c r="O502" s="90">
        <f t="shared" si="548"/>
        <v>22553.890442178945</v>
      </c>
      <c r="P502" s="90">
        <f t="shared" si="549"/>
        <v>0</v>
      </c>
      <c r="Q502" s="90">
        <f t="shared" si="550"/>
        <v>0</v>
      </c>
      <c r="R502" s="90"/>
      <c r="S502" s="90">
        <f t="shared" si="551"/>
        <v>0</v>
      </c>
      <c r="T502" s="90">
        <f t="shared" si="552"/>
        <v>9440.974118768605</v>
      </c>
      <c r="U502" s="90">
        <f t="shared" si="553"/>
        <v>0</v>
      </c>
      <c r="V502" s="90">
        <f t="shared" si="554"/>
        <v>7508.9101729412923</v>
      </c>
      <c r="W502" s="90">
        <f t="shared" si="555"/>
        <v>14595.557954246986</v>
      </c>
      <c r="X502" s="90">
        <f t="shared" si="556"/>
        <v>3380.3964834590747</v>
      </c>
      <c r="Y502" s="90">
        <f t="shared" si="557"/>
        <v>6824.1808965389228</v>
      </c>
      <c r="Z502" s="90">
        <f t="shared" si="558"/>
        <v>4927.7199060532521</v>
      </c>
      <c r="AA502" s="90">
        <f t="shared" si="559"/>
        <v>4094.0827531166024</v>
      </c>
      <c r="AB502" s="90">
        <f t="shared" si="560"/>
        <v>3451.8323229149796</v>
      </c>
      <c r="AC502" s="90">
        <f t="shared" si="561"/>
        <v>2052.9386185654671</v>
      </c>
      <c r="AD502" s="90">
        <f t="shared" si="562"/>
        <v>3953.0597910792012</v>
      </c>
      <c r="AE502" s="90"/>
      <c r="AF502" s="90">
        <f t="shared" si="563"/>
        <v>51423.174162443102</v>
      </c>
      <c r="AG502" s="90"/>
      <c r="AH502" s="90">
        <f t="shared" si="564"/>
        <v>6140.2465505237078</v>
      </c>
      <c r="AI502" s="90"/>
      <c r="AJ502" s="90">
        <f t="shared" si="565"/>
        <v>0</v>
      </c>
      <c r="AK502" s="90">
        <f t="shared" si="566"/>
        <v>314464</v>
      </c>
      <c r="AL502" s="87" t="str">
        <f t="shared" si="567"/>
        <v>ok</v>
      </c>
    </row>
    <row r="503" spans="1:38" x14ac:dyDescent="0.5">
      <c r="A503" s="86">
        <v>931</v>
      </c>
      <c r="B503" s="86" t="s">
        <v>254</v>
      </c>
      <c r="C503" s="86" t="s">
        <v>1013</v>
      </c>
      <c r="D503" s="45" t="s">
        <v>174</v>
      </c>
      <c r="E503" s="45"/>
      <c r="F503" s="90">
        <f>'Jurisdictional Study'!F1461</f>
        <v>0</v>
      </c>
      <c r="H503" s="90">
        <f t="shared" si="542"/>
        <v>0</v>
      </c>
      <c r="I503" s="90">
        <f t="shared" si="543"/>
        <v>0</v>
      </c>
      <c r="J503" s="90">
        <f t="shared" si="544"/>
        <v>0</v>
      </c>
      <c r="K503" s="90">
        <f t="shared" si="545"/>
        <v>0</v>
      </c>
      <c r="L503" s="90">
        <f t="shared" si="546"/>
        <v>0</v>
      </c>
      <c r="M503" s="90">
        <f t="shared" si="547"/>
        <v>0</v>
      </c>
      <c r="N503" s="90"/>
      <c r="O503" s="90">
        <f t="shared" si="548"/>
        <v>0</v>
      </c>
      <c r="P503" s="90">
        <f t="shared" si="549"/>
        <v>0</v>
      </c>
      <c r="Q503" s="90">
        <f t="shared" si="550"/>
        <v>0</v>
      </c>
      <c r="R503" s="90"/>
      <c r="S503" s="90">
        <f t="shared" si="551"/>
        <v>0</v>
      </c>
      <c r="T503" s="90">
        <f t="shared" si="552"/>
        <v>0</v>
      </c>
      <c r="U503" s="90">
        <f t="shared" si="553"/>
        <v>0</v>
      </c>
      <c r="V503" s="90">
        <f t="shared" si="554"/>
        <v>0</v>
      </c>
      <c r="W503" s="90">
        <f t="shared" si="555"/>
        <v>0</v>
      </c>
      <c r="X503" s="90">
        <f t="shared" si="556"/>
        <v>0</v>
      </c>
      <c r="Y503" s="90">
        <f t="shared" si="557"/>
        <v>0</v>
      </c>
      <c r="Z503" s="90">
        <f t="shared" si="558"/>
        <v>0</v>
      </c>
      <c r="AA503" s="90">
        <f t="shared" si="559"/>
        <v>0</v>
      </c>
      <c r="AB503" s="90">
        <f t="shared" si="560"/>
        <v>0</v>
      </c>
      <c r="AC503" s="90">
        <f t="shared" si="561"/>
        <v>0</v>
      </c>
      <c r="AD503" s="90">
        <f t="shared" si="562"/>
        <v>0</v>
      </c>
      <c r="AE503" s="90"/>
      <c r="AF503" s="90">
        <f t="shared" si="563"/>
        <v>0</v>
      </c>
      <c r="AG503" s="90"/>
      <c r="AH503" s="90">
        <f t="shared" si="564"/>
        <v>0</v>
      </c>
      <c r="AI503" s="90"/>
      <c r="AJ503" s="90">
        <f t="shared" si="565"/>
        <v>0</v>
      </c>
      <c r="AK503" s="90">
        <f t="shared" si="566"/>
        <v>0</v>
      </c>
      <c r="AL503" s="87" t="str">
        <f t="shared" si="567"/>
        <v>ok</v>
      </c>
    </row>
    <row r="504" spans="1:38" x14ac:dyDescent="0.5">
      <c r="A504" s="86">
        <v>935</v>
      </c>
      <c r="B504" s="86" t="s">
        <v>256</v>
      </c>
      <c r="C504" s="86" t="s">
        <v>1745</v>
      </c>
      <c r="D504" s="45" t="s">
        <v>174</v>
      </c>
      <c r="E504" s="45"/>
      <c r="F504" s="90">
        <f>'Jurisdictional Study'!F1462</f>
        <v>731985</v>
      </c>
      <c r="H504" s="90">
        <f t="shared" si="542"/>
        <v>460656.77976400196</v>
      </c>
      <c r="I504" s="90">
        <f t="shared" si="543"/>
        <v>0</v>
      </c>
      <c r="J504" s="90">
        <f t="shared" si="544"/>
        <v>0</v>
      </c>
      <c r="K504" s="90">
        <f t="shared" si="545"/>
        <v>0</v>
      </c>
      <c r="L504" s="90">
        <f t="shared" si="546"/>
        <v>0</v>
      </c>
      <c r="M504" s="90">
        <f t="shared" si="547"/>
        <v>0</v>
      </c>
      <c r="N504" s="90"/>
      <c r="O504" s="90">
        <f t="shared" si="548"/>
        <v>99715.930158088755</v>
      </c>
      <c r="P504" s="90">
        <f t="shared" si="549"/>
        <v>0</v>
      </c>
      <c r="Q504" s="90">
        <f t="shared" si="550"/>
        <v>0</v>
      </c>
      <c r="R504" s="90"/>
      <c r="S504" s="90">
        <f t="shared" si="551"/>
        <v>0</v>
      </c>
      <c r="T504" s="90">
        <f t="shared" si="552"/>
        <v>26900.158110033266</v>
      </c>
      <c r="U504" s="90">
        <f t="shared" si="553"/>
        <v>0</v>
      </c>
      <c r="V504" s="90">
        <f t="shared" si="554"/>
        <v>21395.130242397467</v>
      </c>
      <c r="W504" s="90">
        <f t="shared" si="555"/>
        <v>41587.108674820498</v>
      </c>
      <c r="X504" s="90">
        <f t="shared" si="556"/>
        <v>9631.7603179183443</v>
      </c>
      <c r="Y504" s="90">
        <f t="shared" si="557"/>
        <v>19444.131800279629</v>
      </c>
      <c r="Z504" s="90">
        <f t="shared" si="558"/>
        <v>14040.547397674703</v>
      </c>
      <c r="AA504" s="90">
        <f t="shared" si="559"/>
        <v>11665.265891943938</v>
      </c>
      <c r="AB504" s="90">
        <f t="shared" si="560"/>
        <v>9835.3023838018435</v>
      </c>
      <c r="AC504" s="90">
        <f t="shared" si="561"/>
        <v>5849.4359517222474</v>
      </c>
      <c r="AD504" s="90">
        <f t="shared" si="562"/>
        <v>11263.449307317384</v>
      </c>
      <c r="AE504" s="90"/>
      <c r="AF504" s="90">
        <f t="shared" si="563"/>
        <v>0</v>
      </c>
      <c r="AG504" s="90"/>
      <c r="AH504" s="90">
        <f t="shared" si="564"/>
        <v>0</v>
      </c>
      <c r="AI504" s="90"/>
      <c r="AJ504" s="90">
        <f t="shared" si="565"/>
        <v>0</v>
      </c>
      <c r="AK504" s="90">
        <f t="shared" si="566"/>
        <v>731985.00000000012</v>
      </c>
      <c r="AL504" s="87" t="str">
        <f t="shared" si="567"/>
        <v>ok</v>
      </c>
    </row>
    <row r="505" spans="1:38" x14ac:dyDescent="0.5">
      <c r="D505" s="45"/>
      <c r="E505" s="45"/>
      <c r="F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87"/>
    </row>
    <row r="506" spans="1:38" x14ac:dyDescent="0.5">
      <c r="A506" s="86" t="s">
        <v>257</v>
      </c>
      <c r="C506" s="86" t="s">
        <v>1014</v>
      </c>
      <c r="D506" s="45"/>
      <c r="E506" s="45"/>
      <c r="F506" s="89">
        <f t="shared" ref="F506:M506" si="568">SUM(F493:F505)</f>
        <v>61949366</v>
      </c>
      <c r="G506" s="89">
        <f t="shared" si="568"/>
        <v>0</v>
      </c>
      <c r="H506" s="89">
        <f t="shared" si="568"/>
        <v>20576137.493998975</v>
      </c>
      <c r="I506" s="89">
        <f t="shared" si="568"/>
        <v>0</v>
      </c>
      <c r="J506" s="89">
        <f t="shared" si="568"/>
        <v>0</v>
      </c>
      <c r="K506" s="89">
        <f t="shared" si="568"/>
        <v>13780255.906880658</v>
      </c>
      <c r="L506" s="89">
        <f t="shared" si="568"/>
        <v>0</v>
      </c>
      <c r="M506" s="89">
        <f t="shared" si="568"/>
        <v>0</v>
      </c>
      <c r="N506" s="90"/>
      <c r="O506" s="89">
        <f>SUM(O493:O505)</f>
        <v>4490330.1315646945</v>
      </c>
      <c r="P506" s="89">
        <f>SUM(P493:P505)</f>
        <v>0</v>
      </c>
      <c r="Q506" s="89">
        <f>SUM(Q493:Q505)</f>
        <v>0</v>
      </c>
      <c r="R506" s="90"/>
      <c r="S506" s="89">
        <f t="shared" ref="S506:AD506" si="569">SUM(S493:S505)</f>
        <v>0</v>
      </c>
      <c r="T506" s="89">
        <f t="shared" si="569"/>
        <v>1864794.8285327111</v>
      </c>
      <c r="U506" s="89">
        <f t="shared" si="569"/>
        <v>0</v>
      </c>
      <c r="V506" s="89">
        <f t="shared" si="569"/>
        <v>1483170.7705437453</v>
      </c>
      <c r="W506" s="89">
        <f t="shared" si="569"/>
        <v>2882935.6642891942</v>
      </c>
      <c r="X506" s="89">
        <f t="shared" si="569"/>
        <v>667700.79034671141</v>
      </c>
      <c r="Y506" s="89">
        <f t="shared" si="569"/>
        <v>1347922.0560025568</v>
      </c>
      <c r="Z506" s="89">
        <f t="shared" si="569"/>
        <v>973330.34511743323</v>
      </c>
      <c r="AA506" s="89">
        <f t="shared" si="569"/>
        <v>808669.13197222026</v>
      </c>
      <c r="AB506" s="89">
        <f t="shared" si="569"/>
        <v>681810.90041728539</v>
      </c>
      <c r="AC506" s="89">
        <f t="shared" si="569"/>
        <v>405499.39773537911</v>
      </c>
      <c r="AD506" s="89">
        <f t="shared" si="569"/>
        <v>780814.0730552692</v>
      </c>
      <c r="AE506" s="90"/>
      <c r="AF506" s="89">
        <f>SUM(AF493:AF505)</f>
        <v>10010659.550637387</v>
      </c>
      <c r="AG506" s="90"/>
      <c r="AH506" s="89">
        <f>SUM(AH493:AH505)</f>
        <v>1195334.9589057751</v>
      </c>
      <c r="AI506" s="90"/>
      <c r="AJ506" s="89">
        <f>SUM(AJ493:AJ505)</f>
        <v>0</v>
      </c>
      <c r="AK506" s="90">
        <f>SUM(H506:AJ506)</f>
        <v>61949366</v>
      </c>
      <c r="AL506" s="87" t="str">
        <f>IF(ABS(AK506-F506)&lt;1,"ok","err")</f>
        <v>ok</v>
      </c>
    </row>
    <row r="507" spans="1:38" x14ac:dyDescent="0.5">
      <c r="D507" s="45"/>
      <c r="E507" s="45"/>
      <c r="F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87"/>
    </row>
    <row r="508" spans="1:38" x14ac:dyDescent="0.5">
      <c r="A508" s="86" t="s">
        <v>808</v>
      </c>
      <c r="C508" s="86" t="s">
        <v>1015</v>
      </c>
      <c r="D508" s="45"/>
      <c r="E508" s="45"/>
      <c r="F508" s="89">
        <f>F462+F471+F485+F506</f>
        <v>173228432</v>
      </c>
      <c r="G508" s="89"/>
      <c r="H508" s="89">
        <f t="shared" ref="H508:M508" si="570">H462+H471+H485+H506</f>
        <v>57141437.568190016</v>
      </c>
      <c r="I508" s="89">
        <f t="shared" si="570"/>
        <v>0</v>
      </c>
      <c r="J508" s="89">
        <f t="shared" si="570"/>
        <v>0</v>
      </c>
      <c r="K508" s="89">
        <f t="shared" si="570"/>
        <v>38829579.832689613</v>
      </c>
      <c r="L508" s="89">
        <f t="shared" si="570"/>
        <v>0</v>
      </c>
      <c r="M508" s="89">
        <f t="shared" si="570"/>
        <v>0</v>
      </c>
      <c r="N508" s="89"/>
      <c r="O508" s="89">
        <f>O462+O471+O485+O506</f>
        <v>12471453.131564695</v>
      </c>
      <c r="P508" s="89">
        <f>P462+P471+P485+P506</f>
        <v>0</v>
      </c>
      <c r="Q508" s="89">
        <f>Q462+Q471+Q485+Q506</f>
        <v>0</v>
      </c>
      <c r="R508" s="89"/>
      <c r="S508" s="89">
        <f t="shared" ref="S508:AD508" si="571">S462+S471+S485+S506</f>
        <v>0</v>
      </c>
      <c r="T508" s="89">
        <f t="shared" si="571"/>
        <v>5205663.0425945539</v>
      </c>
      <c r="U508" s="89">
        <f t="shared" si="571"/>
        <v>0</v>
      </c>
      <c r="V508" s="89">
        <f t="shared" si="571"/>
        <v>4140341.4187667705</v>
      </c>
      <c r="W508" s="89">
        <f t="shared" si="571"/>
        <v>8047851.3840455906</v>
      </c>
      <c r="X508" s="89">
        <f t="shared" si="571"/>
        <v>1863918.3649784985</v>
      </c>
      <c r="Y508" s="89">
        <f t="shared" si="571"/>
        <v>3762788.2294974369</v>
      </c>
      <c r="Z508" s="89">
        <f t="shared" si="571"/>
        <v>2717097.7355189216</v>
      </c>
      <c r="AA508" s="89">
        <f t="shared" si="571"/>
        <v>2257438.1640188908</v>
      </c>
      <c r="AB508" s="89">
        <f t="shared" si="571"/>
        <v>1903307.4052082608</v>
      </c>
      <c r="AC508" s="89">
        <f t="shared" si="571"/>
        <v>1131970.7649802638</v>
      </c>
      <c r="AD508" s="89">
        <f t="shared" si="571"/>
        <v>2179679.4484033175</v>
      </c>
      <c r="AE508" s="89"/>
      <c r="AF508" s="89">
        <f>AF462+AF471+AF485+AF506</f>
        <v>28207727.550637387</v>
      </c>
      <c r="AG508" s="89"/>
      <c r="AH508" s="89">
        <f>AH462+AH471+AH485+AH506</f>
        <v>3368177.9589057751</v>
      </c>
      <c r="AI508" s="89"/>
      <c r="AJ508" s="89">
        <f>AJ462+AJ471+AJ485+AJ506</f>
        <v>0</v>
      </c>
      <c r="AK508" s="90">
        <f>SUM(H508:AJ508)</f>
        <v>173228431.99999997</v>
      </c>
      <c r="AL508" s="87" t="str">
        <f>IF(ABS(AK508-F508)&lt;1,"ok","err")</f>
        <v>ok</v>
      </c>
    </row>
    <row r="509" spans="1:38" x14ac:dyDescent="0.5">
      <c r="D509" s="45"/>
      <c r="E509" s="45"/>
      <c r="F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87"/>
    </row>
    <row r="510" spans="1:38" x14ac:dyDescent="0.5">
      <c r="A510" s="86" t="s">
        <v>1292</v>
      </c>
      <c r="C510" s="86" t="s">
        <v>1016</v>
      </c>
      <c r="D510" s="45"/>
      <c r="E510" s="45"/>
      <c r="F510" s="91">
        <f t="shared" ref="F510:M510" si="572">F508-F405</f>
        <v>173228432</v>
      </c>
      <c r="G510" s="91">
        <f t="shared" si="572"/>
        <v>0</v>
      </c>
      <c r="H510" s="91">
        <f t="shared" si="572"/>
        <v>57141437.568190016</v>
      </c>
      <c r="I510" s="91">
        <f t="shared" si="572"/>
        <v>0</v>
      </c>
      <c r="J510" s="91">
        <f t="shared" si="572"/>
        <v>0</v>
      </c>
      <c r="K510" s="91">
        <f t="shared" si="572"/>
        <v>38829579.832689613</v>
      </c>
      <c r="L510" s="91">
        <f t="shared" si="572"/>
        <v>0</v>
      </c>
      <c r="M510" s="91">
        <f t="shared" si="572"/>
        <v>0</v>
      </c>
      <c r="N510" s="91"/>
      <c r="O510" s="91">
        <f>O508-O405</f>
        <v>12471453.131564695</v>
      </c>
      <c r="P510" s="91">
        <f>P508-P405</f>
        <v>0</v>
      </c>
      <c r="Q510" s="91">
        <f>Q508-Q405</f>
        <v>0</v>
      </c>
      <c r="R510" s="91"/>
      <c r="S510" s="91">
        <f t="shared" ref="S510:AD510" si="573">S508-S405</f>
        <v>0</v>
      </c>
      <c r="T510" s="91">
        <f t="shared" si="573"/>
        <v>5205663.0425945539</v>
      </c>
      <c r="U510" s="91">
        <f t="shared" si="573"/>
        <v>0</v>
      </c>
      <c r="V510" s="91">
        <f t="shared" si="573"/>
        <v>4140341.4187667705</v>
      </c>
      <c r="W510" s="91">
        <f t="shared" si="573"/>
        <v>8047851.3840455906</v>
      </c>
      <c r="X510" s="91">
        <f t="shared" si="573"/>
        <v>1863918.3649784985</v>
      </c>
      <c r="Y510" s="91">
        <f t="shared" si="573"/>
        <v>3762788.2294974369</v>
      </c>
      <c r="Z510" s="91">
        <f t="shared" si="573"/>
        <v>2717097.7355189216</v>
      </c>
      <c r="AA510" s="91">
        <f t="shared" si="573"/>
        <v>2257438.1640188908</v>
      </c>
      <c r="AB510" s="91">
        <f t="shared" si="573"/>
        <v>1903307.4052082608</v>
      </c>
      <c r="AC510" s="91">
        <f t="shared" si="573"/>
        <v>1131970.7649802638</v>
      </c>
      <c r="AD510" s="91">
        <f t="shared" si="573"/>
        <v>2179679.4484033175</v>
      </c>
      <c r="AE510" s="91"/>
      <c r="AF510" s="91">
        <f>AF508-AF405</f>
        <v>28207727.550637387</v>
      </c>
      <c r="AG510" s="91"/>
      <c r="AH510" s="91">
        <f>AH508-AH405</f>
        <v>3368177.9589057751</v>
      </c>
      <c r="AI510" s="91"/>
      <c r="AJ510" s="91">
        <f>AJ508-AJ405</f>
        <v>0</v>
      </c>
      <c r="AK510" s="90">
        <f>SUM(H510:AJ510)</f>
        <v>173228431.99999997</v>
      </c>
      <c r="AL510" s="87" t="str">
        <f>IF(ABS(AK510-F510)&lt;1,"ok","err")</f>
        <v>ok</v>
      </c>
    </row>
    <row r="511" spans="1:38" x14ac:dyDescent="0.5">
      <c r="D511" s="45"/>
      <c r="E511" s="45"/>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0"/>
      <c r="AL511" s="87"/>
    </row>
    <row r="512" spans="1:38" x14ac:dyDescent="0.5">
      <c r="D512" s="314"/>
      <c r="E512" s="314"/>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0"/>
      <c r="AL512" s="87"/>
    </row>
    <row r="513" spans="1:38" x14ac:dyDescent="0.5">
      <c r="A513" s="22" t="s">
        <v>811</v>
      </c>
      <c r="D513" s="314"/>
      <c r="E513" s="314"/>
      <c r="AL513" s="87"/>
    </row>
    <row r="514" spans="1:38" x14ac:dyDescent="0.5">
      <c r="D514" s="314"/>
      <c r="E514" s="314"/>
      <c r="AL514" s="87"/>
    </row>
    <row r="515" spans="1:38" x14ac:dyDescent="0.5">
      <c r="A515" s="23" t="s">
        <v>812</v>
      </c>
      <c r="D515" s="314"/>
      <c r="E515" s="314"/>
      <c r="AL515" s="87"/>
    </row>
    <row r="516" spans="1:38" x14ac:dyDescent="0.5">
      <c r="A516" s="96" t="s">
        <v>1593</v>
      </c>
      <c r="C516" s="86" t="s">
        <v>1294</v>
      </c>
      <c r="D516" s="314" t="s">
        <v>1479</v>
      </c>
      <c r="E516" s="314"/>
      <c r="F516" s="89">
        <f>'Jurisdictional Study'!F1157-17316914</f>
        <v>235868409</v>
      </c>
      <c r="H516" s="90">
        <f t="shared" ref="H516:H524" si="574">IF(VLOOKUP($D516,$C$5:$AJ$596,6,)=0,0,((VLOOKUP($D516,$C$5:$AJ$596,6,)/VLOOKUP($D516,$C$5:$AJ$596,4,))*$F516))</f>
        <v>235868409</v>
      </c>
      <c r="I516" s="90">
        <f t="shared" ref="I516:I524" si="575">IF(VLOOKUP($D516,$C$5:$AJ$596,7,)=0,0,((VLOOKUP($D516,$C$5:$AJ$596,7,)/VLOOKUP($D516,$C$5:$AJ$596,4,))*$F516))</f>
        <v>0</v>
      </c>
      <c r="J516" s="90">
        <f t="shared" ref="J516:J524" si="576">IF(VLOOKUP($D516,$C$5:$AJ$596,8,)=0,0,((VLOOKUP($D516,$C$5:$AJ$596,8,)/VLOOKUP($D516,$C$5:$AJ$596,4,))*$F516))</f>
        <v>0</v>
      </c>
      <c r="K516" s="90">
        <f t="shared" ref="K516:K524" si="577">IF(VLOOKUP($D516,$C$5:$AJ$596,9,)=0,0,((VLOOKUP($D516,$C$5:$AJ$596,9,)/VLOOKUP($D516,$C$5:$AJ$596,4,))*$F516))</f>
        <v>0</v>
      </c>
      <c r="L516" s="90">
        <f t="shared" ref="L516:L524" si="578">IF(VLOOKUP($D516,$C$5:$AJ$596,10,)=0,0,((VLOOKUP($D516,$C$5:$AJ$596,10,)/VLOOKUP($D516,$C$5:$AJ$596,4,))*$F516))</f>
        <v>0</v>
      </c>
      <c r="M516" s="90">
        <f t="shared" ref="M516:M524" si="579">IF(VLOOKUP($D516,$C$5:$AJ$596,11,)=0,0,((VLOOKUP($D516,$C$5:$AJ$596,11,)/VLOOKUP($D516,$C$5:$AJ$596,4,))*$F516))</f>
        <v>0</v>
      </c>
      <c r="N516" s="90"/>
      <c r="O516" s="90">
        <f t="shared" ref="O516:O524" si="580">IF(VLOOKUP($D516,$C$5:$AJ$596,13,)=0,0,((VLOOKUP($D516,$C$5:$AJ$596,13,)/VLOOKUP($D516,$C$5:$AJ$596,4,))*$F516))</f>
        <v>0</v>
      </c>
      <c r="P516" s="90">
        <f t="shared" ref="P516:P524" si="581">IF(VLOOKUP($D516,$C$5:$AJ$596,14,)=0,0,((VLOOKUP($D516,$C$5:$AJ$596,14,)/VLOOKUP($D516,$C$5:$AJ$596,4,))*$F516))</f>
        <v>0</v>
      </c>
      <c r="Q516" s="90">
        <f t="shared" ref="Q516:Q524" si="582">IF(VLOOKUP($D516,$C$5:$AJ$596,15,)=0,0,((VLOOKUP($D516,$C$5:$AJ$596,15,)/VLOOKUP($D516,$C$5:$AJ$596,4,))*$F516))</f>
        <v>0</v>
      </c>
      <c r="R516" s="90"/>
      <c r="S516" s="90">
        <f t="shared" ref="S516:S524" si="583">IF(VLOOKUP($D516,$C$5:$AJ$596,17,)=0,0,((VLOOKUP($D516,$C$5:$AJ$596,17,)/VLOOKUP($D516,$C$5:$AJ$596,4,))*$F516))</f>
        <v>0</v>
      </c>
      <c r="T516" s="90">
        <f t="shared" ref="T516:T524" si="584">IF(VLOOKUP($D516,$C$5:$AJ$596,18,)=0,0,((VLOOKUP($D516,$C$5:$AJ$596,18,)/VLOOKUP($D516,$C$5:$AJ$596,4,))*$F516))</f>
        <v>0</v>
      </c>
      <c r="U516" s="90">
        <f t="shared" ref="U516:U524" si="585">IF(VLOOKUP($D516,$C$5:$AJ$596,19,)=0,0,((VLOOKUP($D516,$C$5:$AJ$596,19,)/VLOOKUP($D516,$C$5:$AJ$596,4,))*$F516))</f>
        <v>0</v>
      </c>
      <c r="V516" s="90">
        <f t="shared" ref="V516:V524" si="586">IF(VLOOKUP($D516,$C$5:$AJ$596,20,)=0,0,((VLOOKUP($D516,$C$5:$AJ$596,20,)/VLOOKUP($D516,$C$5:$AJ$596,4,))*$F516))</f>
        <v>0</v>
      </c>
      <c r="W516" s="90">
        <f t="shared" ref="W516:W524" si="587">IF(VLOOKUP($D516,$C$5:$AJ$596,21,)=0,0,((VLOOKUP($D516,$C$5:$AJ$596,21,)/VLOOKUP($D516,$C$5:$AJ$596,4,))*$F516))</f>
        <v>0</v>
      </c>
      <c r="X516" s="90">
        <f t="shared" ref="X516:X524" si="588">IF(VLOOKUP($D516,$C$5:$AJ$596,22,)=0,0,((VLOOKUP($D516,$C$5:$AJ$596,22,)/VLOOKUP($D516,$C$5:$AJ$596,4,))*$F516))</f>
        <v>0</v>
      </c>
      <c r="Y516" s="90">
        <f t="shared" ref="Y516:Y524" si="589">IF(VLOOKUP($D516,$C$5:$AJ$596,23,)=0,0,((VLOOKUP($D516,$C$5:$AJ$596,23,)/VLOOKUP($D516,$C$5:$AJ$596,4,))*$F516))</f>
        <v>0</v>
      </c>
      <c r="Z516" s="90">
        <f t="shared" ref="Z516:Z524" si="590">IF(VLOOKUP($D516,$C$5:$AJ$596,24,)=0,0,((VLOOKUP($D516,$C$5:$AJ$596,24,)/VLOOKUP($D516,$C$5:$AJ$596,4,))*$F516))</f>
        <v>0</v>
      </c>
      <c r="AA516" s="90">
        <f t="shared" ref="AA516:AA524" si="591">IF(VLOOKUP($D516,$C$5:$AJ$596,25,)=0,0,((VLOOKUP($D516,$C$5:$AJ$596,25,)/VLOOKUP($D516,$C$5:$AJ$596,4,))*$F516))</f>
        <v>0</v>
      </c>
      <c r="AB516" s="90">
        <f t="shared" ref="AB516:AB524" si="592">IF(VLOOKUP($D516,$C$5:$AJ$596,26,)=0,0,((VLOOKUP($D516,$C$5:$AJ$596,26,)/VLOOKUP($D516,$C$5:$AJ$596,4,))*$F516))</f>
        <v>0</v>
      </c>
      <c r="AC516" s="90">
        <f t="shared" ref="AC516:AC524" si="593">IF(VLOOKUP($D516,$C$5:$AJ$596,27,)=0,0,((VLOOKUP($D516,$C$5:$AJ$596,27,)/VLOOKUP($D516,$C$5:$AJ$596,4,))*$F516))</f>
        <v>0</v>
      </c>
      <c r="AD516" s="90">
        <f t="shared" ref="AD516:AD524" si="594">IF(VLOOKUP($D516,$C$5:$AJ$596,28,)=0,0,((VLOOKUP($D516,$C$5:$AJ$596,28,)/VLOOKUP($D516,$C$5:$AJ$596,4,))*$F516))</f>
        <v>0</v>
      </c>
      <c r="AE516" s="90"/>
      <c r="AF516" s="90">
        <f t="shared" ref="AF516:AF524" si="595">IF(VLOOKUP($D516,$C$5:$AJ$596,30,)=0,0,((VLOOKUP($D516,$C$5:$AJ$596,30,)/VLOOKUP($D516,$C$5:$AJ$596,4,))*$F516))</f>
        <v>0</v>
      </c>
      <c r="AG516" s="90"/>
      <c r="AH516" s="90">
        <f t="shared" ref="AH516:AH524" si="596">IF(VLOOKUP($D516,$C$5:$AJ$596,32,)=0,0,((VLOOKUP($D516,$C$5:$AJ$596,32,)/VLOOKUP($D516,$C$5:$AJ$596,4,))*$F516))</f>
        <v>0</v>
      </c>
      <c r="AI516" s="90"/>
      <c r="AJ516" s="90">
        <f t="shared" ref="AJ516:AJ524" si="597">IF(VLOOKUP($D516,$C$5:$AJ$596,34,)=0,0,((VLOOKUP($D516,$C$5:$AJ$596,34,)/VLOOKUP($D516,$C$5:$AJ$596,4,))*$F516))</f>
        <v>0</v>
      </c>
      <c r="AK516" s="90">
        <f t="shared" ref="AK516:AK524" si="598">SUM(H516:AJ516)</f>
        <v>235868409</v>
      </c>
      <c r="AL516" s="87" t="str">
        <f t="shared" ref="AL516:AL524" si="599">IF(ABS(AK516-F516)&lt;1,"ok","err")</f>
        <v>ok</v>
      </c>
    </row>
    <row r="517" spans="1:38" x14ac:dyDescent="0.5">
      <c r="A517" s="96" t="s">
        <v>1592</v>
      </c>
      <c r="C517" s="86" t="s">
        <v>951</v>
      </c>
      <c r="D517" s="314" t="s">
        <v>1479</v>
      </c>
      <c r="E517" s="314"/>
      <c r="F517" s="90">
        <f>'Jurisdictional Study'!F1163</f>
        <v>1440468</v>
      </c>
      <c r="H517" s="90">
        <f t="shared" si="574"/>
        <v>1440468</v>
      </c>
      <c r="I517" s="90">
        <f t="shared" si="575"/>
        <v>0</v>
      </c>
      <c r="J517" s="90">
        <f t="shared" si="576"/>
        <v>0</v>
      </c>
      <c r="K517" s="90">
        <f t="shared" si="577"/>
        <v>0</v>
      </c>
      <c r="L517" s="90">
        <f t="shared" si="578"/>
        <v>0</v>
      </c>
      <c r="M517" s="90">
        <f t="shared" si="579"/>
        <v>0</v>
      </c>
      <c r="N517" s="90"/>
      <c r="O517" s="90">
        <f t="shared" si="580"/>
        <v>0</v>
      </c>
      <c r="P517" s="90">
        <f t="shared" si="581"/>
        <v>0</v>
      </c>
      <c r="Q517" s="90">
        <f t="shared" si="582"/>
        <v>0</v>
      </c>
      <c r="R517" s="90"/>
      <c r="S517" s="90">
        <f t="shared" si="583"/>
        <v>0</v>
      </c>
      <c r="T517" s="90">
        <f t="shared" si="584"/>
        <v>0</v>
      </c>
      <c r="U517" s="90">
        <f t="shared" si="585"/>
        <v>0</v>
      </c>
      <c r="V517" s="90">
        <f t="shared" si="586"/>
        <v>0</v>
      </c>
      <c r="W517" s="90">
        <f t="shared" si="587"/>
        <v>0</v>
      </c>
      <c r="X517" s="90">
        <f t="shared" si="588"/>
        <v>0</v>
      </c>
      <c r="Y517" s="90">
        <f t="shared" si="589"/>
        <v>0</v>
      </c>
      <c r="Z517" s="90">
        <f t="shared" si="590"/>
        <v>0</v>
      </c>
      <c r="AA517" s="90">
        <f t="shared" si="591"/>
        <v>0</v>
      </c>
      <c r="AB517" s="90">
        <f t="shared" si="592"/>
        <v>0</v>
      </c>
      <c r="AC517" s="90">
        <f t="shared" si="593"/>
        <v>0</v>
      </c>
      <c r="AD517" s="90">
        <f t="shared" si="594"/>
        <v>0</v>
      </c>
      <c r="AE517" s="90"/>
      <c r="AF517" s="90">
        <f t="shared" si="595"/>
        <v>0</v>
      </c>
      <c r="AG517" s="90"/>
      <c r="AH517" s="90">
        <f t="shared" si="596"/>
        <v>0</v>
      </c>
      <c r="AI517" s="90"/>
      <c r="AJ517" s="90">
        <f t="shared" si="597"/>
        <v>0</v>
      </c>
      <c r="AK517" s="90">
        <f t="shared" si="598"/>
        <v>1440468</v>
      </c>
      <c r="AL517" s="87" t="str">
        <f t="shared" si="599"/>
        <v>ok</v>
      </c>
    </row>
    <row r="518" spans="1:38" x14ac:dyDescent="0.5">
      <c r="A518" s="97" t="s">
        <v>1591</v>
      </c>
      <c r="C518" s="86" t="s">
        <v>952</v>
      </c>
      <c r="D518" s="314" t="s">
        <v>1479</v>
      </c>
      <c r="E518" s="314"/>
      <c r="F518" s="90">
        <f>'Jurisdictional Study'!F1169</f>
        <v>29642381</v>
      </c>
      <c r="H518" s="90">
        <f t="shared" si="574"/>
        <v>29642381</v>
      </c>
      <c r="I518" s="90">
        <f t="shared" si="575"/>
        <v>0</v>
      </c>
      <c r="J518" s="90">
        <f t="shared" si="576"/>
        <v>0</v>
      </c>
      <c r="K518" s="90">
        <f t="shared" si="577"/>
        <v>0</v>
      </c>
      <c r="L518" s="90">
        <f t="shared" si="578"/>
        <v>0</v>
      </c>
      <c r="M518" s="90">
        <f t="shared" si="579"/>
        <v>0</v>
      </c>
      <c r="N518" s="90"/>
      <c r="O518" s="90">
        <f t="shared" si="580"/>
        <v>0</v>
      </c>
      <c r="P518" s="90">
        <f t="shared" si="581"/>
        <v>0</v>
      </c>
      <c r="Q518" s="90">
        <f t="shared" si="582"/>
        <v>0</v>
      </c>
      <c r="R518" s="90"/>
      <c r="S518" s="90">
        <f t="shared" si="583"/>
        <v>0</v>
      </c>
      <c r="T518" s="90">
        <f t="shared" si="584"/>
        <v>0</v>
      </c>
      <c r="U518" s="90">
        <f t="shared" si="585"/>
        <v>0</v>
      </c>
      <c r="V518" s="90">
        <f t="shared" si="586"/>
        <v>0</v>
      </c>
      <c r="W518" s="90">
        <f t="shared" si="587"/>
        <v>0</v>
      </c>
      <c r="X518" s="90">
        <f t="shared" si="588"/>
        <v>0</v>
      </c>
      <c r="Y518" s="90">
        <f t="shared" si="589"/>
        <v>0</v>
      </c>
      <c r="Z518" s="90">
        <f t="shared" si="590"/>
        <v>0</v>
      </c>
      <c r="AA518" s="90">
        <f t="shared" si="591"/>
        <v>0</v>
      </c>
      <c r="AB518" s="90">
        <f t="shared" si="592"/>
        <v>0</v>
      </c>
      <c r="AC518" s="90">
        <f t="shared" si="593"/>
        <v>0</v>
      </c>
      <c r="AD518" s="90">
        <f t="shared" si="594"/>
        <v>0</v>
      </c>
      <c r="AE518" s="90"/>
      <c r="AF518" s="90">
        <f t="shared" si="595"/>
        <v>0</v>
      </c>
      <c r="AG518" s="90"/>
      <c r="AH518" s="90">
        <f t="shared" si="596"/>
        <v>0</v>
      </c>
      <c r="AI518" s="90"/>
      <c r="AJ518" s="90">
        <f t="shared" si="597"/>
        <v>0</v>
      </c>
      <c r="AK518" s="90">
        <f t="shared" si="598"/>
        <v>29642381</v>
      </c>
      <c r="AL518" s="87" t="str">
        <f t="shared" si="599"/>
        <v>ok</v>
      </c>
    </row>
    <row r="519" spans="1:38" x14ac:dyDescent="0.5">
      <c r="A519" s="86" t="s">
        <v>1594</v>
      </c>
      <c r="C519" s="86" t="s">
        <v>953</v>
      </c>
      <c r="D519" s="314" t="s">
        <v>469</v>
      </c>
      <c r="E519" s="314"/>
      <c r="F519" s="90">
        <f>'Jurisdictional Study'!F1174</f>
        <v>30191755</v>
      </c>
      <c r="H519" s="90">
        <f t="shared" si="574"/>
        <v>0</v>
      </c>
      <c r="I519" s="90">
        <f t="shared" si="575"/>
        <v>0</v>
      </c>
      <c r="J519" s="90">
        <f t="shared" si="576"/>
        <v>0</v>
      </c>
      <c r="K519" s="90">
        <f t="shared" si="577"/>
        <v>0</v>
      </c>
      <c r="L519" s="90">
        <f t="shared" si="578"/>
        <v>0</v>
      </c>
      <c r="M519" s="90">
        <f t="shared" si="579"/>
        <v>0</v>
      </c>
      <c r="N519" s="90"/>
      <c r="O519" s="90">
        <f t="shared" si="580"/>
        <v>30191755</v>
      </c>
      <c r="P519" s="90">
        <f t="shared" si="581"/>
        <v>0</v>
      </c>
      <c r="Q519" s="90">
        <f t="shared" si="582"/>
        <v>0</v>
      </c>
      <c r="R519" s="90"/>
      <c r="S519" s="90">
        <f t="shared" si="583"/>
        <v>0</v>
      </c>
      <c r="T519" s="90">
        <f t="shared" si="584"/>
        <v>0</v>
      </c>
      <c r="U519" s="90">
        <f t="shared" si="585"/>
        <v>0</v>
      </c>
      <c r="V519" s="90">
        <f t="shared" si="586"/>
        <v>0</v>
      </c>
      <c r="W519" s="90">
        <f t="shared" si="587"/>
        <v>0</v>
      </c>
      <c r="X519" s="90">
        <f t="shared" si="588"/>
        <v>0</v>
      </c>
      <c r="Y519" s="90">
        <f t="shared" si="589"/>
        <v>0</v>
      </c>
      <c r="Z519" s="90">
        <f t="shared" si="590"/>
        <v>0</v>
      </c>
      <c r="AA519" s="90">
        <f t="shared" si="591"/>
        <v>0</v>
      </c>
      <c r="AB519" s="90">
        <f t="shared" si="592"/>
        <v>0</v>
      </c>
      <c r="AC519" s="90">
        <f t="shared" si="593"/>
        <v>0</v>
      </c>
      <c r="AD519" s="90">
        <f t="shared" si="594"/>
        <v>0</v>
      </c>
      <c r="AE519" s="90"/>
      <c r="AF519" s="90">
        <f t="shared" si="595"/>
        <v>0</v>
      </c>
      <c r="AG519" s="90"/>
      <c r="AH519" s="90">
        <f t="shared" si="596"/>
        <v>0</v>
      </c>
      <c r="AI519" s="90"/>
      <c r="AJ519" s="90">
        <f t="shared" si="597"/>
        <v>0</v>
      </c>
      <c r="AK519" s="90">
        <f t="shared" si="598"/>
        <v>30191755</v>
      </c>
      <c r="AL519" s="87" t="str">
        <f t="shared" si="599"/>
        <v>ok</v>
      </c>
    </row>
    <row r="520" spans="1:38" x14ac:dyDescent="0.5">
      <c r="A520" s="86" t="s">
        <v>1595</v>
      </c>
      <c r="C520" s="86" t="s">
        <v>954</v>
      </c>
      <c r="D520" s="314" t="s">
        <v>469</v>
      </c>
      <c r="E520" s="314"/>
      <c r="F520" s="90">
        <f>'Jurisdictional Study'!F1175</f>
        <v>192228</v>
      </c>
      <c r="H520" s="90">
        <f t="shared" si="574"/>
        <v>0</v>
      </c>
      <c r="I520" s="90">
        <f t="shared" si="575"/>
        <v>0</v>
      </c>
      <c r="J520" s="90">
        <f t="shared" si="576"/>
        <v>0</v>
      </c>
      <c r="K520" s="90">
        <f t="shared" si="577"/>
        <v>0</v>
      </c>
      <c r="L520" s="90">
        <f t="shared" si="578"/>
        <v>0</v>
      </c>
      <c r="M520" s="90">
        <f t="shared" si="579"/>
        <v>0</v>
      </c>
      <c r="N520" s="90"/>
      <c r="O520" s="90">
        <f t="shared" si="580"/>
        <v>192228</v>
      </c>
      <c r="P520" s="90">
        <f t="shared" si="581"/>
        <v>0</v>
      </c>
      <c r="Q520" s="90">
        <f t="shared" si="582"/>
        <v>0</v>
      </c>
      <c r="R520" s="90"/>
      <c r="S520" s="90">
        <f t="shared" si="583"/>
        <v>0</v>
      </c>
      <c r="T520" s="90">
        <f t="shared" si="584"/>
        <v>0</v>
      </c>
      <c r="U520" s="90">
        <f t="shared" si="585"/>
        <v>0</v>
      </c>
      <c r="V520" s="90">
        <f t="shared" si="586"/>
        <v>0</v>
      </c>
      <c r="W520" s="90">
        <f t="shared" si="587"/>
        <v>0</v>
      </c>
      <c r="X520" s="90">
        <f t="shared" si="588"/>
        <v>0</v>
      </c>
      <c r="Y520" s="90">
        <f t="shared" si="589"/>
        <v>0</v>
      </c>
      <c r="Z520" s="90">
        <f t="shared" si="590"/>
        <v>0</v>
      </c>
      <c r="AA520" s="90">
        <f t="shared" si="591"/>
        <v>0</v>
      </c>
      <c r="AB520" s="90">
        <f t="shared" si="592"/>
        <v>0</v>
      </c>
      <c r="AC520" s="90">
        <f t="shared" si="593"/>
        <v>0</v>
      </c>
      <c r="AD520" s="90">
        <f t="shared" si="594"/>
        <v>0</v>
      </c>
      <c r="AE520" s="90"/>
      <c r="AF520" s="90">
        <f t="shared" si="595"/>
        <v>0</v>
      </c>
      <c r="AG520" s="90"/>
      <c r="AH520" s="90">
        <f t="shared" si="596"/>
        <v>0</v>
      </c>
      <c r="AI520" s="90"/>
      <c r="AJ520" s="90">
        <f t="shared" si="597"/>
        <v>0</v>
      </c>
      <c r="AK520" s="90">
        <f t="shared" si="598"/>
        <v>192228</v>
      </c>
      <c r="AL520" s="87" t="str">
        <f t="shared" si="599"/>
        <v>ok</v>
      </c>
    </row>
    <row r="521" spans="1:38" x14ac:dyDescent="0.5">
      <c r="A521" s="86" t="s">
        <v>1595</v>
      </c>
      <c r="C521" s="86" t="s">
        <v>955</v>
      </c>
      <c r="D521" s="314" t="s">
        <v>469</v>
      </c>
      <c r="E521" s="314"/>
      <c r="F521" s="90">
        <f>'Jurisdictional Study'!F1176+'Jurisdictional Study'!F1177</f>
        <v>20672</v>
      </c>
      <c r="H521" s="90">
        <f t="shared" si="574"/>
        <v>0</v>
      </c>
      <c r="I521" s="90">
        <f t="shared" si="575"/>
        <v>0</v>
      </c>
      <c r="J521" s="90">
        <f t="shared" si="576"/>
        <v>0</v>
      </c>
      <c r="K521" s="90">
        <f t="shared" si="577"/>
        <v>0</v>
      </c>
      <c r="L521" s="90">
        <f t="shared" si="578"/>
        <v>0</v>
      </c>
      <c r="M521" s="90">
        <f t="shared" si="579"/>
        <v>0</v>
      </c>
      <c r="N521" s="90"/>
      <c r="O521" s="90">
        <f t="shared" si="580"/>
        <v>20672</v>
      </c>
      <c r="P521" s="90">
        <f t="shared" si="581"/>
        <v>0</v>
      </c>
      <c r="Q521" s="90">
        <f t="shared" si="582"/>
        <v>0</v>
      </c>
      <c r="R521" s="90"/>
      <c r="S521" s="90">
        <f t="shared" si="583"/>
        <v>0</v>
      </c>
      <c r="T521" s="90">
        <f t="shared" si="584"/>
        <v>0</v>
      </c>
      <c r="U521" s="90">
        <f t="shared" si="585"/>
        <v>0</v>
      </c>
      <c r="V521" s="90">
        <f t="shared" si="586"/>
        <v>0</v>
      </c>
      <c r="W521" s="90">
        <f t="shared" si="587"/>
        <v>0</v>
      </c>
      <c r="X521" s="90">
        <f t="shared" si="588"/>
        <v>0</v>
      </c>
      <c r="Y521" s="90">
        <f t="shared" si="589"/>
        <v>0</v>
      </c>
      <c r="Z521" s="90">
        <f t="shared" si="590"/>
        <v>0</v>
      </c>
      <c r="AA521" s="90">
        <f t="shared" si="591"/>
        <v>0</v>
      </c>
      <c r="AB521" s="90">
        <f t="shared" si="592"/>
        <v>0</v>
      </c>
      <c r="AC521" s="90">
        <f t="shared" si="593"/>
        <v>0</v>
      </c>
      <c r="AD521" s="90">
        <f t="shared" si="594"/>
        <v>0</v>
      </c>
      <c r="AE521" s="90"/>
      <c r="AF521" s="90">
        <f t="shared" si="595"/>
        <v>0</v>
      </c>
      <c r="AG521" s="90"/>
      <c r="AH521" s="90">
        <f t="shared" si="596"/>
        <v>0</v>
      </c>
      <c r="AI521" s="90"/>
      <c r="AJ521" s="90">
        <f t="shared" si="597"/>
        <v>0</v>
      </c>
      <c r="AK521" s="90">
        <f>SUM(H521:AJ521)</f>
        <v>20672</v>
      </c>
      <c r="AL521" s="87" t="str">
        <f>IF(ABS(AK521-F521)&lt;1,"ok","err")</f>
        <v>ok</v>
      </c>
    </row>
    <row r="522" spans="1:38" x14ac:dyDescent="0.5">
      <c r="A522" s="86" t="s">
        <v>1597</v>
      </c>
      <c r="C522" s="86" t="s">
        <v>956</v>
      </c>
      <c r="D522" s="314" t="s">
        <v>109</v>
      </c>
      <c r="E522" s="314"/>
      <c r="F522" s="90">
        <f>'Jurisdictional Study'!F1184-1281145</f>
        <v>38870091</v>
      </c>
      <c r="H522" s="90">
        <f t="shared" si="574"/>
        <v>0</v>
      </c>
      <c r="I522" s="90">
        <f t="shared" si="575"/>
        <v>0</v>
      </c>
      <c r="J522" s="90">
        <f t="shared" si="576"/>
        <v>0</v>
      </c>
      <c r="K522" s="90">
        <f t="shared" si="577"/>
        <v>0</v>
      </c>
      <c r="L522" s="90">
        <f t="shared" si="578"/>
        <v>0</v>
      </c>
      <c r="M522" s="90">
        <f t="shared" si="579"/>
        <v>0</v>
      </c>
      <c r="N522" s="90"/>
      <c r="O522" s="90">
        <f t="shared" si="580"/>
        <v>0</v>
      </c>
      <c r="P522" s="90">
        <f t="shared" si="581"/>
        <v>0</v>
      </c>
      <c r="Q522" s="90">
        <f t="shared" si="582"/>
        <v>0</v>
      </c>
      <c r="R522" s="90"/>
      <c r="S522" s="90">
        <f t="shared" si="583"/>
        <v>0</v>
      </c>
      <c r="T522" s="90">
        <f t="shared" si="584"/>
        <v>6092871.2808196293</v>
      </c>
      <c r="U522" s="90">
        <f t="shared" si="585"/>
        <v>0</v>
      </c>
      <c r="V522" s="90">
        <f t="shared" si="586"/>
        <v>4845985.4425419895</v>
      </c>
      <c r="W522" s="90">
        <f t="shared" si="587"/>
        <v>9419457.6500511616</v>
      </c>
      <c r="X522" s="90">
        <f t="shared" si="588"/>
        <v>2181588.5090613784</v>
      </c>
      <c r="Y522" s="90">
        <f t="shared" si="589"/>
        <v>4404085.3493053652</v>
      </c>
      <c r="Z522" s="90">
        <f t="shared" si="590"/>
        <v>3180176.4010588257</v>
      </c>
      <c r="AA522" s="90">
        <f t="shared" si="591"/>
        <v>2642176.423105868</v>
      </c>
      <c r="AB522" s="90">
        <f t="shared" si="592"/>
        <v>2227690.6770333094</v>
      </c>
      <c r="AC522" s="90">
        <f t="shared" si="593"/>
        <v>1324894.0832786146</v>
      </c>
      <c r="AD522" s="90">
        <f t="shared" si="594"/>
        <v>2551165.1837438573</v>
      </c>
      <c r="AE522" s="90"/>
      <c r="AF522" s="90">
        <f t="shared" si="595"/>
        <v>0</v>
      </c>
      <c r="AG522" s="90"/>
      <c r="AH522" s="90">
        <f t="shared" si="596"/>
        <v>0</v>
      </c>
      <c r="AI522" s="90"/>
      <c r="AJ522" s="90">
        <f t="shared" si="597"/>
        <v>0</v>
      </c>
      <c r="AK522" s="90">
        <f t="shared" si="598"/>
        <v>38870091</v>
      </c>
      <c r="AL522" s="87" t="str">
        <f t="shared" si="599"/>
        <v>ok</v>
      </c>
    </row>
    <row r="523" spans="1:38" x14ac:dyDescent="0.5">
      <c r="A523" s="96" t="s">
        <v>186</v>
      </c>
      <c r="C523" s="86" t="s">
        <v>2329</v>
      </c>
      <c r="D523" s="314" t="s">
        <v>174</v>
      </c>
      <c r="E523" s="314"/>
      <c r="F523" s="90">
        <f>'Jurisdictional Study'!F1186</f>
        <v>13809821</v>
      </c>
      <c r="H523" s="90">
        <f t="shared" si="574"/>
        <v>8690871.6312182471</v>
      </c>
      <c r="I523" s="90">
        <f t="shared" si="575"/>
        <v>0</v>
      </c>
      <c r="J523" s="90">
        <f t="shared" si="576"/>
        <v>0</v>
      </c>
      <c r="K523" s="90">
        <f t="shared" si="577"/>
        <v>0</v>
      </c>
      <c r="L523" s="90">
        <f t="shared" si="578"/>
        <v>0</v>
      </c>
      <c r="M523" s="90">
        <f t="shared" si="579"/>
        <v>0</v>
      </c>
      <c r="N523" s="90"/>
      <c r="O523" s="90">
        <f t="shared" si="580"/>
        <v>1881266.8925342832</v>
      </c>
      <c r="P523" s="90">
        <f t="shared" si="581"/>
        <v>0</v>
      </c>
      <c r="Q523" s="90">
        <f t="shared" si="582"/>
        <v>0</v>
      </c>
      <c r="R523" s="90"/>
      <c r="S523" s="90">
        <f t="shared" si="583"/>
        <v>0</v>
      </c>
      <c r="T523" s="90">
        <f t="shared" si="584"/>
        <v>507505.43846015661</v>
      </c>
      <c r="U523" s="90">
        <f t="shared" si="585"/>
        <v>0</v>
      </c>
      <c r="V523" s="90">
        <f t="shared" si="586"/>
        <v>403646.13881322107</v>
      </c>
      <c r="W523" s="90">
        <f t="shared" si="587"/>
        <v>784593.30000863166</v>
      </c>
      <c r="X523" s="90">
        <f t="shared" si="588"/>
        <v>181715.31644139625</v>
      </c>
      <c r="Y523" s="90">
        <f t="shared" si="589"/>
        <v>366838.09048309654</v>
      </c>
      <c r="Z523" s="90">
        <f t="shared" si="590"/>
        <v>264892.64985471492</v>
      </c>
      <c r="AA523" s="90">
        <f t="shared" si="591"/>
        <v>220079.96596262374</v>
      </c>
      <c r="AB523" s="90">
        <f t="shared" si="592"/>
        <v>185555.39444275052</v>
      </c>
      <c r="AC523" s="90">
        <f t="shared" si="593"/>
        <v>110356.99289500315</v>
      </c>
      <c r="AD523" s="90">
        <f t="shared" si="594"/>
        <v>212499.18888587478</v>
      </c>
      <c r="AE523" s="90"/>
      <c r="AF523" s="90">
        <f t="shared" si="595"/>
        <v>0</v>
      </c>
      <c r="AG523" s="90"/>
      <c r="AH523" s="90">
        <f t="shared" si="596"/>
        <v>0</v>
      </c>
      <c r="AI523" s="90"/>
      <c r="AJ523" s="90">
        <f t="shared" si="597"/>
        <v>0</v>
      </c>
      <c r="AK523" s="90">
        <f t="shared" si="598"/>
        <v>13809821.000000002</v>
      </c>
      <c r="AL523" s="87" t="str">
        <f t="shared" si="599"/>
        <v>ok</v>
      </c>
    </row>
    <row r="524" spans="1:38" x14ac:dyDescent="0.5">
      <c r="A524" s="96" t="s">
        <v>1596</v>
      </c>
      <c r="C524" s="86" t="s">
        <v>2330</v>
      </c>
      <c r="D524" s="314" t="s">
        <v>111</v>
      </c>
      <c r="E524" s="314"/>
      <c r="F524" s="90">
        <f>'Jurisdictional Study'!F1188+'Jurisdictional Study'!F1190</f>
        <v>20495320</v>
      </c>
      <c r="H524" s="90">
        <f t="shared" si="574"/>
        <v>12898226.208778519</v>
      </c>
      <c r="I524" s="90">
        <f t="shared" si="575"/>
        <v>0</v>
      </c>
      <c r="J524" s="90">
        <f t="shared" si="576"/>
        <v>0</v>
      </c>
      <c r="K524" s="90">
        <f t="shared" si="577"/>
        <v>0</v>
      </c>
      <c r="L524" s="90">
        <f t="shared" si="578"/>
        <v>0</v>
      </c>
      <c r="M524" s="90">
        <f t="shared" si="579"/>
        <v>0</v>
      </c>
      <c r="N524" s="90"/>
      <c r="O524" s="90">
        <f t="shared" si="580"/>
        <v>2792010.6254741279</v>
      </c>
      <c r="P524" s="90">
        <f t="shared" si="581"/>
        <v>0</v>
      </c>
      <c r="Q524" s="90">
        <f t="shared" si="582"/>
        <v>0</v>
      </c>
      <c r="R524" s="90"/>
      <c r="S524" s="90">
        <f t="shared" si="583"/>
        <v>0</v>
      </c>
      <c r="T524" s="90">
        <f t="shared" si="584"/>
        <v>753194.87218416634</v>
      </c>
      <c r="U524" s="90">
        <f t="shared" si="585"/>
        <v>0</v>
      </c>
      <c r="V524" s="90">
        <f t="shared" si="586"/>
        <v>599056.04726820032</v>
      </c>
      <c r="W524" s="90">
        <f t="shared" si="587"/>
        <v>1164424.2712148773</v>
      </c>
      <c r="X524" s="90">
        <f t="shared" si="588"/>
        <v>269685.8677145546</v>
      </c>
      <c r="Y524" s="90">
        <f t="shared" si="589"/>
        <v>544428.78388069035</v>
      </c>
      <c r="Z524" s="90">
        <f t="shared" si="590"/>
        <v>393130.33995301859</v>
      </c>
      <c r="AA524" s="90">
        <f t="shared" si="591"/>
        <v>326623.30148906936</v>
      </c>
      <c r="AB524" s="90">
        <f t="shared" si="592"/>
        <v>275384.97326144879</v>
      </c>
      <c r="AC524" s="90">
        <f t="shared" si="593"/>
        <v>163782.12893713944</v>
      </c>
      <c r="AD524" s="90">
        <f t="shared" si="594"/>
        <v>315372.57984418824</v>
      </c>
      <c r="AE524" s="90"/>
      <c r="AF524" s="90">
        <f t="shared" si="595"/>
        <v>0</v>
      </c>
      <c r="AG524" s="90"/>
      <c r="AH524" s="90">
        <f t="shared" si="596"/>
        <v>0</v>
      </c>
      <c r="AI524" s="90"/>
      <c r="AJ524" s="90">
        <f t="shared" si="597"/>
        <v>0</v>
      </c>
      <c r="AK524" s="90">
        <f t="shared" si="598"/>
        <v>20495320.000000004</v>
      </c>
      <c r="AL524" s="87" t="str">
        <f t="shared" si="599"/>
        <v>ok</v>
      </c>
    </row>
    <row r="525" spans="1:38" x14ac:dyDescent="0.5">
      <c r="D525" s="314"/>
      <c r="E525" s="314"/>
      <c r="F525" s="90"/>
      <c r="AL525" s="87"/>
    </row>
    <row r="526" spans="1:38" x14ac:dyDescent="0.5">
      <c r="A526" s="86" t="s">
        <v>813</v>
      </c>
      <c r="C526" s="86" t="s">
        <v>814</v>
      </c>
      <c r="D526" s="314"/>
      <c r="E526" s="314"/>
      <c r="F526" s="89">
        <f>SUM(F516:F525)</f>
        <v>370531145</v>
      </c>
      <c r="H526" s="90">
        <f t="shared" ref="H526:M526" si="600">SUM(H516:H525)</f>
        <v>288540355.83999676</v>
      </c>
      <c r="I526" s="90">
        <f t="shared" si="600"/>
        <v>0</v>
      </c>
      <c r="J526" s="90">
        <f t="shared" si="600"/>
        <v>0</v>
      </c>
      <c r="K526" s="90">
        <f t="shared" si="600"/>
        <v>0</v>
      </c>
      <c r="L526" s="90">
        <f t="shared" si="600"/>
        <v>0</v>
      </c>
      <c r="M526" s="90">
        <f t="shared" si="600"/>
        <v>0</v>
      </c>
      <c r="N526" s="90"/>
      <c r="O526" s="90">
        <f>SUM(O516:O525)</f>
        <v>35077932.518008411</v>
      </c>
      <c r="P526" s="90">
        <f>SUM(P516:P525)</f>
        <v>0</v>
      </c>
      <c r="Q526" s="90">
        <f>SUM(Q516:Q525)</f>
        <v>0</v>
      </c>
      <c r="S526" s="90">
        <f t="shared" ref="S526:AD526" si="601">SUM(S516:S525)</f>
        <v>0</v>
      </c>
      <c r="T526" s="90">
        <f t="shared" si="601"/>
        <v>7353571.5914639523</v>
      </c>
      <c r="U526" s="90">
        <f t="shared" si="601"/>
        <v>0</v>
      </c>
      <c r="V526" s="90">
        <f t="shared" si="601"/>
        <v>5848687.6286234111</v>
      </c>
      <c r="W526" s="90">
        <f t="shared" si="601"/>
        <v>11368475.22127467</v>
      </c>
      <c r="X526" s="90">
        <f t="shared" si="601"/>
        <v>2632989.6932173292</v>
      </c>
      <c r="Y526" s="90">
        <f t="shared" si="601"/>
        <v>5315352.2236691518</v>
      </c>
      <c r="Z526" s="90">
        <f t="shared" si="601"/>
        <v>3838199.390866559</v>
      </c>
      <c r="AA526" s="90">
        <f t="shared" si="601"/>
        <v>3188879.6905575609</v>
      </c>
      <c r="AB526" s="90">
        <f t="shared" si="601"/>
        <v>2688631.0447375085</v>
      </c>
      <c r="AC526" s="90">
        <f t="shared" si="601"/>
        <v>1599033.2051107571</v>
      </c>
      <c r="AD526" s="90">
        <f t="shared" si="601"/>
        <v>3079036.9524739203</v>
      </c>
      <c r="AF526" s="90">
        <f>SUM(AF516:AF525)</f>
        <v>0</v>
      </c>
      <c r="AH526" s="90">
        <f>SUM(AH516:AH525)</f>
        <v>0</v>
      </c>
      <c r="AJ526" s="90">
        <f>SUM(AJ516:AJ525)</f>
        <v>0</v>
      </c>
      <c r="AK526" s="90">
        <f>SUM(H526:AJ526)</f>
        <v>370531145</v>
      </c>
      <c r="AL526" s="87" t="str">
        <f>IF(ABS(AK526-F526)&lt;1,"ok","err")</f>
        <v>ok</v>
      </c>
    </row>
    <row r="527" spans="1:38" x14ac:dyDescent="0.5">
      <c r="D527" s="314"/>
      <c r="E527" s="314"/>
      <c r="F527" s="90"/>
      <c r="AL527" s="87"/>
    </row>
    <row r="528" spans="1:38" x14ac:dyDescent="0.5">
      <c r="A528" s="23" t="s">
        <v>259</v>
      </c>
      <c r="D528" s="314"/>
      <c r="E528" s="314"/>
      <c r="AL528" s="87"/>
    </row>
    <row r="529" spans="1:38" x14ac:dyDescent="0.5">
      <c r="A529" s="96" t="s">
        <v>64</v>
      </c>
      <c r="C529" s="86" t="s">
        <v>67</v>
      </c>
      <c r="D529" s="314" t="s">
        <v>1479</v>
      </c>
      <c r="E529" s="314"/>
      <c r="F529" s="89">
        <f>'Jurisdictional Study'!F1227</f>
        <v>0</v>
      </c>
      <c r="H529" s="90">
        <f>IF(VLOOKUP($D529,$C$5:$AJ$596,6,)=0,0,((VLOOKUP($D529,$C$5:$AJ$596,6,)/VLOOKUP($D529,$C$5:$AJ$596,4,))*$F529))</f>
        <v>0</v>
      </c>
      <c r="I529" s="90">
        <f>IF(VLOOKUP($D529,$C$5:$AJ$596,7,)=0,0,((VLOOKUP($D529,$C$5:$AJ$596,7,)/VLOOKUP($D529,$C$5:$AJ$596,4,))*$F529))</f>
        <v>0</v>
      </c>
      <c r="J529" s="90">
        <f>IF(VLOOKUP($D529,$C$5:$AJ$596,8,)=0,0,((VLOOKUP($D529,$C$5:$AJ$596,8,)/VLOOKUP($D529,$C$5:$AJ$596,4,))*$F529))</f>
        <v>0</v>
      </c>
      <c r="K529" s="90">
        <f>IF(VLOOKUP($D529,$C$5:$AJ$596,9,)=0,0,((VLOOKUP($D529,$C$5:$AJ$596,9,)/VLOOKUP($D529,$C$5:$AJ$596,4,))*$F529))</f>
        <v>0</v>
      </c>
      <c r="L529" s="90">
        <f>IF(VLOOKUP($D529,$C$5:$AJ$596,10,)=0,0,((VLOOKUP($D529,$C$5:$AJ$596,10,)/VLOOKUP($D529,$C$5:$AJ$596,4,))*$F529))</f>
        <v>0</v>
      </c>
      <c r="M529" s="90">
        <f>IF(VLOOKUP($D529,$C$5:$AJ$596,11,)=0,0,((VLOOKUP($D529,$C$5:$AJ$596,11,)/VLOOKUP($D529,$C$5:$AJ$596,4,))*$F529))</f>
        <v>0</v>
      </c>
      <c r="N529" s="90"/>
      <c r="O529" s="90">
        <f>IF(VLOOKUP($D529,$C$5:$AJ$596,13,)=0,0,((VLOOKUP($D529,$C$5:$AJ$596,13,)/VLOOKUP($D529,$C$5:$AJ$596,4,))*$F529))</f>
        <v>0</v>
      </c>
      <c r="P529" s="90">
        <f>IF(VLOOKUP($D529,$C$5:$AJ$596,14,)=0,0,((VLOOKUP($D529,$C$5:$AJ$596,14,)/VLOOKUP($D529,$C$5:$AJ$596,4,))*$F529))</f>
        <v>0</v>
      </c>
      <c r="Q529" s="90">
        <f>IF(VLOOKUP($D529,$C$5:$AJ$596,15,)=0,0,((VLOOKUP($D529,$C$5:$AJ$596,15,)/VLOOKUP($D529,$C$5:$AJ$596,4,))*$F529))</f>
        <v>0</v>
      </c>
      <c r="R529" s="90"/>
      <c r="S529" s="90">
        <f>IF(VLOOKUP($D529,$C$5:$AJ$596,17,)=0,0,((VLOOKUP($D529,$C$5:$AJ$596,17,)/VLOOKUP($D529,$C$5:$AJ$596,4,))*$F529))</f>
        <v>0</v>
      </c>
      <c r="T529" s="90">
        <f>IF(VLOOKUP($D529,$C$5:$AJ$596,18,)=0,0,((VLOOKUP($D529,$C$5:$AJ$596,18,)/VLOOKUP($D529,$C$5:$AJ$596,4,))*$F529))</f>
        <v>0</v>
      </c>
      <c r="U529" s="90">
        <f>IF(VLOOKUP($D529,$C$5:$AJ$596,19,)=0,0,((VLOOKUP($D529,$C$5:$AJ$596,19,)/VLOOKUP($D529,$C$5:$AJ$596,4,))*$F529))</f>
        <v>0</v>
      </c>
      <c r="V529" s="90">
        <f>IF(VLOOKUP($D529,$C$5:$AJ$596,20,)=0,0,((VLOOKUP($D529,$C$5:$AJ$596,20,)/VLOOKUP($D529,$C$5:$AJ$596,4,))*$F529))</f>
        <v>0</v>
      </c>
      <c r="W529" s="90">
        <f>IF(VLOOKUP($D529,$C$5:$AJ$596,21,)=0,0,((VLOOKUP($D529,$C$5:$AJ$596,21,)/VLOOKUP($D529,$C$5:$AJ$596,4,))*$F529))</f>
        <v>0</v>
      </c>
      <c r="X529" s="90">
        <f>IF(VLOOKUP($D529,$C$5:$AJ$596,22,)=0,0,((VLOOKUP($D529,$C$5:$AJ$596,22,)/VLOOKUP($D529,$C$5:$AJ$596,4,))*$F529))</f>
        <v>0</v>
      </c>
      <c r="Y529" s="90">
        <f>IF(VLOOKUP($D529,$C$5:$AJ$596,23,)=0,0,((VLOOKUP($D529,$C$5:$AJ$596,23,)/VLOOKUP($D529,$C$5:$AJ$596,4,))*$F529))</f>
        <v>0</v>
      </c>
      <c r="Z529" s="90">
        <f>IF(VLOOKUP($D529,$C$5:$AJ$596,24,)=0,0,((VLOOKUP($D529,$C$5:$AJ$596,24,)/VLOOKUP($D529,$C$5:$AJ$596,4,))*$F529))</f>
        <v>0</v>
      </c>
      <c r="AA529" s="90">
        <f>IF(VLOOKUP($D529,$C$5:$AJ$596,25,)=0,0,((VLOOKUP($D529,$C$5:$AJ$596,25,)/VLOOKUP($D529,$C$5:$AJ$596,4,))*$F529))</f>
        <v>0</v>
      </c>
      <c r="AB529" s="90">
        <f>IF(VLOOKUP($D529,$C$5:$AJ$596,26,)=0,0,((VLOOKUP($D529,$C$5:$AJ$596,26,)/VLOOKUP($D529,$C$5:$AJ$596,4,))*$F529))</f>
        <v>0</v>
      </c>
      <c r="AC529" s="90">
        <f>IF(VLOOKUP($D529,$C$5:$AJ$596,27,)=0,0,((VLOOKUP($D529,$C$5:$AJ$596,27,)/VLOOKUP($D529,$C$5:$AJ$596,4,))*$F529))</f>
        <v>0</v>
      </c>
      <c r="AD529" s="90">
        <f>IF(VLOOKUP($D529,$C$5:$AJ$596,28,)=0,0,((VLOOKUP($D529,$C$5:$AJ$596,28,)/VLOOKUP($D529,$C$5:$AJ$596,4,))*$F529))</f>
        <v>0</v>
      </c>
      <c r="AE529" s="90"/>
      <c r="AF529" s="90">
        <f>IF(VLOOKUP($D529,$C$5:$AJ$596,30,)=0,0,((VLOOKUP($D529,$C$5:$AJ$596,30,)/VLOOKUP($D529,$C$5:$AJ$596,4,))*$F529))</f>
        <v>0</v>
      </c>
      <c r="AG529" s="90"/>
      <c r="AH529" s="90">
        <f>IF(VLOOKUP($D529,$C$5:$AJ$596,32,)=0,0,((VLOOKUP($D529,$C$5:$AJ$596,32,)/VLOOKUP($D529,$C$5:$AJ$596,4,))*$F529))</f>
        <v>0</v>
      </c>
      <c r="AI529" s="90"/>
      <c r="AJ529" s="90">
        <f>IF(VLOOKUP($D529,$C$5:$AJ$596,34,)=0,0,((VLOOKUP($D529,$C$5:$AJ$596,34,)/VLOOKUP($D529,$C$5:$AJ$596,4,))*$F529))</f>
        <v>0</v>
      </c>
      <c r="AK529" s="90">
        <f>SUM(H529:AJ529)</f>
        <v>0</v>
      </c>
      <c r="AL529" s="87" t="str">
        <f>IF(ABS(AK529-F529)&lt;1,"ok","err")</f>
        <v>ok</v>
      </c>
    </row>
    <row r="530" spans="1:38" x14ac:dyDescent="0.5">
      <c r="A530" s="96" t="s">
        <v>65</v>
      </c>
      <c r="C530" s="86" t="s">
        <v>68</v>
      </c>
      <c r="D530" s="314" t="s">
        <v>469</v>
      </c>
      <c r="E530" s="314"/>
      <c r="F530" s="90">
        <f>'Jurisdictional Study'!F1233</f>
        <v>0</v>
      </c>
      <c r="H530" s="90">
        <f>IF(VLOOKUP($D530,$C$5:$AJ$596,6,)=0,0,((VLOOKUP($D530,$C$5:$AJ$596,6,)/VLOOKUP($D530,$C$5:$AJ$596,4,))*$F530))</f>
        <v>0</v>
      </c>
      <c r="I530" s="90">
        <f>IF(VLOOKUP($D530,$C$5:$AJ$596,7,)=0,0,((VLOOKUP($D530,$C$5:$AJ$596,7,)/VLOOKUP($D530,$C$5:$AJ$596,4,))*$F530))</f>
        <v>0</v>
      </c>
      <c r="J530" s="90">
        <f>IF(VLOOKUP($D530,$C$5:$AJ$596,8,)=0,0,((VLOOKUP($D530,$C$5:$AJ$596,8,)/VLOOKUP($D530,$C$5:$AJ$596,4,))*$F530))</f>
        <v>0</v>
      </c>
      <c r="K530" s="90">
        <f>IF(VLOOKUP($D530,$C$5:$AJ$596,9,)=0,0,((VLOOKUP($D530,$C$5:$AJ$596,9,)/VLOOKUP($D530,$C$5:$AJ$596,4,))*$F530))</f>
        <v>0</v>
      </c>
      <c r="L530" s="90">
        <f>IF(VLOOKUP($D530,$C$5:$AJ$596,10,)=0,0,((VLOOKUP($D530,$C$5:$AJ$596,10,)/VLOOKUP($D530,$C$5:$AJ$596,4,))*$F530))</f>
        <v>0</v>
      </c>
      <c r="M530" s="90">
        <f>IF(VLOOKUP($D530,$C$5:$AJ$596,11,)=0,0,((VLOOKUP($D530,$C$5:$AJ$596,11,)/VLOOKUP($D530,$C$5:$AJ$596,4,))*$F530))</f>
        <v>0</v>
      </c>
      <c r="N530" s="90"/>
      <c r="O530" s="90">
        <f>IF(VLOOKUP($D530,$C$5:$AJ$596,13,)=0,0,((VLOOKUP($D530,$C$5:$AJ$596,13,)/VLOOKUP($D530,$C$5:$AJ$596,4,))*$F530))</f>
        <v>0</v>
      </c>
      <c r="P530" s="90">
        <f>IF(VLOOKUP($D530,$C$5:$AJ$596,14,)=0,0,((VLOOKUP($D530,$C$5:$AJ$596,14,)/VLOOKUP($D530,$C$5:$AJ$596,4,))*$F530))</f>
        <v>0</v>
      </c>
      <c r="Q530" s="90">
        <f>IF(VLOOKUP($D530,$C$5:$AJ$596,15,)=0,0,((VLOOKUP($D530,$C$5:$AJ$596,15,)/VLOOKUP($D530,$C$5:$AJ$596,4,))*$F530))</f>
        <v>0</v>
      </c>
      <c r="R530" s="90"/>
      <c r="S530" s="90">
        <f>IF(VLOOKUP($D530,$C$5:$AJ$596,17,)=0,0,((VLOOKUP($D530,$C$5:$AJ$596,17,)/VLOOKUP($D530,$C$5:$AJ$596,4,))*$F530))</f>
        <v>0</v>
      </c>
      <c r="T530" s="90">
        <f>IF(VLOOKUP($D530,$C$5:$AJ$596,18,)=0,0,((VLOOKUP($D530,$C$5:$AJ$596,18,)/VLOOKUP($D530,$C$5:$AJ$596,4,))*$F530))</f>
        <v>0</v>
      </c>
      <c r="U530" s="90">
        <f>IF(VLOOKUP($D530,$C$5:$AJ$596,19,)=0,0,((VLOOKUP($D530,$C$5:$AJ$596,19,)/VLOOKUP($D530,$C$5:$AJ$596,4,))*$F530))</f>
        <v>0</v>
      </c>
      <c r="V530" s="90">
        <f>IF(VLOOKUP($D530,$C$5:$AJ$596,20,)=0,0,((VLOOKUP($D530,$C$5:$AJ$596,20,)/VLOOKUP($D530,$C$5:$AJ$596,4,))*$F530))</f>
        <v>0</v>
      </c>
      <c r="W530" s="90">
        <f>IF(VLOOKUP($D530,$C$5:$AJ$596,21,)=0,0,((VLOOKUP($D530,$C$5:$AJ$596,21,)/VLOOKUP($D530,$C$5:$AJ$596,4,))*$F530))</f>
        <v>0</v>
      </c>
      <c r="X530" s="90">
        <f>IF(VLOOKUP($D530,$C$5:$AJ$596,22,)=0,0,((VLOOKUP($D530,$C$5:$AJ$596,22,)/VLOOKUP($D530,$C$5:$AJ$596,4,))*$F530))</f>
        <v>0</v>
      </c>
      <c r="Y530" s="90">
        <f>IF(VLOOKUP($D530,$C$5:$AJ$596,23,)=0,0,((VLOOKUP($D530,$C$5:$AJ$596,23,)/VLOOKUP($D530,$C$5:$AJ$596,4,))*$F530))</f>
        <v>0</v>
      </c>
      <c r="Z530" s="90">
        <f>IF(VLOOKUP($D530,$C$5:$AJ$596,24,)=0,0,((VLOOKUP($D530,$C$5:$AJ$596,24,)/VLOOKUP($D530,$C$5:$AJ$596,4,))*$F530))</f>
        <v>0</v>
      </c>
      <c r="AA530" s="90">
        <f>IF(VLOOKUP($D530,$C$5:$AJ$596,25,)=0,0,((VLOOKUP($D530,$C$5:$AJ$596,25,)/VLOOKUP($D530,$C$5:$AJ$596,4,))*$F530))</f>
        <v>0</v>
      </c>
      <c r="AB530" s="90">
        <f>IF(VLOOKUP($D530,$C$5:$AJ$596,26,)=0,0,((VLOOKUP($D530,$C$5:$AJ$596,26,)/VLOOKUP($D530,$C$5:$AJ$596,4,))*$F530))</f>
        <v>0</v>
      </c>
      <c r="AC530" s="90">
        <f>IF(VLOOKUP($D530,$C$5:$AJ$596,27,)=0,0,((VLOOKUP($D530,$C$5:$AJ$596,27,)/VLOOKUP($D530,$C$5:$AJ$596,4,))*$F530))</f>
        <v>0</v>
      </c>
      <c r="AD530" s="90">
        <f>IF(VLOOKUP($D530,$C$5:$AJ$596,28,)=0,0,((VLOOKUP($D530,$C$5:$AJ$596,28,)/VLOOKUP($D530,$C$5:$AJ$596,4,))*$F530))</f>
        <v>0</v>
      </c>
      <c r="AE530" s="90"/>
      <c r="AF530" s="90">
        <f>IF(VLOOKUP($D530,$C$5:$AJ$596,30,)=0,0,((VLOOKUP($D530,$C$5:$AJ$596,30,)/VLOOKUP($D530,$C$5:$AJ$596,4,))*$F530))</f>
        <v>0</v>
      </c>
      <c r="AG530" s="90"/>
      <c r="AH530" s="90">
        <f>IF(VLOOKUP($D530,$C$5:$AJ$596,32,)=0,0,((VLOOKUP($D530,$C$5:$AJ$596,32,)/VLOOKUP($D530,$C$5:$AJ$596,4,))*$F530))</f>
        <v>0</v>
      </c>
      <c r="AI530" s="90"/>
      <c r="AJ530" s="90">
        <f>IF(VLOOKUP($D530,$C$5:$AJ$596,34,)=0,0,((VLOOKUP($D530,$C$5:$AJ$596,34,)/VLOOKUP($D530,$C$5:$AJ$596,4,))*$F530))</f>
        <v>0</v>
      </c>
      <c r="AK530" s="90">
        <f>SUM(H530:AJ530)</f>
        <v>0</v>
      </c>
      <c r="AL530" s="87" t="str">
        <f>IF(ABS(AK530-F530)&lt;1,"ok","err")</f>
        <v>ok</v>
      </c>
    </row>
    <row r="531" spans="1:38" x14ac:dyDescent="0.5">
      <c r="A531" s="96" t="s">
        <v>562</v>
      </c>
      <c r="D531" s="314" t="s">
        <v>109</v>
      </c>
      <c r="E531" s="314"/>
      <c r="F531" s="90">
        <f>'Jurisdictional Study'!F1239</f>
        <v>0</v>
      </c>
      <c r="H531" s="90">
        <f>IF(VLOOKUP($D531,$C$5:$AJ$596,6,)=0,0,((VLOOKUP($D531,$C$5:$AJ$596,6,)/VLOOKUP($D531,$C$5:$AJ$596,4,))*$F531))</f>
        <v>0</v>
      </c>
      <c r="I531" s="90">
        <f>IF(VLOOKUP($D531,$C$5:$AJ$596,7,)=0,0,((VLOOKUP($D531,$C$5:$AJ$596,7,)/VLOOKUP($D531,$C$5:$AJ$596,4,))*$F531))</f>
        <v>0</v>
      </c>
      <c r="J531" s="90">
        <f>IF(VLOOKUP($D531,$C$5:$AJ$596,8,)=0,0,((VLOOKUP($D531,$C$5:$AJ$596,8,)/VLOOKUP($D531,$C$5:$AJ$596,4,))*$F531))</f>
        <v>0</v>
      </c>
      <c r="K531" s="90">
        <f>IF(VLOOKUP($D531,$C$5:$AJ$596,9,)=0,0,((VLOOKUP($D531,$C$5:$AJ$596,9,)/VLOOKUP($D531,$C$5:$AJ$596,4,))*$F531))</f>
        <v>0</v>
      </c>
      <c r="L531" s="90">
        <f>IF(VLOOKUP($D531,$C$5:$AJ$596,10,)=0,0,((VLOOKUP($D531,$C$5:$AJ$596,10,)/VLOOKUP($D531,$C$5:$AJ$596,4,))*$F531))</f>
        <v>0</v>
      </c>
      <c r="M531" s="90">
        <f>IF(VLOOKUP($D531,$C$5:$AJ$596,11,)=0,0,((VLOOKUP($D531,$C$5:$AJ$596,11,)/VLOOKUP($D531,$C$5:$AJ$596,4,))*$F531))</f>
        <v>0</v>
      </c>
      <c r="N531" s="90"/>
      <c r="O531" s="90">
        <f>IF(VLOOKUP($D531,$C$5:$AJ$596,13,)=0,0,((VLOOKUP($D531,$C$5:$AJ$596,13,)/VLOOKUP($D531,$C$5:$AJ$596,4,))*$F531))</f>
        <v>0</v>
      </c>
      <c r="P531" s="90">
        <f>IF(VLOOKUP($D531,$C$5:$AJ$596,14,)=0,0,((VLOOKUP($D531,$C$5:$AJ$596,14,)/VLOOKUP($D531,$C$5:$AJ$596,4,))*$F531))</f>
        <v>0</v>
      </c>
      <c r="Q531" s="90">
        <f>IF(VLOOKUP($D531,$C$5:$AJ$596,15,)=0,0,((VLOOKUP($D531,$C$5:$AJ$596,15,)/VLOOKUP($D531,$C$5:$AJ$596,4,))*$F531))</f>
        <v>0</v>
      </c>
      <c r="R531" s="90"/>
      <c r="S531" s="90">
        <f>IF(VLOOKUP($D531,$C$5:$AJ$596,17,)=0,0,((VLOOKUP($D531,$C$5:$AJ$596,17,)/VLOOKUP($D531,$C$5:$AJ$596,4,))*$F531))</f>
        <v>0</v>
      </c>
      <c r="T531" s="90">
        <f>IF(VLOOKUP($D531,$C$5:$AJ$596,18,)=0,0,((VLOOKUP($D531,$C$5:$AJ$596,18,)/VLOOKUP($D531,$C$5:$AJ$596,4,))*$F531))</f>
        <v>0</v>
      </c>
      <c r="U531" s="90">
        <f>IF(VLOOKUP($D531,$C$5:$AJ$596,19,)=0,0,((VLOOKUP($D531,$C$5:$AJ$596,19,)/VLOOKUP($D531,$C$5:$AJ$596,4,))*$F531))</f>
        <v>0</v>
      </c>
      <c r="V531" s="90">
        <f>IF(VLOOKUP($D531,$C$5:$AJ$596,20,)=0,0,((VLOOKUP($D531,$C$5:$AJ$596,20,)/VLOOKUP($D531,$C$5:$AJ$596,4,))*$F531))</f>
        <v>0</v>
      </c>
      <c r="W531" s="90">
        <f>IF(VLOOKUP($D531,$C$5:$AJ$596,21,)=0,0,((VLOOKUP($D531,$C$5:$AJ$596,21,)/VLOOKUP($D531,$C$5:$AJ$596,4,))*$F531))</f>
        <v>0</v>
      </c>
      <c r="X531" s="90">
        <f>IF(VLOOKUP($D531,$C$5:$AJ$596,22,)=0,0,((VLOOKUP($D531,$C$5:$AJ$596,22,)/VLOOKUP($D531,$C$5:$AJ$596,4,))*$F531))</f>
        <v>0</v>
      </c>
      <c r="Y531" s="90">
        <f>IF(VLOOKUP($D531,$C$5:$AJ$596,23,)=0,0,((VLOOKUP($D531,$C$5:$AJ$596,23,)/VLOOKUP($D531,$C$5:$AJ$596,4,))*$F531))</f>
        <v>0</v>
      </c>
      <c r="Z531" s="90">
        <f>IF(VLOOKUP($D531,$C$5:$AJ$596,24,)=0,0,((VLOOKUP($D531,$C$5:$AJ$596,24,)/VLOOKUP($D531,$C$5:$AJ$596,4,))*$F531))</f>
        <v>0</v>
      </c>
      <c r="AA531" s="90">
        <f>IF(VLOOKUP($D531,$C$5:$AJ$596,25,)=0,0,((VLOOKUP($D531,$C$5:$AJ$596,25,)/VLOOKUP($D531,$C$5:$AJ$596,4,))*$F531))</f>
        <v>0</v>
      </c>
      <c r="AB531" s="90">
        <f>IF(VLOOKUP($D531,$C$5:$AJ$596,26,)=0,0,((VLOOKUP($D531,$C$5:$AJ$596,26,)/VLOOKUP($D531,$C$5:$AJ$596,4,))*$F531))</f>
        <v>0</v>
      </c>
      <c r="AC531" s="90">
        <f>IF(VLOOKUP($D531,$C$5:$AJ$596,27,)=0,0,((VLOOKUP($D531,$C$5:$AJ$596,27,)/VLOOKUP($D531,$C$5:$AJ$596,4,))*$F531))</f>
        <v>0</v>
      </c>
      <c r="AD531" s="90">
        <f>IF(VLOOKUP($D531,$C$5:$AJ$596,28,)=0,0,((VLOOKUP($D531,$C$5:$AJ$596,28,)/VLOOKUP($D531,$C$5:$AJ$596,4,))*$F531))</f>
        <v>0</v>
      </c>
      <c r="AE531" s="90"/>
      <c r="AF531" s="90">
        <f>IF(VLOOKUP($D531,$C$5:$AJ$596,30,)=0,0,((VLOOKUP($D531,$C$5:$AJ$596,30,)/VLOOKUP($D531,$C$5:$AJ$596,4,))*$F531))</f>
        <v>0</v>
      </c>
      <c r="AG531" s="90"/>
      <c r="AH531" s="90">
        <f>IF(VLOOKUP($D531,$C$5:$AJ$596,32,)=0,0,((VLOOKUP($D531,$C$5:$AJ$596,32,)/VLOOKUP($D531,$C$5:$AJ$596,4,))*$F531))</f>
        <v>0</v>
      </c>
      <c r="AI531" s="90"/>
      <c r="AJ531" s="90">
        <f>IF(VLOOKUP($D531,$C$5:$AJ$596,34,)=0,0,((VLOOKUP($D531,$C$5:$AJ$596,34,)/VLOOKUP($D531,$C$5:$AJ$596,4,))*$F531))</f>
        <v>0</v>
      </c>
      <c r="AK531" s="90">
        <f>SUM(H531:AJ531)</f>
        <v>0</v>
      </c>
      <c r="AL531" s="87" t="str">
        <f>IF(ABS(AK531-F531)&lt;1,"ok","err")</f>
        <v>ok</v>
      </c>
    </row>
    <row r="532" spans="1:38" x14ac:dyDescent="0.5">
      <c r="D532" s="314"/>
      <c r="E532" s="314"/>
      <c r="F532" s="90"/>
      <c r="AL532" s="87"/>
    </row>
    <row r="533" spans="1:38" x14ac:dyDescent="0.5">
      <c r="A533" s="86" t="s">
        <v>260</v>
      </c>
      <c r="C533" s="86" t="s">
        <v>66</v>
      </c>
      <c r="D533" s="314"/>
      <c r="E533" s="314"/>
      <c r="F533" s="89">
        <f>SUM(F529:F531)</f>
        <v>0</v>
      </c>
      <c r="H533" s="89">
        <f t="shared" ref="H533:M533" si="602">SUM(H529:H531)</f>
        <v>0</v>
      </c>
      <c r="I533" s="89">
        <f t="shared" si="602"/>
        <v>0</v>
      </c>
      <c r="J533" s="89">
        <f t="shared" si="602"/>
        <v>0</v>
      </c>
      <c r="K533" s="89">
        <f t="shared" si="602"/>
        <v>0</v>
      </c>
      <c r="L533" s="89">
        <f t="shared" si="602"/>
        <v>0</v>
      </c>
      <c r="M533" s="89">
        <f t="shared" si="602"/>
        <v>0</v>
      </c>
      <c r="N533" s="90"/>
      <c r="O533" s="89">
        <f>SUM(O529:O531)</f>
        <v>0</v>
      </c>
      <c r="P533" s="89">
        <f>SUM(P529:P531)</f>
        <v>0</v>
      </c>
      <c r="Q533" s="89">
        <f>SUM(Q529:Q531)</f>
        <v>0</v>
      </c>
      <c r="S533" s="89">
        <f t="shared" ref="S533:AD533" si="603">SUM(S529:S531)</f>
        <v>0</v>
      </c>
      <c r="T533" s="89">
        <f t="shared" si="603"/>
        <v>0</v>
      </c>
      <c r="U533" s="89">
        <f t="shared" si="603"/>
        <v>0</v>
      </c>
      <c r="V533" s="89">
        <f t="shared" si="603"/>
        <v>0</v>
      </c>
      <c r="W533" s="89">
        <f t="shared" si="603"/>
        <v>0</v>
      </c>
      <c r="X533" s="89">
        <f t="shared" si="603"/>
        <v>0</v>
      </c>
      <c r="Y533" s="89">
        <f t="shared" si="603"/>
        <v>0</v>
      </c>
      <c r="Z533" s="89">
        <f t="shared" si="603"/>
        <v>0</v>
      </c>
      <c r="AA533" s="89">
        <f t="shared" si="603"/>
        <v>0</v>
      </c>
      <c r="AB533" s="89">
        <f t="shared" si="603"/>
        <v>0</v>
      </c>
      <c r="AC533" s="89">
        <f t="shared" si="603"/>
        <v>0</v>
      </c>
      <c r="AD533" s="89">
        <f t="shared" si="603"/>
        <v>0</v>
      </c>
      <c r="AF533" s="89">
        <f>SUM(AF529:AF531)</f>
        <v>0</v>
      </c>
      <c r="AG533" s="89">
        <f>SUM(AG529:AG531)</f>
        <v>0</v>
      </c>
      <c r="AH533" s="89">
        <f>SUM(AH529:AH531)</f>
        <v>0</v>
      </c>
      <c r="AJ533" s="89">
        <f>SUM(AJ529:AJ531)</f>
        <v>0</v>
      </c>
      <c r="AK533" s="90">
        <f>SUM(H533:AJ533)</f>
        <v>0</v>
      </c>
      <c r="AL533" s="87" t="str">
        <f>IF(ABS(AK533-F533)&lt;1,"ok","err")</f>
        <v>ok</v>
      </c>
    </row>
    <row r="534" spans="1:38" x14ac:dyDescent="0.5">
      <c r="D534" s="314"/>
      <c r="E534" s="314"/>
      <c r="F534" s="90"/>
      <c r="AL534" s="87"/>
    </row>
    <row r="535" spans="1:38" x14ac:dyDescent="0.5">
      <c r="A535" s="86" t="s">
        <v>373</v>
      </c>
      <c r="C535" s="86" t="s">
        <v>374</v>
      </c>
      <c r="D535" s="314" t="s">
        <v>184</v>
      </c>
      <c r="E535" s="314"/>
      <c r="F535" s="89">
        <f>'Jurisdictional Study'!F1246-588119</f>
        <v>35914758</v>
      </c>
      <c r="H535" s="90">
        <f>IF(VLOOKUP($D535,$C$5:$AJ$596,6,)=0,0,((VLOOKUP($D535,$C$5:$AJ$596,6,)/VLOOKUP($D535,$C$5:$AJ$596,4,))*$F535))</f>
        <v>22386637.187066048</v>
      </c>
      <c r="I535" s="90">
        <f>IF(VLOOKUP($D535,$C$5:$AJ$596,7,)=0,0,((VLOOKUP($D535,$C$5:$AJ$596,7,)/VLOOKUP($D535,$C$5:$AJ$596,4,))*$F535))</f>
        <v>0</v>
      </c>
      <c r="J535" s="90">
        <f>IF(VLOOKUP($D535,$C$5:$AJ$596,8,)=0,0,((VLOOKUP($D535,$C$5:$AJ$596,8,)/VLOOKUP($D535,$C$5:$AJ$596,4,))*$F535))</f>
        <v>0</v>
      </c>
      <c r="K535" s="90">
        <f>IF(VLOOKUP($D535,$C$5:$AJ$596,9,)=0,0,((VLOOKUP($D535,$C$5:$AJ$596,9,)/VLOOKUP($D535,$C$5:$AJ$596,4,))*$F535))</f>
        <v>0</v>
      </c>
      <c r="L535" s="90">
        <f>IF(VLOOKUP($D535,$C$5:$AJ$596,10,)=0,0,((VLOOKUP($D535,$C$5:$AJ$596,10,)/VLOOKUP($D535,$C$5:$AJ$596,4,))*$F535))</f>
        <v>0</v>
      </c>
      <c r="M535" s="90">
        <f>IF(VLOOKUP($D535,$C$5:$AJ$596,11,)=0,0,((VLOOKUP($D535,$C$5:$AJ$596,11,)/VLOOKUP($D535,$C$5:$AJ$596,4,))*$F535))</f>
        <v>0</v>
      </c>
      <c r="N535" s="90"/>
      <c r="O535" s="90">
        <f>IF(VLOOKUP($D535,$C$5:$AJ$596,13,)=0,0,((VLOOKUP($D535,$C$5:$AJ$596,13,)/VLOOKUP($D535,$C$5:$AJ$596,4,))*$F535))</f>
        <v>5118215.0658043763</v>
      </c>
      <c r="P535" s="90">
        <f>IF(VLOOKUP($D535,$C$5:$AJ$596,14,)=0,0,((VLOOKUP($D535,$C$5:$AJ$596,14,)/VLOOKUP($D535,$C$5:$AJ$596,4,))*$F535))</f>
        <v>0</v>
      </c>
      <c r="Q535" s="90">
        <f>IF(VLOOKUP($D535,$C$5:$AJ$596,15,)=0,0,((VLOOKUP($D535,$C$5:$AJ$596,15,)/VLOOKUP($D535,$C$5:$AJ$596,4,))*$F535))</f>
        <v>0</v>
      </c>
      <c r="R535" s="90"/>
      <c r="S535" s="90">
        <f>IF(VLOOKUP($D535,$C$5:$AJ$596,17,)=0,0,((VLOOKUP($D535,$C$5:$AJ$596,17,)/VLOOKUP($D535,$C$5:$AJ$596,4,))*$F535))</f>
        <v>0</v>
      </c>
      <c r="T535" s="90">
        <f>IF(VLOOKUP($D535,$C$5:$AJ$596,18,)=0,0,((VLOOKUP($D535,$C$5:$AJ$596,18,)/VLOOKUP($D535,$C$5:$AJ$596,4,))*$F535))</f>
        <v>1318249.3758783769</v>
      </c>
      <c r="U535" s="90">
        <f>IF(VLOOKUP($D535,$C$5:$AJ$596,19,)=0,0,((VLOOKUP($D535,$C$5:$AJ$596,19,)/VLOOKUP($D535,$C$5:$AJ$596,4,))*$F535))</f>
        <v>0</v>
      </c>
      <c r="V535" s="90">
        <f>IF(VLOOKUP($D535,$C$5:$AJ$596,20,)=0,0,((VLOOKUP($D535,$C$5:$AJ$596,20,)/VLOOKUP($D535,$C$5:$AJ$596,4,))*$F535))</f>
        <v>1048474.0265655699</v>
      </c>
      <c r="W535" s="90">
        <f>IF(VLOOKUP($D535,$C$5:$AJ$596,21,)=0,0,((VLOOKUP($D535,$C$5:$AJ$596,21,)/VLOOKUP($D535,$C$5:$AJ$596,4,))*$F535))</f>
        <v>2037987.2798859379</v>
      </c>
      <c r="X535" s="90">
        <f>IF(VLOOKUP($D535,$C$5:$AJ$596,22,)=0,0,((VLOOKUP($D535,$C$5:$AJ$596,22,)/VLOOKUP($D535,$C$5:$AJ$596,4,))*$F535))</f>
        <v>472006.9664932639</v>
      </c>
      <c r="Y535" s="90">
        <f>IF(VLOOKUP($D535,$C$5:$AJ$596,23,)=0,0,((VLOOKUP($D535,$C$5:$AJ$596,23,)/VLOOKUP($D535,$C$5:$AJ$596,4,))*$F535))</f>
        <v>952864.83095633471</v>
      </c>
      <c r="Z535" s="90">
        <f>IF(VLOOKUP($D535,$C$5:$AJ$596,24,)=0,0,((VLOOKUP($D535,$C$5:$AJ$596,24,)/VLOOKUP($D535,$C$5:$AJ$596,4,))*$F535))</f>
        <v>688060.74552669446</v>
      </c>
      <c r="AA535" s="90">
        <f>IF(VLOOKUP($D535,$C$5:$AJ$596,25,)=0,0,((VLOOKUP($D535,$C$5:$AJ$596,25,)/VLOOKUP($D535,$C$5:$AJ$596,4,))*$F535))</f>
        <v>571659.44596343476</v>
      </c>
      <c r="AB535" s="90">
        <f>IF(VLOOKUP($D535,$C$5:$AJ$596,26,)=0,0,((VLOOKUP($D535,$C$5:$AJ$596,26,)/VLOOKUP($D535,$C$5:$AJ$596,4,))*$F535))</f>
        <v>481981.59936413309</v>
      </c>
      <c r="AC535" s="90">
        <f>IF(VLOOKUP($D535,$C$5:$AJ$596,27,)=0,0,((VLOOKUP($D535,$C$5:$AJ$596,27,)/VLOOKUP($D535,$C$5:$AJ$596,4,))*$F535))</f>
        <v>286653.15873077803</v>
      </c>
      <c r="AD535" s="90">
        <f>IF(VLOOKUP($D535,$C$5:$AJ$596,28,)=0,0,((VLOOKUP($D535,$C$5:$AJ$596,28,)/VLOOKUP($D535,$C$5:$AJ$596,4,))*$F535))</f>
        <v>551968.31776504801</v>
      </c>
      <c r="AE535" s="90"/>
      <c r="AF535" s="90">
        <f>IF(VLOOKUP($D535,$C$5:$AJ$596,30,)=0,0,((VLOOKUP($D535,$C$5:$AJ$596,30,)/VLOOKUP($D535,$C$5:$AJ$596,4,))*$F535))</f>
        <v>0</v>
      </c>
      <c r="AG535" s="90"/>
      <c r="AH535" s="90">
        <f>IF(VLOOKUP($D535,$C$5:$AJ$596,32,)=0,0,((VLOOKUP($D535,$C$5:$AJ$596,32,)/VLOOKUP($D535,$C$5:$AJ$596,4,))*$F535))</f>
        <v>0</v>
      </c>
      <c r="AI535" s="90"/>
      <c r="AJ535" s="90">
        <f>IF(VLOOKUP($D535,$C$5:$AJ$596,34,)=0,0,((VLOOKUP($D535,$C$5:$AJ$596,34,)/VLOOKUP($D535,$C$5:$AJ$596,4,))*$F535))</f>
        <v>0</v>
      </c>
      <c r="AK535" s="90">
        <f>SUM(H535:AJ535)</f>
        <v>35914758</v>
      </c>
      <c r="AL535" s="87" t="str">
        <f>IF(ABS(AK535-F535)&lt;1,"ok","err")</f>
        <v>ok</v>
      </c>
    </row>
    <row r="536" spans="1:38" x14ac:dyDescent="0.5">
      <c r="D536" s="314"/>
      <c r="E536" s="314"/>
      <c r="AL536" s="87"/>
    </row>
    <row r="537" spans="1:38" x14ac:dyDescent="0.5">
      <c r="A537" s="86" t="s">
        <v>408</v>
      </c>
      <c r="C537" s="86" t="s">
        <v>1685</v>
      </c>
      <c r="D537" s="314" t="s">
        <v>184</v>
      </c>
      <c r="E537" s="314"/>
      <c r="F537" s="89">
        <f>SUM('Jurisdictional Study'!$F$1247:$F$1251)</f>
        <v>13649179</v>
      </c>
      <c r="G537" s="89">
        <v>600157</v>
      </c>
      <c r="H537" s="90">
        <f>IF(VLOOKUP($D537,$C$5:$AJ$596,6,)=0,0,((VLOOKUP($D537,$C$5:$AJ$596,6,)/VLOOKUP($D537,$C$5:$AJ$596,4,))*$F537))</f>
        <v>8507901.3528177198</v>
      </c>
      <c r="I537" s="90">
        <f>IF(VLOOKUP($D537,$C$5:$AJ$596,7,)=0,0,((VLOOKUP($D537,$C$5:$AJ$596,7,)/VLOOKUP($D537,$C$5:$AJ$596,4,))*$F537))</f>
        <v>0</v>
      </c>
      <c r="J537" s="90">
        <f>IF(VLOOKUP($D537,$C$5:$AJ$596,8,)=0,0,((VLOOKUP($D537,$C$5:$AJ$596,8,)/VLOOKUP($D537,$C$5:$AJ$596,4,))*$F537))</f>
        <v>0</v>
      </c>
      <c r="K537" s="90">
        <f>IF(VLOOKUP($D537,$C$5:$AJ$596,9,)=0,0,((VLOOKUP($D537,$C$5:$AJ$596,9,)/VLOOKUP($D537,$C$5:$AJ$596,4,))*$F537))</f>
        <v>0</v>
      </c>
      <c r="L537" s="90">
        <f>IF(VLOOKUP($D537,$C$5:$AJ$596,10,)=0,0,((VLOOKUP($D537,$C$5:$AJ$596,10,)/VLOOKUP($D537,$C$5:$AJ$596,4,))*$F537))</f>
        <v>0</v>
      </c>
      <c r="M537" s="90">
        <f>IF(VLOOKUP($D537,$C$5:$AJ$596,11,)=0,0,((VLOOKUP($D537,$C$5:$AJ$596,11,)/VLOOKUP($D537,$C$5:$AJ$596,4,))*$F537))</f>
        <v>0</v>
      </c>
      <c r="N537" s="90"/>
      <c r="O537" s="90">
        <f>IF(VLOOKUP($D537,$C$5:$AJ$596,13,)=0,0,((VLOOKUP($D537,$C$5:$AJ$596,13,)/VLOOKUP($D537,$C$5:$AJ$596,4,))*$F537))</f>
        <v>1945145.602642254</v>
      </c>
      <c r="P537" s="90">
        <f>IF(VLOOKUP($D537,$C$5:$AJ$596,14,)=0,0,((VLOOKUP($D537,$C$5:$AJ$596,14,)/VLOOKUP($D537,$C$5:$AJ$596,4,))*$F537))</f>
        <v>0</v>
      </c>
      <c r="Q537" s="90">
        <f>IF(VLOOKUP($D537,$C$5:$AJ$596,15,)=0,0,((VLOOKUP($D537,$C$5:$AJ$596,15,)/VLOOKUP($D537,$C$5:$AJ$596,4,))*$F537))</f>
        <v>0</v>
      </c>
      <c r="R537" s="90"/>
      <c r="S537" s="90">
        <f>IF(VLOOKUP($D537,$C$5:$AJ$596,17,)=0,0,((VLOOKUP($D537,$C$5:$AJ$596,17,)/VLOOKUP($D537,$C$5:$AJ$596,4,))*$F537))</f>
        <v>0</v>
      </c>
      <c r="T537" s="90">
        <f>IF(VLOOKUP($D537,$C$5:$AJ$596,18,)=0,0,((VLOOKUP($D537,$C$5:$AJ$596,18,)/VLOOKUP($D537,$C$5:$AJ$596,4,))*$F537))</f>
        <v>500992.42484112654</v>
      </c>
      <c r="U537" s="90">
        <f>IF(VLOOKUP($D537,$C$5:$AJ$596,19,)=0,0,((VLOOKUP($D537,$C$5:$AJ$596,19,)/VLOOKUP($D537,$C$5:$AJ$596,4,))*$F537))</f>
        <v>0</v>
      </c>
      <c r="V537" s="90">
        <f>IF(VLOOKUP($D537,$C$5:$AJ$596,20,)=0,0,((VLOOKUP($D537,$C$5:$AJ$596,20,)/VLOOKUP($D537,$C$5:$AJ$596,4,))*$F537))</f>
        <v>398465.99176428304</v>
      </c>
      <c r="W537" s="90">
        <f>IF(VLOOKUP($D537,$C$5:$AJ$596,21,)=0,0,((VLOOKUP($D537,$C$5:$AJ$596,21,)/VLOOKUP($D537,$C$5:$AJ$596,4,))*$F537))</f>
        <v>774524.31067157036</v>
      </c>
      <c r="X537" s="90">
        <f>IF(VLOOKUP($D537,$C$5:$AJ$596,22,)=0,0,((VLOOKUP($D537,$C$5:$AJ$596,22,)/VLOOKUP($D537,$C$5:$AJ$596,4,))*$F537))</f>
        <v>179383.29348936616</v>
      </c>
      <c r="Y537" s="90">
        <f>IF(VLOOKUP($D537,$C$5:$AJ$596,23,)=0,0,((VLOOKUP($D537,$C$5:$AJ$596,23,)/VLOOKUP($D537,$C$5:$AJ$596,4,))*$F537))</f>
        <v>362130.31535748491</v>
      </c>
      <c r="Z537" s="90">
        <f>IF(VLOOKUP($D537,$C$5:$AJ$596,24,)=0,0,((VLOOKUP($D537,$C$5:$AJ$596,24,)/VLOOKUP($D537,$C$5:$AJ$596,4,))*$F537))</f>
        <v>261493.18000603822</v>
      </c>
      <c r="AA537" s="90">
        <f>IF(VLOOKUP($D537,$C$5:$AJ$596,25,)=0,0,((VLOOKUP($D537,$C$5:$AJ$596,25,)/VLOOKUP($D537,$C$5:$AJ$596,4,))*$F537))</f>
        <v>217255.59462201441</v>
      </c>
      <c r="AB537" s="90">
        <f>IF(VLOOKUP($D537,$C$5:$AJ$596,26,)=0,0,((VLOOKUP($D537,$C$5:$AJ$596,26,)/VLOOKUP($D537,$C$5:$AJ$596,4,))*$F537))</f>
        <v>183174.09028420402</v>
      </c>
      <c r="AC537" s="90">
        <f>IF(VLOOKUP($D537,$C$5:$AJ$596,27,)=0,0,((VLOOKUP($D537,$C$5:$AJ$596,27,)/VLOOKUP($D537,$C$5:$AJ$596,4,))*$F537))</f>
        <v>108940.73891384155</v>
      </c>
      <c r="AD537" s="90">
        <f>IF(VLOOKUP($D537,$C$5:$AJ$596,28,)=0,0,((VLOOKUP($D537,$C$5:$AJ$596,28,)/VLOOKUP($D537,$C$5:$AJ$596,4,))*$F537))</f>
        <v>209772.10459009689</v>
      </c>
      <c r="AE537" s="90"/>
      <c r="AF537" s="90">
        <f>IF(VLOOKUP($D537,$C$5:$AJ$596,30,)=0,0,((VLOOKUP($D537,$C$5:$AJ$596,30,)/VLOOKUP($D537,$C$5:$AJ$596,4,))*$F537))</f>
        <v>0</v>
      </c>
      <c r="AG537" s="90"/>
      <c r="AH537" s="90">
        <f>IF(VLOOKUP($D537,$C$5:$AJ$596,32,)=0,0,((VLOOKUP($D537,$C$5:$AJ$596,32,)/VLOOKUP($D537,$C$5:$AJ$596,4,))*$F537))</f>
        <v>0</v>
      </c>
      <c r="AI537" s="90"/>
      <c r="AJ537" s="90">
        <f>IF(VLOOKUP($D537,$C$5:$AJ$596,34,)=0,0,((VLOOKUP($D537,$C$5:$AJ$596,34,)/VLOOKUP($D537,$C$5:$AJ$596,4,))*$F537))</f>
        <v>0</v>
      </c>
      <c r="AK537" s="90">
        <f>SUM(H537:AJ537)</f>
        <v>13649179.000000002</v>
      </c>
      <c r="AL537" s="87" t="str">
        <f>IF(ABS(AK537-F537)&lt;1,"ok","err")</f>
        <v>ok</v>
      </c>
    </row>
    <row r="538" spans="1:38" x14ac:dyDescent="0.5">
      <c r="D538" s="314"/>
      <c r="E538" s="314"/>
      <c r="Y538" s="86"/>
    </row>
    <row r="539" spans="1:38" x14ac:dyDescent="0.5">
      <c r="A539" s="86" t="s">
        <v>705</v>
      </c>
      <c r="C539" s="86" t="s">
        <v>899</v>
      </c>
      <c r="D539" s="314" t="s">
        <v>1030</v>
      </c>
      <c r="E539" s="314"/>
      <c r="F539" s="89">
        <f>'Jurisdictional Study'!F1254</f>
        <v>0</v>
      </c>
      <c r="G539" s="89">
        <v>600157</v>
      </c>
      <c r="H539" s="90">
        <f>IF(VLOOKUP($D539,$C$5:$AJ$596,6,)=0,0,((VLOOKUP($D539,$C$5:$AJ$596,6,)/VLOOKUP($D539,$C$5:$AJ$596,4,))*$F539))</f>
        <v>0</v>
      </c>
      <c r="I539" s="90">
        <f>IF(VLOOKUP($D539,$C$5:$AJ$596,7,)=0,0,((VLOOKUP($D539,$C$5:$AJ$596,7,)/VLOOKUP($D539,$C$5:$AJ$596,4,))*$F539))</f>
        <v>0</v>
      </c>
      <c r="J539" s="90">
        <f>IF(VLOOKUP($D539,$C$5:$AJ$596,8,)=0,0,((VLOOKUP($D539,$C$5:$AJ$596,8,)/VLOOKUP($D539,$C$5:$AJ$596,4,))*$F539))</f>
        <v>0</v>
      </c>
      <c r="K539" s="90">
        <f>IF(VLOOKUP($D539,$C$5:$AJ$596,9,)=0,0,((VLOOKUP($D539,$C$5:$AJ$596,9,)/VLOOKUP($D539,$C$5:$AJ$596,4,))*$F539))</f>
        <v>0</v>
      </c>
      <c r="L539" s="90">
        <f>IF(VLOOKUP($D539,$C$5:$AJ$596,10,)=0,0,((VLOOKUP($D539,$C$5:$AJ$596,10,)/VLOOKUP($D539,$C$5:$AJ$596,4,))*$F539))</f>
        <v>0</v>
      </c>
      <c r="M539" s="90">
        <f>IF(VLOOKUP($D539,$C$5:$AJ$596,11,)=0,0,((VLOOKUP($D539,$C$5:$AJ$596,11,)/VLOOKUP($D539,$C$5:$AJ$596,4,))*$F539))</f>
        <v>0</v>
      </c>
      <c r="N539" s="90"/>
      <c r="O539" s="90">
        <f>IF(VLOOKUP($D539,$C$5:$AJ$596,13,)=0,0,((VLOOKUP($D539,$C$5:$AJ$596,13,)/VLOOKUP($D539,$C$5:$AJ$596,4,))*$F539))</f>
        <v>0</v>
      </c>
      <c r="P539" s="90">
        <f>IF(VLOOKUP($D539,$C$5:$AJ$596,14,)=0,0,((VLOOKUP($D539,$C$5:$AJ$596,14,)/VLOOKUP($D539,$C$5:$AJ$596,4,))*$F539))</f>
        <v>0</v>
      </c>
      <c r="Q539" s="90">
        <f>IF(VLOOKUP($D539,$C$5:$AJ$596,15,)=0,0,((VLOOKUP($D539,$C$5:$AJ$596,15,)/VLOOKUP($D539,$C$5:$AJ$596,4,))*$F539))</f>
        <v>0</v>
      </c>
      <c r="R539" s="90"/>
      <c r="S539" s="90">
        <f>IF(VLOOKUP($D539,$C$5:$AJ$596,17,)=0,0,((VLOOKUP($D539,$C$5:$AJ$596,17,)/VLOOKUP($D539,$C$5:$AJ$596,4,))*$F539))</f>
        <v>0</v>
      </c>
      <c r="T539" s="90">
        <f>IF(VLOOKUP($D539,$C$5:$AJ$596,18,)=0,0,((VLOOKUP($D539,$C$5:$AJ$596,18,)/VLOOKUP($D539,$C$5:$AJ$596,4,))*$F539))</f>
        <v>0</v>
      </c>
      <c r="U539" s="90">
        <f>IF(VLOOKUP($D539,$C$5:$AJ$596,19,)=0,0,((VLOOKUP($D539,$C$5:$AJ$596,19,)/VLOOKUP($D539,$C$5:$AJ$596,4,))*$F539))</f>
        <v>0</v>
      </c>
      <c r="V539" s="90">
        <f>IF(VLOOKUP($D539,$C$5:$AJ$596,20,)=0,0,((VLOOKUP($D539,$C$5:$AJ$596,20,)/VLOOKUP($D539,$C$5:$AJ$596,4,))*$F539))</f>
        <v>0</v>
      </c>
      <c r="W539" s="90">
        <f>IF(VLOOKUP($D539,$C$5:$AJ$596,21,)=0,0,((VLOOKUP($D539,$C$5:$AJ$596,21,)/VLOOKUP($D539,$C$5:$AJ$596,4,))*$F539))</f>
        <v>0</v>
      </c>
      <c r="X539" s="90">
        <f>IF(VLOOKUP($D539,$C$5:$AJ$596,22,)=0,0,((VLOOKUP($D539,$C$5:$AJ$596,22,)/VLOOKUP($D539,$C$5:$AJ$596,4,))*$F539))</f>
        <v>0</v>
      </c>
      <c r="Y539" s="90">
        <f>IF(VLOOKUP($D539,$C$5:$AJ$596,23,)=0,0,((VLOOKUP($D539,$C$5:$AJ$596,23,)/VLOOKUP($D539,$C$5:$AJ$596,4,))*$F539))</f>
        <v>0</v>
      </c>
      <c r="Z539" s="90">
        <f>IF(VLOOKUP($D539,$C$5:$AJ$596,24,)=0,0,((VLOOKUP($D539,$C$5:$AJ$596,24,)/VLOOKUP($D539,$C$5:$AJ$596,4,))*$F539))</f>
        <v>0</v>
      </c>
      <c r="AA539" s="90">
        <f>IF(VLOOKUP($D539,$C$5:$AJ$596,25,)=0,0,((VLOOKUP($D539,$C$5:$AJ$596,25,)/VLOOKUP($D539,$C$5:$AJ$596,4,))*$F539))</f>
        <v>0</v>
      </c>
      <c r="AB539" s="90">
        <f>IF(VLOOKUP($D539,$C$5:$AJ$596,26,)=0,0,((VLOOKUP($D539,$C$5:$AJ$596,26,)/VLOOKUP($D539,$C$5:$AJ$596,4,))*$F539))</f>
        <v>0</v>
      </c>
      <c r="AC539" s="90">
        <f>IF(VLOOKUP($D539,$C$5:$AJ$596,27,)=0,0,((VLOOKUP($D539,$C$5:$AJ$596,27,)/VLOOKUP($D539,$C$5:$AJ$596,4,))*$F539))</f>
        <v>0</v>
      </c>
      <c r="AD539" s="90">
        <f>IF(VLOOKUP($D539,$C$5:$AJ$596,28,)=0,0,((VLOOKUP($D539,$C$5:$AJ$596,28,)/VLOOKUP($D539,$C$5:$AJ$596,4,))*$F539))</f>
        <v>0</v>
      </c>
      <c r="AE539" s="90"/>
      <c r="AF539" s="90">
        <f>IF(VLOOKUP($D539,$C$5:$AJ$596,30,)=0,0,((VLOOKUP($D539,$C$5:$AJ$596,30,)/VLOOKUP($D539,$C$5:$AJ$596,4,))*$F539))</f>
        <v>0</v>
      </c>
      <c r="AG539" s="90"/>
      <c r="AH539" s="90">
        <f>IF(VLOOKUP($D539,$C$5:$AJ$596,32,)=0,0,((VLOOKUP($D539,$C$5:$AJ$596,32,)/VLOOKUP($D539,$C$5:$AJ$596,4,))*$F539))</f>
        <v>0</v>
      </c>
      <c r="AI539" s="90"/>
      <c r="AJ539" s="90">
        <f>IF(VLOOKUP($D539,$C$5:$AJ$596,34,)=0,0,((VLOOKUP($D539,$C$5:$AJ$596,34,)/VLOOKUP($D539,$C$5:$AJ$596,4,))*$F539))</f>
        <v>0</v>
      </c>
      <c r="AK539" s="90">
        <f>SUM(H539:AJ539)</f>
        <v>0</v>
      </c>
      <c r="AL539" s="87" t="str">
        <f>IF(ABS(AK539-F539)&lt;1,"ok","err")</f>
        <v>ok</v>
      </c>
    </row>
    <row r="540" spans="1:38" x14ac:dyDescent="0.5">
      <c r="D540" s="314"/>
      <c r="E540" s="314"/>
      <c r="Y540" s="86"/>
    </row>
    <row r="541" spans="1:38" x14ac:dyDescent="0.5">
      <c r="A541" s="86" t="s">
        <v>1134</v>
      </c>
      <c r="C541" s="86" t="s">
        <v>376</v>
      </c>
      <c r="D541" s="314" t="s">
        <v>184</v>
      </c>
      <c r="E541" s="314"/>
      <c r="F541" s="89">
        <f>'Jurisdictional Study'!F1293</f>
        <v>109640429</v>
      </c>
      <c r="H541" s="90">
        <f>IF(VLOOKUP($D541,$C$5:$AJ$596,6,)=0,0,((VLOOKUP($D541,$C$5:$AJ$596,6,)/VLOOKUP($D541,$C$5:$AJ$596,4,))*$F541))</f>
        <v>68341836.106964022</v>
      </c>
      <c r="I541" s="90">
        <f>IF(VLOOKUP($D541,$C$5:$AJ$596,7,)=0,0,((VLOOKUP($D541,$C$5:$AJ$596,7,)/VLOOKUP($D541,$C$5:$AJ$596,4,))*$F541))</f>
        <v>0</v>
      </c>
      <c r="J541" s="90">
        <f>IF(VLOOKUP($D541,$C$5:$AJ$596,8,)=0,0,((VLOOKUP($D541,$C$5:$AJ$596,8,)/VLOOKUP($D541,$C$5:$AJ$596,4,))*$F541))</f>
        <v>0</v>
      </c>
      <c r="K541" s="90">
        <f>IF(VLOOKUP($D541,$C$5:$AJ$596,9,)=0,0,((VLOOKUP($D541,$C$5:$AJ$596,9,)/VLOOKUP($D541,$C$5:$AJ$596,4,))*$F541))</f>
        <v>0</v>
      </c>
      <c r="L541" s="90">
        <f>IF(VLOOKUP($D541,$C$5:$AJ$596,10,)=0,0,((VLOOKUP($D541,$C$5:$AJ$596,10,)/VLOOKUP($D541,$C$5:$AJ$596,4,))*$F541))</f>
        <v>0</v>
      </c>
      <c r="M541" s="90">
        <f>IF(VLOOKUP($D541,$C$5:$AJ$596,11,)=0,0,((VLOOKUP($D541,$C$5:$AJ$596,11,)/VLOOKUP($D541,$C$5:$AJ$596,4,))*$F541))</f>
        <v>0</v>
      </c>
      <c r="N541" s="90"/>
      <c r="O541" s="90">
        <f>IF(VLOOKUP($D541,$C$5:$AJ$596,13,)=0,0,((VLOOKUP($D541,$C$5:$AJ$596,13,)/VLOOKUP($D541,$C$5:$AJ$596,4,))*$F541))</f>
        <v>15624866.399741719</v>
      </c>
      <c r="P541" s="90">
        <f>IF(VLOOKUP($D541,$C$5:$AJ$596,14,)=0,0,((VLOOKUP($D541,$C$5:$AJ$596,14,)/VLOOKUP($D541,$C$5:$AJ$596,4,))*$F541))</f>
        <v>0</v>
      </c>
      <c r="Q541" s="90">
        <f>IF(VLOOKUP($D541,$C$5:$AJ$596,15,)=0,0,((VLOOKUP($D541,$C$5:$AJ$596,15,)/VLOOKUP($D541,$C$5:$AJ$596,4,))*$F541))</f>
        <v>0</v>
      </c>
      <c r="R541" s="90"/>
      <c r="S541" s="90">
        <f>IF(VLOOKUP($D541,$C$5:$AJ$596,17,)=0,0,((VLOOKUP($D541,$C$5:$AJ$596,17,)/VLOOKUP($D541,$C$5:$AJ$596,4,))*$F541))</f>
        <v>0</v>
      </c>
      <c r="T541" s="90">
        <f>IF(VLOOKUP($D541,$C$5:$AJ$596,18,)=0,0,((VLOOKUP($D541,$C$5:$AJ$596,18,)/VLOOKUP($D541,$C$5:$AJ$596,4,))*$F541))</f>
        <v>4024346.4010056118</v>
      </c>
      <c r="U541" s="90">
        <f>IF(VLOOKUP($D541,$C$5:$AJ$596,19,)=0,0,((VLOOKUP($D541,$C$5:$AJ$596,19,)/VLOOKUP($D541,$C$5:$AJ$596,4,))*$F541))</f>
        <v>0</v>
      </c>
      <c r="V541" s="90">
        <f>IF(VLOOKUP($D541,$C$5:$AJ$596,20,)=0,0,((VLOOKUP($D541,$C$5:$AJ$596,20,)/VLOOKUP($D541,$C$5:$AJ$596,4,))*$F541))</f>
        <v>3200777.2979566362</v>
      </c>
      <c r="W541" s="90">
        <f>IF(VLOOKUP($D541,$C$5:$AJ$596,21,)=0,0,((VLOOKUP($D541,$C$5:$AJ$596,21,)/VLOOKUP($D541,$C$5:$AJ$596,4,))*$F541))</f>
        <v>6221559.3841182869</v>
      </c>
      <c r="X541" s="90">
        <f>IF(VLOOKUP($D541,$C$5:$AJ$596,22,)=0,0,((VLOOKUP($D541,$C$5:$AJ$596,22,)/VLOOKUP($D541,$C$5:$AJ$596,4,))*$F541))</f>
        <v>1440940.9718787491</v>
      </c>
      <c r="Y541" s="90">
        <f>IF(VLOOKUP($D541,$C$5:$AJ$596,23,)=0,0,((VLOOKUP($D541,$C$5:$AJ$596,23,)/VLOOKUP($D541,$C$5:$AJ$596,4,))*$F541))</f>
        <v>2908901.9295372954</v>
      </c>
      <c r="Z541" s="90">
        <f>IF(VLOOKUP($D541,$C$5:$AJ$596,24,)=0,0,((VLOOKUP($D541,$C$5:$AJ$596,24,)/VLOOKUP($D541,$C$5:$AJ$596,4,))*$F541))</f>
        <v>2100509.0809078151</v>
      </c>
      <c r="AA541" s="90">
        <f>IF(VLOOKUP($D541,$C$5:$AJ$596,25,)=0,0,((VLOOKUP($D541,$C$5:$AJ$596,25,)/VLOOKUP($D541,$C$5:$AJ$596,4,))*$F541))</f>
        <v>1745159.661032195</v>
      </c>
      <c r="AB541" s="90">
        <f>IF(VLOOKUP($D541,$C$5:$AJ$596,26,)=0,0,((VLOOKUP($D541,$C$5:$AJ$596,26,)/VLOOKUP($D541,$C$5:$AJ$596,4,))*$F541))</f>
        <v>1471391.4910519426</v>
      </c>
      <c r="AC541" s="90">
        <f>IF(VLOOKUP($D541,$C$5:$AJ$596,27,)=0,0,((VLOOKUP($D541,$C$5:$AJ$596,27,)/VLOOKUP($D541,$C$5:$AJ$596,4,))*$F541))</f>
        <v>875093.61186417006</v>
      </c>
      <c r="AD541" s="90">
        <f>IF(VLOOKUP($D541,$C$5:$AJ$596,28,)=0,0,((VLOOKUP($D541,$C$5:$AJ$596,28,)/VLOOKUP($D541,$C$5:$AJ$596,4,))*$F541))</f>
        <v>1685046.6639415524</v>
      </c>
      <c r="AE541" s="90"/>
      <c r="AF541" s="90">
        <f>IF(VLOOKUP($D541,$C$5:$AJ$596,30,)=0,0,((VLOOKUP($D541,$C$5:$AJ$596,30,)/VLOOKUP($D541,$C$5:$AJ$596,4,))*$F541))</f>
        <v>0</v>
      </c>
      <c r="AG541" s="90"/>
      <c r="AH541" s="90">
        <f>IF(VLOOKUP($D541,$C$5:$AJ$596,32,)=0,0,((VLOOKUP($D541,$C$5:$AJ$596,32,)/VLOOKUP($D541,$C$5:$AJ$596,4,))*$F541))</f>
        <v>0</v>
      </c>
      <c r="AI541" s="90"/>
      <c r="AJ541" s="90">
        <f>IF(VLOOKUP($D541,$C$5:$AJ$596,34,)=0,0,((VLOOKUP($D541,$C$5:$AJ$596,34,)/VLOOKUP($D541,$C$5:$AJ$596,4,))*$F541))</f>
        <v>0</v>
      </c>
      <c r="AK541" s="90">
        <f>SUM(H541:AJ541)</f>
        <v>109640429</v>
      </c>
      <c r="AL541" s="87" t="str">
        <f>IF(ABS(AK541-F541)&lt;1,"ok","err")</f>
        <v>ok</v>
      </c>
    </row>
    <row r="542" spans="1:38" x14ac:dyDescent="0.5">
      <c r="D542" s="314"/>
      <c r="E542" s="314"/>
      <c r="AL542" s="87"/>
    </row>
    <row r="543" spans="1:38" x14ac:dyDescent="0.5">
      <c r="A543" s="86" t="s">
        <v>811</v>
      </c>
      <c r="C543" s="86" t="s">
        <v>375</v>
      </c>
      <c r="D543" s="323" t="s">
        <v>184</v>
      </c>
      <c r="E543" s="45"/>
      <c r="F543" s="89">
        <v>0</v>
      </c>
      <c r="H543" s="90">
        <f>IF(VLOOKUP($D543,$C$5:$AJ$596,6,)=0,0,((VLOOKUP($D543,$C$5:$AJ$596,6,)/VLOOKUP($D543,$C$5:$AJ$596,4,))*$F543))</f>
        <v>0</v>
      </c>
      <c r="I543" s="90">
        <f>IF(VLOOKUP($D543,$C$5:$AJ$596,7,)=0,0,((VLOOKUP($D543,$C$5:$AJ$596,7,)/VLOOKUP($D543,$C$5:$AJ$596,4,))*$F543))</f>
        <v>0</v>
      </c>
      <c r="J543" s="90">
        <f>IF(VLOOKUP($D543,$C$5:$AJ$596,8,)=0,0,((VLOOKUP($D543,$C$5:$AJ$596,8,)/VLOOKUP($D543,$C$5:$AJ$596,4,))*$F543))</f>
        <v>0</v>
      </c>
      <c r="K543" s="90">
        <f>IF(VLOOKUP($D543,$C$5:$AJ$596,9,)=0,0,((VLOOKUP($D543,$C$5:$AJ$596,9,)/VLOOKUP($D543,$C$5:$AJ$596,4,))*$F543))</f>
        <v>0</v>
      </c>
      <c r="L543" s="90">
        <f>IF(VLOOKUP($D543,$C$5:$AJ$596,10,)=0,0,((VLOOKUP($D543,$C$5:$AJ$596,10,)/VLOOKUP($D543,$C$5:$AJ$596,4,))*$F543))</f>
        <v>0</v>
      </c>
      <c r="M543" s="90">
        <f>IF(VLOOKUP($D543,$C$5:$AJ$596,11,)=0,0,((VLOOKUP($D543,$C$5:$AJ$596,11,)/VLOOKUP($D543,$C$5:$AJ$596,4,))*$F543))</f>
        <v>0</v>
      </c>
      <c r="N543" s="90"/>
      <c r="O543" s="90">
        <f>IF(VLOOKUP($D543,$C$5:$AJ$596,13,)=0,0,((VLOOKUP($D543,$C$5:$AJ$596,13,)/VLOOKUP($D543,$C$5:$AJ$596,4,))*$F543))</f>
        <v>0</v>
      </c>
      <c r="P543" s="90">
        <f>IF(VLOOKUP($D543,$C$5:$AJ$596,14,)=0,0,((VLOOKUP($D543,$C$5:$AJ$596,14,)/VLOOKUP($D543,$C$5:$AJ$596,4,))*$F543))</f>
        <v>0</v>
      </c>
      <c r="Q543" s="90">
        <f>IF(VLOOKUP($D543,$C$5:$AJ$596,15,)=0,0,((VLOOKUP($D543,$C$5:$AJ$596,15,)/VLOOKUP($D543,$C$5:$AJ$596,4,))*$F543))</f>
        <v>0</v>
      </c>
      <c r="R543" s="90"/>
      <c r="S543" s="90">
        <f>IF(VLOOKUP($D543,$C$5:$AJ$596,17,)=0,0,((VLOOKUP($D543,$C$5:$AJ$596,17,)/VLOOKUP($D543,$C$5:$AJ$596,4,))*$F543))</f>
        <v>0</v>
      </c>
      <c r="T543" s="90">
        <f>IF(VLOOKUP($D543,$C$5:$AJ$596,18,)=0,0,((VLOOKUP($D543,$C$5:$AJ$596,18,)/VLOOKUP($D543,$C$5:$AJ$596,4,))*$F543))</f>
        <v>0</v>
      </c>
      <c r="U543" s="90">
        <f>IF(VLOOKUP($D543,$C$5:$AJ$596,19,)=0,0,((VLOOKUP($D543,$C$5:$AJ$596,19,)/VLOOKUP($D543,$C$5:$AJ$596,4,))*$F543))</f>
        <v>0</v>
      </c>
      <c r="V543" s="90">
        <f>IF(VLOOKUP($D543,$C$5:$AJ$596,20,)=0,0,((VLOOKUP($D543,$C$5:$AJ$596,20,)/VLOOKUP($D543,$C$5:$AJ$596,4,))*$F543))</f>
        <v>0</v>
      </c>
      <c r="W543" s="90">
        <f>IF(VLOOKUP($D543,$C$5:$AJ$596,21,)=0,0,((VLOOKUP($D543,$C$5:$AJ$596,21,)/VLOOKUP($D543,$C$5:$AJ$596,4,))*$F543))</f>
        <v>0</v>
      </c>
      <c r="X543" s="90">
        <f>IF(VLOOKUP($D543,$C$5:$AJ$596,22,)=0,0,((VLOOKUP($D543,$C$5:$AJ$596,22,)/VLOOKUP($D543,$C$5:$AJ$596,4,))*$F543))</f>
        <v>0</v>
      </c>
      <c r="Y543" s="90">
        <f>IF(VLOOKUP($D543,$C$5:$AJ$596,23,)=0,0,((VLOOKUP($D543,$C$5:$AJ$596,23,)/VLOOKUP($D543,$C$5:$AJ$596,4,))*$F543))</f>
        <v>0</v>
      </c>
      <c r="Z543" s="90">
        <f>IF(VLOOKUP($D543,$C$5:$AJ$596,24,)=0,0,((VLOOKUP($D543,$C$5:$AJ$596,24,)/VLOOKUP($D543,$C$5:$AJ$596,4,))*$F543))</f>
        <v>0</v>
      </c>
      <c r="AA543" s="90">
        <f>IF(VLOOKUP($D543,$C$5:$AJ$596,25,)=0,0,((VLOOKUP($D543,$C$5:$AJ$596,25,)/VLOOKUP($D543,$C$5:$AJ$596,4,))*$F543))</f>
        <v>0</v>
      </c>
      <c r="AB543" s="90">
        <f>IF(VLOOKUP($D543,$C$5:$AJ$596,26,)=0,0,((VLOOKUP($D543,$C$5:$AJ$596,26,)/VLOOKUP($D543,$C$5:$AJ$596,4,))*$F543))</f>
        <v>0</v>
      </c>
      <c r="AC543" s="90">
        <f>IF(VLOOKUP($D543,$C$5:$AJ$596,27,)=0,0,((VLOOKUP($D543,$C$5:$AJ$596,27,)/VLOOKUP($D543,$C$5:$AJ$596,4,))*$F543))</f>
        <v>0</v>
      </c>
      <c r="AD543" s="90">
        <f>IF(VLOOKUP($D543,$C$5:$AJ$596,28,)=0,0,((VLOOKUP($D543,$C$5:$AJ$596,28,)/VLOOKUP($D543,$C$5:$AJ$596,4,))*$F543))</f>
        <v>0</v>
      </c>
      <c r="AE543" s="90"/>
      <c r="AF543" s="90">
        <f>IF(VLOOKUP($D543,$C$5:$AJ$596,30,)=0,0,((VLOOKUP($D543,$C$5:$AJ$596,30,)/VLOOKUP($D543,$C$5:$AJ$596,4,))*$F543))</f>
        <v>0</v>
      </c>
      <c r="AG543" s="90"/>
      <c r="AH543" s="90">
        <f>IF(VLOOKUP($D543,$C$5:$AJ$596,32,)=0,0,((VLOOKUP($D543,$C$5:$AJ$596,32,)/VLOOKUP($D543,$C$5:$AJ$596,4,))*$F543))</f>
        <v>0</v>
      </c>
      <c r="AI543" s="90"/>
      <c r="AJ543" s="90">
        <f>IF(VLOOKUP($D543,$C$5:$AJ$596,34,)=0,0,((VLOOKUP($D543,$C$5:$AJ$596,34,)/VLOOKUP($D543,$C$5:$AJ$596,4,))*$F543))</f>
        <v>0</v>
      </c>
      <c r="AK543" s="90">
        <f>SUM(H543:AJ543)</f>
        <v>0</v>
      </c>
      <c r="AL543" s="87" t="str">
        <f>IF(ABS(AK543-F543)&lt;1,"ok","err")</f>
        <v>ok</v>
      </c>
    </row>
    <row r="544" spans="1:38" x14ac:dyDescent="0.5">
      <c r="D544" s="45"/>
      <c r="E544" s="45"/>
      <c r="AK544" s="90"/>
      <c r="AL544" s="87"/>
    </row>
    <row r="545" spans="1:38" x14ac:dyDescent="0.5">
      <c r="A545" s="23" t="s">
        <v>377</v>
      </c>
      <c r="C545" s="86" t="s">
        <v>378</v>
      </c>
      <c r="D545" s="324"/>
      <c r="E545" s="45"/>
      <c r="F545" s="91">
        <f>F526+F533+F535+F537+F539+F541+F543</f>
        <v>529735511</v>
      </c>
      <c r="G545" s="91"/>
      <c r="H545" s="91">
        <f t="shared" ref="H545:AJ545" si="604">H526+H533+H535+H537+H539+H541+H543</f>
        <v>387776730.48684454</v>
      </c>
      <c r="I545" s="91">
        <f t="shared" si="604"/>
        <v>0</v>
      </c>
      <c r="J545" s="91">
        <f t="shared" si="604"/>
        <v>0</v>
      </c>
      <c r="K545" s="91">
        <f t="shared" si="604"/>
        <v>0</v>
      </c>
      <c r="L545" s="91">
        <f t="shared" si="604"/>
        <v>0</v>
      </c>
      <c r="M545" s="91">
        <f t="shared" si="604"/>
        <v>0</v>
      </c>
      <c r="N545" s="91"/>
      <c r="O545" s="91">
        <f t="shared" si="604"/>
        <v>57766159.586196758</v>
      </c>
      <c r="P545" s="91">
        <f t="shared" si="604"/>
        <v>0</v>
      </c>
      <c r="Q545" s="91">
        <f t="shared" si="604"/>
        <v>0</v>
      </c>
      <c r="R545" s="91"/>
      <c r="S545" s="91">
        <f t="shared" si="604"/>
        <v>0</v>
      </c>
      <c r="T545" s="91">
        <f t="shared" si="604"/>
        <v>13197159.793189067</v>
      </c>
      <c r="U545" s="91">
        <f t="shared" si="604"/>
        <v>0</v>
      </c>
      <c r="V545" s="91">
        <f t="shared" si="604"/>
        <v>10496404.9449099</v>
      </c>
      <c r="W545" s="91">
        <f t="shared" si="604"/>
        <v>20402546.195950463</v>
      </c>
      <c r="X545" s="91">
        <f t="shared" si="604"/>
        <v>4725320.9250787087</v>
      </c>
      <c r="Y545" s="91">
        <f t="shared" si="604"/>
        <v>9539249.2995202672</v>
      </c>
      <c r="Z545" s="91">
        <f t="shared" si="604"/>
        <v>6888262.3973071072</v>
      </c>
      <c r="AA545" s="91">
        <f t="shared" si="604"/>
        <v>5722954.3921752051</v>
      </c>
      <c r="AB545" s="91">
        <f t="shared" si="604"/>
        <v>4825178.2254377883</v>
      </c>
      <c r="AC545" s="91">
        <f t="shared" si="604"/>
        <v>2869720.7146195467</v>
      </c>
      <c r="AD545" s="91">
        <f t="shared" si="604"/>
        <v>5525824.0387706179</v>
      </c>
      <c r="AE545" s="91"/>
      <c r="AF545" s="91">
        <f t="shared" si="604"/>
        <v>0</v>
      </c>
      <c r="AG545" s="91"/>
      <c r="AH545" s="91">
        <f t="shared" si="604"/>
        <v>0</v>
      </c>
      <c r="AI545" s="91"/>
      <c r="AJ545" s="91">
        <f t="shared" si="604"/>
        <v>0</v>
      </c>
      <c r="AK545" s="90">
        <f>SUM(H545:AJ545)</f>
        <v>529735510.99999988</v>
      </c>
      <c r="AL545" s="87" t="str">
        <f>IF(ABS(AK545-F545)&lt;1,"ok","err")</f>
        <v>ok</v>
      </c>
    </row>
    <row r="546" spans="1:38" x14ac:dyDescent="0.5">
      <c r="D546" s="45"/>
      <c r="E546" s="45"/>
      <c r="AL546" s="87"/>
    </row>
    <row r="547" spans="1:38" x14ac:dyDescent="0.5">
      <c r="A547" s="23" t="s">
        <v>468</v>
      </c>
      <c r="D547" s="45"/>
      <c r="E547" s="45"/>
      <c r="F547" s="91">
        <f t="shared" ref="F547:M547" si="605">F333+F545</f>
        <v>1422030584</v>
      </c>
      <c r="G547" s="91">
        <f t="shared" si="605"/>
        <v>0</v>
      </c>
      <c r="H547" s="91">
        <f t="shared" si="605"/>
        <v>520972661.63145947</v>
      </c>
      <c r="I547" s="91">
        <f t="shared" si="605"/>
        <v>0</v>
      </c>
      <c r="J547" s="91">
        <f t="shared" si="605"/>
        <v>0</v>
      </c>
      <c r="K547" s="91">
        <f t="shared" si="605"/>
        <v>555456786.90975177</v>
      </c>
      <c r="L547" s="91">
        <f t="shared" si="605"/>
        <v>0</v>
      </c>
      <c r="M547" s="91">
        <f t="shared" si="605"/>
        <v>0</v>
      </c>
      <c r="N547" s="91"/>
      <c r="O547" s="91">
        <f>O333+O545</f>
        <v>115522743.21571296</v>
      </c>
      <c r="P547" s="91">
        <f>P333+P545</f>
        <v>0</v>
      </c>
      <c r="Q547" s="91">
        <f>Q333+Q545</f>
        <v>0</v>
      </c>
      <c r="R547" s="91"/>
      <c r="S547" s="91">
        <f t="shared" ref="S547:AJ547" si="606">S333+S545</f>
        <v>0</v>
      </c>
      <c r="T547" s="91">
        <f t="shared" si="606"/>
        <v>22479953.022604112</v>
      </c>
      <c r="U547" s="91">
        <f t="shared" si="606"/>
        <v>0</v>
      </c>
      <c r="V547" s="91">
        <f t="shared" si="606"/>
        <v>23459848.648029126</v>
      </c>
      <c r="W547" s="91">
        <f t="shared" si="606"/>
        <v>44194035.761828162</v>
      </c>
      <c r="X547" s="91">
        <f t="shared" si="606"/>
        <v>10286752.379781589</v>
      </c>
      <c r="Y547" s="91">
        <f t="shared" si="606"/>
        <v>19914915.875655062</v>
      </c>
      <c r="Z547" s="91">
        <f t="shared" si="606"/>
        <v>9536558.077387346</v>
      </c>
      <c r="AA547" s="91">
        <f t="shared" si="606"/>
        <v>7923229.9507861733</v>
      </c>
      <c r="AB547" s="91">
        <f t="shared" si="606"/>
        <v>6639561.0742006646</v>
      </c>
      <c r="AC547" s="91">
        <f t="shared" si="606"/>
        <v>14406908.464221047</v>
      </c>
      <c r="AD547" s="91">
        <f t="shared" si="606"/>
        <v>7603666.5334522231</v>
      </c>
      <c r="AE547" s="91">
        <f t="shared" si="606"/>
        <v>0</v>
      </c>
      <c r="AF547" s="91">
        <f t="shared" si="606"/>
        <v>56459202.694911122</v>
      </c>
      <c r="AG547" s="91">
        <f t="shared" si="606"/>
        <v>0</v>
      </c>
      <c r="AH547" s="91">
        <f t="shared" si="606"/>
        <v>7173759.7602191055</v>
      </c>
      <c r="AI547" s="91">
        <f t="shared" si="606"/>
        <v>0</v>
      </c>
      <c r="AJ547" s="91">
        <f t="shared" si="606"/>
        <v>0</v>
      </c>
      <c r="AK547" s="90">
        <f>SUM(H547:AJ547)</f>
        <v>1422030584</v>
      </c>
      <c r="AL547" s="87" t="str">
        <f>IF(ABS(AK547-F547)&lt;1,"ok","err")</f>
        <v>ok</v>
      </c>
    </row>
    <row r="548" spans="1:38" x14ac:dyDescent="0.5">
      <c r="D548" s="45"/>
      <c r="E548" s="45"/>
      <c r="AL548" s="87"/>
    </row>
    <row r="549" spans="1:38" hidden="1" x14ac:dyDescent="0.5">
      <c r="D549" s="45"/>
      <c r="E549" s="45"/>
      <c r="AL549" s="87"/>
    </row>
    <row r="550" spans="1:38" hidden="1" x14ac:dyDescent="0.5">
      <c r="A550" s="23" t="s">
        <v>935</v>
      </c>
      <c r="D550" s="45"/>
      <c r="E550" s="45"/>
      <c r="AL550" s="87"/>
    </row>
    <row r="551" spans="1:38" hidden="1" x14ac:dyDescent="0.5">
      <c r="A551" s="86" t="s">
        <v>936</v>
      </c>
      <c r="D551" s="314"/>
      <c r="E551" s="45"/>
      <c r="F551" s="90">
        <v>0</v>
      </c>
      <c r="AL551" s="87"/>
    </row>
    <row r="552" spans="1:38" hidden="1" x14ac:dyDescent="0.5">
      <c r="A552" s="86" t="s">
        <v>518</v>
      </c>
      <c r="D552" s="314"/>
      <c r="E552" s="45"/>
      <c r="F552" s="90">
        <v>0</v>
      </c>
      <c r="AL552" s="87"/>
    </row>
    <row r="553" spans="1:38" hidden="1" x14ac:dyDescent="0.5">
      <c r="A553" s="86" t="s">
        <v>519</v>
      </c>
      <c r="D553" s="314"/>
      <c r="E553" s="45"/>
      <c r="F553" s="90">
        <v>0</v>
      </c>
      <c r="AL553" s="87"/>
    </row>
    <row r="554" spans="1:38" hidden="1" x14ac:dyDescent="0.5">
      <c r="A554" s="86" t="s">
        <v>520</v>
      </c>
      <c r="D554" s="314"/>
      <c r="E554" s="45"/>
      <c r="F554" s="90">
        <v>0</v>
      </c>
      <c r="AL554" s="87"/>
    </row>
    <row r="555" spans="1:38" hidden="1" x14ac:dyDescent="0.5">
      <c r="A555" s="86" t="s">
        <v>521</v>
      </c>
      <c r="D555" s="45"/>
      <c r="E555" s="45"/>
      <c r="F555" s="90">
        <v>0</v>
      </c>
      <c r="AL555" s="87"/>
    </row>
    <row r="556" spans="1:38" hidden="1" x14ac:dyDescent="0.5">
      <c r="A556" s="86" t="s">
        <v>522</v>
      </c>
      <c r="D556" s="45"/>
      <c r="E556" s="45"/>
      <c r="F556" s="90">
        <v>0</v>
      </c>
      <c r="AL556" s="87"/>
    </row>
    <row r="557" spans="1:38" hidden="1" x14ac:dyDescent="0.5">
      <c r="A557" s="86" t="s">
        <v>523</v>
      </c>
      <c r="D557" s="45"/>
      <c r="E557" s="45"/>
      <c r="F557" s="90">
        <v>0</v>
      </c>
      <c r="AL557" s="87"/>
    </row>
    <row r="558" spans="1:38" hidden="1" x14ac:dyDescent="0.5">
      <c r="D558" s="314"/>
      <c r="E558" s="45"/>
      <c r="F558" s="90"/>
      <c r="AL558" s="87"/>
    </row>
    <row r="559" spans="1:38" hidden="1" x14ac:dyDescent="0.5">
      <c r="A559" s="86" t="s">
        <v>524</v>
      </c>
      <c r="D559" s="314"/>
      <c r="E559" s="45"/>
      <c r="F559" s="90">
        <v>0</v>
      </c>
      <c r="AL559" s="87"/>
    </row>
    <row r="560" spans="1:38" hidden="1" x14ac:dyDescent="0.5">
      <c r="D560" s="314"/>
      <c r="E560" s="45"/>
      <c r="F560" s="90"/>
      <c r="AL560" s="87"/>
    </row>
    <row r="561" spans="1:38" x14ac:dyDescent="0.5">
      <c r="A561" s="22" t="s">
        <v>379</v>
      </c>
      <c r="D561" s="314"/>
      <c r="E561" s="45"/>
      <c r="AL561" s="87"/>
    </row>
    <row r="562" spans="1:38" x14ac:dyDescent="0.5">
      <c r="D562" s="314"/>
      <c r="E562" s="45"/>
      <c r="AL562" s="87"/>
    </row>
    <row r="563" spans="1:38" x14ac:dyDescent="0.5">
      <c r="A563" s="86" t="s">
        <v>97</v>
      </c>
      <c r="C563" s="86" t="s">
        <v>114</v>
      </c>
      <c r="D563" s="314"/>
      <c r="E563" s="45"/>
      <c r="F563" s="103">
        <v>1</v>
      </c>
      <c r="G563" s="103"/>
      <c r="H563" s="104">
        <v>0</v>
      </c>
      <c r="I563" s="104">
        <v>0</v>
      </c>
      <c r="J563" s="104">
        <v>0</v>
      </c>
      <c r="K563" s="104">
        <v>0</v>
      </c>
      <c r="L563" s="104">
        <v>0</v>
      </c>
      <c r="M563" s="104">
        <v>0</v>
      </c>
      <c r="N563" s="104"/>
      <c r="O563" s="104">
        <v>0</v>
      </c>
      <c r="P563" s="104">
        <v>0</v>
      </c>
      <c r="Q563" s="104">
        <v>0</v>
      </c>
      <c r="R563" s="103"/>
      <c r="S563" s="104">
        <v>0</v>
      </c>
      <c r="T563" s="104">
        <v>1</v>
      </c>
      <c r="U563" s="104">
        <v>0</v>
      </c>
      <c r="V563" s="104">
        <v>0</v>
      </c>
      <c r="W563" s="104">
        <v>0</v>
      </c>
      <c r="X563" s="104">
        <v>0</v>
      </c>
      <c r="Y563" s="104">
        <v>0</v>
      </c>
      <c r="Z563" s="103">
        <v>0</v>
      </c>
      <c r="AA563" s="103">
        <v>0</v>
      </c>
      <c r="AB563" s="103">
        <v>0</v>
      </c>
      <c r="AC563" s="103">
        <v>0</v>
      </c>
      <c r="AD563" s="103">
        <v>0</v>
      </c>
      <c r="AE563" s="103"/>
      <c r="AF563" s="103">
        <v>0</v>
      </c>
      <c r="AG563" s="103"/>
      <c r="AH563" s="103">
        <v>0</v>
      </c>
      <c r="AI563" s="103"/>
      <c r="AJ563" s="103">
        <v>0</v>
      </c>
      <c r="AK563" s="104">
        <f>SUM(H563:AJ563)</f>
        <v>1</v>
      </c>
      <c r="AL563" s="87" t="str">
        <f t="shared" ref="AL563:AL587" si="607">IF(ABS(AK563-F563)&lt;0.0000001,"ok","err")</f>
        <v>ok</v>
      </c>
    </row>
    <row r="564" spans="1:38" x14ac:dyDescent="0.5">
      <c r="A564" s="86" t="s">
        <v>380</v>
      </c>
      <c r="C564" s="86" t="s">
        <v>115</v>
      </c>
      <c r="D564" s="321"/>
      <c r="E564" s="53"/>
      <c r="F564" s="103">
        <v>1</v>
      </c>
      <c r="G564" s="103"/>
      <c r="H564" s="104">
        <v>0</v>
      </c>
      <c r="I564" s="104">
        <v>0</v>
      </c>
      <c r="J564" s="104">
        <v>0</v>
      </c>
      <c r="K564" s="104">
        <v>0</v>
      </c>
      <c r="L564" s="104">
        <v>0</v>
      </c>
      <c r="M564" s="104">
        <v>0</v>
      </c>
      <c r="N564" s="104"/>
      <c r="O564" s="104">
        <v>0</v>
      </c>
      <c r="P564" s="104">
        <v>0</v>
      </c>
      <c r="Q564" s="104">
        <v>0</v>
      </c>
      <c r="R564" s="103"/>
      <c r="S564" s="104">
        <v>0</v>
      </c>
      <c r="T564" s="104">
        <v>0</v>
      </c>
      <c r="U564" s="104">
        <v>0</v>
      </c>
      <c r="V564" s="386">
        <f>0.3601*0.7054</f>
        <v>0.25401454000000001</v>
      </c>
      <c r="W564" s="386">
        <f>0.6399*0.7054</f>
        <v>0.45138546000000002</v>
      </c>
      <c r="X564" s="386">
        <f>0.3601*0.2946</f>
        <v>0.10608545999999998</v>
      </c>
      <c r="Y564" s="386">
        <f>0.6399*0.2946</f>
        <v>0.18851453999999998</v>
      </c>
      <c r="Z564" s="103">
        <v>0</v>
      </c>
      <c r="AA564" s="103">
        <v>0</v>
      </c>
      <c r="AB564" s="103">
        <v>0</v>
      </c>
      <c r="AC564" s="103">
        <v>0</v>
      </c>
      <c r="AD564" s="103">
        <v>0</v>
      </c>
      <c r="AE564" s="103"/>
      <c r="AF564" s="103">
        <v>0</v>
      </c>
      <c r="AG564" s="103"/>
      <c r="AH564" s="103">
        <v>0</v>
      </c>
      <c r="AI564" s="103"/>
      <c r="AJ564" s="103">
        <v>0</v>
      </c>
      <c r="AK564" s="104">
        <f t="shared" ref="AK564:AK586" si="608">SUM(H564:AJ564)</f>
        <v>1</v>
      </c>
      <c r="AL564" s="87" t="str">
        <f t="shared" si="607"/>
        <v>ok</v>
      </c>
    </row>
    <row r="565" spans="1:38" x14ac:dyDescent="0.5">
      <c r="A565" s="86" t="s">
        <v>381</v>
      </c>
      <c r="C565" s="86" t="s">
        <v>117</v>
      </c>
      <c r="D565" s="321"/>
      <c r="E565" s="53"/>
      <c r="F565" s="103">
        <v>1</v>
      </c>
      <c r="G565" s="103"/>
      <c r="H565" s="104">
        <v>0</v>
      </c>
      <c r="I565" s="104">
        <v>0</v>
      </c>
      <c r="J565" s="104">
        <v>0</v>
      </c>
      <c r="K565" s="104">
        <v>0</v>
      </c>
      <c r="L565" s="104">
        <v>0</v>
      </c>
      <c r="M565" s="104">
        <v>0</v>
      </c>
      <c r="N565" s="104"/>
      <c r="O565" s="104">
        <v>0</v>
      </c>
      <c r="P565" s="104">
        <v>0</v>
      </c>
      <c r="Q565" s="104">
        <v>0</v>
      </c>
      <c r="R565" s="103"/>
      <c r="S565" s="104">
        <v>0</v>
      </c>
      <c r="T565" s="104">
        <v>0</v>
      </c>
      <c r="U565" s="104">
        <v>0</v>
      </c>
      <c r="V565" s="386">
        <f>V564</f>
        <v>0.25401454000000001</v>
      </c>
      <c r="W565" s="386">
        <f>W564</f>
        <v>0.45138546000000002</v>
      </c>
      <c r="X565" s="386">
        <f>X564</f>
        <v>0.10608545999999998</v>
      </c>
      <c r="Y565" s="386">
        <f>Y564</f>
        <v>0.18851453999999998</v>
      </c>
      <c r="Z565" s="103">
        <v>0</v>
      </c>
      <c r="AA565" s="103">
        <v>0</v>
      </c>
      <c r="AB565" s="103">
        <v>0</v>
      </c>
      <c r="AC565" s="103">
        <v>0</v>
      </c>
      <c r="AD565" s="103">
        <v>0</v>
      </c>
      <c r="AE565" s="103"/>
      <c r="AF565" s="103">
        <v>0</v>
      </c>
      <c r="AG565" s="103"/>
      <c r="AH565" s="103">
        <v>0</v>
      </c>
      <c r="AI565" s="103"/>
      <c r="AJ565" s="103">
        <v>0</v>
      </c>
      <c r="AK565" s="104">
        <f t="shared" si="608"/>
        <v>1</v>
      </c>
      <c r="AL565" s="87" t="str">
        <f t="shared" si="607"/>
        <v>ok</v>
      </c>
    </row>
    <row r="566" spans="1:38" x14ac:dyDescent="0.5">
      <c r="A566" s="86" t="s">
        <v>382</v>
      </c>
      <c r="C566" s="86" t="s">
        <v>118</v>
      </c>
      <c r="D566" s="321"/>
      <c r="E566" s="53"/>
      <c r="F566" s="103">
        <v>1</v>
      </c>
      <c r="G566" s="103"/>
      <c r="H566" s="104">
        <v>0</v>
      </c>
      <c r="I566" s="104">
        <v>0</v>
      </c>
      <c r="J566" s="104">
        <v>0</v>
      </c>
      <c r="K566" s="104">
        <v>0</v>
      </c>
      <c r="L566" s="104">
        <v>0</v>
      </c>
      <c r="M566" s="104">
        <v>0</v>
      </c>
      <c r="N566" s="104"/>
      <c r="O566" s="104">
        <v>0</v>
      </c>
      <c r="P566" s="104">
        <v>0</v>
      </c>
      <c r="Q566" s="104">
        <v>0</v>
      </c>
      <c r="R566" s="103"/>
      <c r="S566" s="104">
        <v>0</v>
      </c>
      <c r="T566" s="104">
        <v>0</v>
      </c>
      <c r="U566" s="104">
        <v>0</v>
      </c>
      <c r="V566" s="386">
        <f>0.6051*0.2512</f>
        <v>0.15200111999999999</v>
      </c>
      <c r="W566" s="386">
        <f>0.6051*0.7488</f>
        <v>0.45309887999999998</v>
      </c>
      <c r="X566" s="386">
        <f>0.3949*0.2512</f>
        <v>9.9198879999999989E-2</v>
      </c>
      <c r="Y566" s="386">
        <f>0.3949*0.7488</f>
        <v>0.29570111999999998</v>
      </c>
      <c r="Z566" s="103">
        <v>0</v>
      </c>
      <c r="AA566" s="103">
        <v>0</v>
      </c>
      <c r="AB566" s="103">
        <v>0</v>
      </c>
      <c r="AC566" s="103">
        <v>0</v>
      </c>
      <c r="AD566" s="103">
        <v>0</v>
      </c>
      <c r="AE566" s="103"/>
      <c r="AF566" s="103">
        <v>0</v>
      </c>
      <c r="AG566" s="103"/>
      <c r="AH566" s="103">
        <v>0</v>
      </c>
      <c r="AI566" s="103"/>
      <c r="AJ566" s="103">
        <v>0</v>
      </c>
      <c r="AK566" s="104">
        <f t="shared" si="608"/>
        <v>1</v>
      </c>
      <c r="AL566" s="87" t="str">
        <f t="shared" si="607"/>
        <v>ok</v>
      </c>
    </row>
    <row r="567" spans="1:38" x14ac:dyDescent="0.5">
      <c r="A567" s="86" t="s">
        <v>383</v>
      </c>
      <c r="C567" s="86" t="s">
        <v>121</v>
      </c>
      <c r="D567" s="321"/>
      <c r="E567" s="53"/>
      <c r="F567" s="103">
        <v>1</v>
      </c>
      <c r="G567" s="103"/>
      <c r="H567" s="104">
        <v>0</v>
      </c>
      <c r="I567" s="104">
        <v>0</v>
      </c>
      <c r="J567" s="104">
        <v>0</v>
      </c>
      <c r="K567" s="104">
        <v>0</v>
      </c>
      <c r="L567" s="104">
        <v>0</v>
      </c>
      <c r="M567" s="104">
        <v>0</v>
      </c>
      <c r="N567" s="104"/>
      <c r="O567" s="104">
        <v>0</v>
      </c>
      <c r="P567" s="104">
        <v>0</v>
      </c>
      <c r="Q567" s="104">
        <v>0</v>
      </c>
      <c r="R567" s="103"/>
      <c r="S567" s="104">
        <v>0</v>
      </c>
      <c r="T567" s="104">
        <v>0</v>
      </c>
      <c r="U567" s="104">
        <v>0</v>
      </c>
      <c r="V567" s="386">
        <v>0</v>
      </c>
      <c r="W567" s="386">
        <v>0</v>
      </c>
      <c r="X567" s="386">
        <v>0</v>
      </c>
      <c r="Y567" s="386">
        <v>0</v>
      </c>
      <c r="Z567" s="103">
        <v>0.54620125181353485</v>
      </c>
      <c r="AA567" s="103">
        <v>0.4537987481864651</v>
      </c>
      <c r="AB567" s="103">
        <v>0</v>
      </c>
      <c r="AC567" s="103">
        <v>0</v>
      </c>
      <c r="AD567" s="103">
        <v>0</v>
      </c>
      <c r="AE567" s="103"/>
      <c r="AF567" s="103">
        <v>0</v>
      </c>
      <c r="AG567" s="103"/>
      <c r="AH567" s="103">
        <v>0</v>
      </c>
      <c r="AI567" s="103"/>
      <c r="AJ567" s="103">
        <v>0</v>
      </c>
      <c r="AK567" s="104">
        <f t="shared" si="608"/>
        <v>1</v>
      </c>
      <c r="AL567" s="87" t="str">
        <f t="shared" si="607"/>
        <v>ok</v>
      </c>
    </row>
    <row r="568" spans="1:38" x14ac:dyDescent="0.5">
      <c r="A568" s="86" t="s">
        <v>384</v>
      </c>
      <c r="C568" s="86" t="s">
        <v>165</v>
      </c>
      <c r="D568" s="53"/>
      <c r="E568" s="53"/>
      <c r="F568" s="103">
        <v>1</v>
      </c>
      <c r="G568" s="103"/>
      <c r="H568" s="104">
        <v>0</v>
      </c>
      <c r="I568" s="104">
        <v>0</v>
      </c>
      <c r="J568" s="104">
        <v>0</v>
      </c>
      <c r="K568" s="104">
        <v>0</v>
      </c>
      <c r="L568" s="104">
        <v>0</v>
      </c>
      <c r="M568" s="104">
        <v>0</v>
      </c>
      <c r="N568" s="104"/>
      <c r="O568" s="104">
        <v>0</v>
      </c>
      <c r="P568" s="104">
        <v>0</v>
      </c>
      <c r="Q568" s="104">
        <v>0</v>
      </c>
      <c r="R568" s="103"/>
      <c r="S568" s="104">
        <v>0</v>
      </c>
      <c r="T568" s="104">
        <v>0</v>
      </c>
      <c r="U568" s="104">
        <v>0</v>
      </c>
      <c r="V568" s="104">
        <v>0</v>
      </c>
      <c r="W568" s="104">
        <v>0</v>
      </c>
      <c r="X568" s="104">
        <v>0</v>
      </c>
      <c r="Y568" s="104">
        <v>0</v>
      </c>
      <c r="Z568" s="103">
        <v>0</v>
      </c>
      <c r="AA568" s="103">
        <v>0</v>
      </c>
      <c r="AB568" s="103">
        <v>1</v>
      </c>
      <c r="AC568" s="103">
        <v>0</v>
      </c>
      <c r="AD568" s="103">
        <v>0</v>
      </c>
      <c r="AE568" s="103"/>
      <c r="AF568" s="103">
        <v>0</v>
      </c>
      <c r="AG568" s="103"/>
      <c r="AH568" s="103">
        <v>0</v>
      </c>
      <c r="AI568" s="103"/>
      <c r="AJ568" s="103">
        <v>0</v>
      </c>
      <c r="AK568" s="104">
        <f t="shared" si="608"/>
        <v>1</v>
      </c>
      <c r="AL568" s="87" t="str">
        <f t="shared" si="607"/>
        <v>ok</v>
      </c>
    </row>
    <row r="569" spans="1:38" x14ac:dyDescent="0.5">
      <c r="A569" s="86" t="s">
        <v>98</v>
      </c>
      <c r="C569" s="86" t="s">
        <v>167</v>
      </c>
      <c r="D569" s="53"/>
      <c r="E569" s="53"/>
      <c r="F569" s="103">
        <v>1</v>
      </c>
      <c r="G569" s="103"/>
      <c r="H569" s="104">
        <v>0</v>
      </c>
      <c r="I569" s="104">
        <v>0</v>
      </c>
      <c r="J569" s="104">
        <v>0</v>
      </c>
      <c r="K569" s="104">
        <v>0</v>
      </c>
      <c r="L569" s="104">
        <v>0</v>
      </c>
      <c r="M569" s="104">
        <v>0</v>
      </c>
      <c r="N569" s="104"/>
      <c r="O569" s="104">
        <v>0</v>
      </c>
      <c r="P569" s="104">
        <v>0</v>
      </c>
      <c r="Q569" s="104">
        <v>0</v>
      </c>
      <c r="R569" s="103"/>
      <c r="S569" s="104">
        <v>0</v>
      </c>
      <c r="T569" s="104">
        <v>0</v>
      </c>
      <c r="U569" s="104">
        <v>0</v>
      </c>
      <c r="V569" s="104">
        <v>0</v>
      </c>
      <c r="W569" s="104">
        <v>0</v>
      </c>
      <c r="X569" s="104">
        <v>0</v>
      </c>
      <c r="Y569" s="104">
        <v>0</v>
      </c>
      <c r="Z569" s="103">
        <v>0</v>
      </c>
      <c r="AA569" s="103">
        <v>0</v>
      </c>
      <c r="AB569" s="103">
        <v>0</v>
      </c>
      <c r="AC569" s="103">
        <v>1</v>
      </c>
      <c r="AD569" s="103">
        <v>0</v>
      </c>
      <c r="AE569" s="103"/>
      <c r="AF569" s="103">
        <v>0</v>
      </c>
      <c r="AG569" s="103"/>
      <c r="AH569" s="103">
        <v>0</v>
      </c>
      <c r="AI569" s="103"/>
      <c r="AJ569" s="103">
        <v>0</v>
      </c>
      <c r="AK569" s="104">
        <f t="shared" si="608"/>
        <v>1</v>
      </c>
      <c r="AL569" s="87" t="str">
        <f t="shared" si="607"/>
        <v>ok</v>
      </c>
    </row>
    <row r="570" spans="1:38" x14ac:dyDescent="0.5">
      <c r="A570" s="86" t="s">
        <v>385</v>
      </c>
      <c r="C570" s="86" t="s">
        <v>170</v>
      </c>
      <c r="D570" s="321"/>
      <c r="E570" s="53"/>
      <c r="F570" s="103">
        <v>1</v>
      </c>
      <c r="G570" s="103"/>
      <c r="H570" s="104">
        <v>0</v>
      </c>
      <c r="I570" s="104">
        <v>0</v>
      </c>
      <c r="J570" s="104">
        <v>0</v>
      </c>
      <c r="K570" s="104">
        <v>0</v>
      </c>
      <c r="L570" s="104">
        <v>0</v>
      </c>
      <c r="M570" s="104">
        <v>0</v>
      </c>
      <c r="N570" s="104"/>
      <c r="O570" s="104">
        <v>0</v>
      </c>
      <c r="P570" s="104">
        <v>0</v>
      </c>
      <c r="Q570" s="104">
        <v>0</v>
      </c>
      <c r="R570" s="103"/>
      <c r="S570" s="104">
        <v>0</v>
      </c>
      <c r="T570" s="104">
        <v>0</v>
      </c>
      <c r="U570" s="104">
        <v>0</v>
      </c>
      <c r="V570" s="104">
        <v>0</v>
      </c>
      <c r="W570" s="104">
        <v>0</v>
      </c>
      <c r="X570" s="104">
        <v>0</v>
      </c>
      <c r="Y570" s="104">
        <v>0</v>
      </c>
      <c r="Z570" s="103">
        <v>0</v>
      </c>
      <c r="AA570" s="103">
        <v>0</v>
      </c>
      <c r="AB570" s="103">
        <v>0</v>
      </c>
      <c r="AC570" s="103">
        <v>0</v>
      </c>
      <c r="AD570" s="103">
        <v>1</v>
      </c>
      <c r="AE570" s="103"/>
      <c r="AF570" s="103">
        <v>0</v>
      </c>
      <c r="AG570" s="103"/>
      <c r="AH570" s="103">
        <v>0</v>
      </c>
      <c r="AI570" s="103"/>
      <c r="AJ570" s="103">
        <v>0</v>
      </c>
      <c r="AK570" s="104">
        <f t="shared" si="608"/>
        <v>1</v>
      </c>
      <c r="AL570" s="87" t="str">
        <f t="shared" si="607"/>
        <v>ok</v>
      </c>
    </row>
    <row r="571" spans="1:38" x14ac:dyDescent="0.5">
      <c r="A571" s="86" t="s">
        <v>386</v>
      </c>
      <c r="C571" s="86" t="s">
        <v>295</v>
      </c>
      <c r="D571" s="321"/>
      <c r="E571" s="53"/>
      <c r="F571" s="103">
        <v>1</v>
      </c>
      <c r="G571" s="103"/>
      <c r="H571" s="104">
        <v>0</v>
      </c>
      <c r="I571" s="104">
        <v>0</v>
      </c>
      <c r="J571" s="104">
        <v>0</v>
      </c>
      <c r="K571" s="104">
        <v>0</v>
      </c>
      <c r="L571" s="104">
        <v>0</v>
      </c>
      <c r="M571" s="104">
        <v>0</v>
      </c>
      <c r="N571" s="104"/>
      <c r="O571" s="104">
        <v>0</v>
      </c>
      <c r="P571" s="104">
        <v>0</v>
      </c>
      <c r="Q571" s="104">
        <v>0</v>
      </c>
      <c r="R571" s="103"/>
      <c r="S571" s="104">
        <v>0</v>
      </c>
      <c r="T571" s="104">
        <v>0</v>
      </c>
      <c r="U571" s="104">
        <v>0</v>
      </c>
      <c r="V571" s="104">
        <v>0</v>
      </c>
      <c r="W571" s="104">
        <v>0</v>
      </c>
      <c r="X571" s="104">
        <v>0</v>
      </c>
      <c r="Y571" s="104">
        <v>0</v>
      </c>
      <c r="Z571" s="103">
        <v>0</v>
      </c>
      <c r="AA571" s="103">
        <v>0</v>
      </c>
      <c r="AB571" s="103">
        <v>0</v>
      </c>
      <c r="AC571" s="103">
        <v>0</v>
      </c>
      <c r="AD571" s="103">
        <v>0</v>
      </c>
      <c r="AE571" s="103"/>
      <c r="AF571" s="103">
        <v>0</v>
      </c>
      <c r="AG571" s="103"/>
      <c r="AH571" s="103">
        <v>1</v>
      </c>
      <c r="AI571" s="103"/>
      <c r="AJ571" s="103">
        <v>0</v>
      </c>
      <c r="AK571" s="104">
        <f t="shared" si="608"/>
        <v>1</v>
      </c>
      <c r="AL571" s="87" t="str">
        <f t="shared" si="607"/>
        <v>ok</v>
      </c>
    </row>
    <row r="572" spans="1:38" x14ac:dyDescent="0.5">
      <c r="A572" s="86" t="s">
        <v>387</v>
      </c>
      <c r="C572" s="86" t="s">
        <v>1175</v>
      </c>
      <c r="D572" s="314"/>
      <c r="E572" s="45"/>
      <c r="F572" s="103">
        <v>1</v>
      </c>
      <c r="G572" s="103"/>
      <c r="H572" s="104">
        <v>0</v>
      </c>
      <c r="I572" s="104">
        <v>0</v>
      </c>
      <c r="J572" s="104">
        <v>0</v>
      </c>
      <c r="K572" s="104">
        <v>0</v>
      </c>
      <c r="L572" s="104">
        <v>0</v>
      </c>
      <c r="M572" s="104">
        <v>0</v>
      </c>
      <c r="N572" s="104"/>
      <c r="O572" s="104">
        <v>0</v>
      </c>
      <c r="P572" s="104">
        <v>0</v>
      </c>
      <c r="Q572" s="104">
        <v>0</v>
      </c>
      <c r="R572" s="103"/>
      <c r="S572" s="104">
        <v>0</v>
      </c>
      <c r="T572" s="104">
        <v>0</v>
      </c>
      <c r="U572" s="104">
        <v>0</v>
      </c>
      <c r="V572" s="104">
        <v>0</v>
      </c>
      <c r="W572" s="104">
        <v>0</v>
      </c>
      <c r="X572" s="104">
        <v>0</v>
      </c>
      <c r="Y572" s="104">
        <v>0</v>
      </c>
      <c r="Z572" s="103">
        <v>0</v>
      </c>
      <c r="AA572" s="103">
        <v>0</v>
      </c>
      <c r="AB572" s="103">
        <v>0</v>
      </c>
      <c r="AC572" s="103">
        <v>0</v>
      </c>
      <c r="AD572" s="103">
        <v>0</v>
      </c>
      <c r="AE572" s="103"/>
      <c r="AF572" s="103">
        <v>0</v>
      </c>
      <c r="AG572" s="103"/>
      <c r="AH572" s="103">
        <v>1</v>
      </c>
      <c r="AI572" s="103"/>
      <c r="AJ572" s="103">
        <v>0</v>
      </c>
      <c r="AK572" s="104">
        <f t="shared" si="608"/>
        <v>1</v>
      </c>
      <c r="AL572" s="87" t="str">
        <f t="shared" si="607"/>
        <v>ok</v>
      </c>
    </row>
    <row r="573" spans="1:38" x14ac:dyDescent="0.5">
      <c r="A573" s="86" t="s">
        <v>439</v>
      </c>
      <c r="C573" s="86" t="s">
        <v>470</v>
      </c>
      <c r="D573" s="314"/>
      <c r="E573" s="45"/>
      <c r="F573" s="103">
        <v>1</v>
      </c>
      <c r="G573" s="103"/>
      <c r="H573" s="104">
        <v>0</v>
      </c>
      <c r="I573" s="104">
        <v>0</v>
      </c>
      <c r="J573" s="104">
        <v>0</v>
      </c>
      <c r="K573" s="104">
        <v>0</v>
      </c>
      <c r="L573" s="104">
        <v>0</v>
      </c>
      <c r="M573" s="104">
        <v>0</v>
      </c>
      <c r="N573" s="104"/>
      <c r="O573" s="104">
        <v>1</v>
      </c>
      <c r="P573" s="286">
        <v>0</v>
      </c>
      <c r="Q573" s="286">
        <v>0</v>
      </c>
      <c r="R573" s="103"/>
      <c r="S573" s="104">
        <v>0</v>
      </c>
      <c r="T573" s="104">
        <v>0</v>
      </c>
      <c r="U573" s="104">
        <v>0</v>
      </c>
      <c r="V573" s="104">
        <v>0</v>
      </c>
      <c r="W573" s="104">
        <v>0</v>
      </c>
      <c r="X573" s="104">
        <v>0</v>
      </c>
      <c r="Y573" s="104">
        <v>0</v>
      </c>
      <c r="Z573" s="103">
        <v>0</v>
      </c>
      <c r="AA573" s="103">
        <v>0</v>
      </c>
      <c r="AB573" s="103">
        <v>0</v>
      </c>
      <c r="AC573" s="103">
        <v>0</v>
      </c>
      <c r="AD573" s="103">
        <v>0</v>
      </c>
      <c r="AE573" s="103"/>
      <c r="AF573" s="103">
        <v>0</v>
      </c>
      <c r="AG573" s="103"/>
      <c r="AH573" s="103">
        <v>0</v>
      </c>
      <c r="AI573" s="103"/>
      <c r="AJ573" s="103">
        <v>0</v>
      </c>
      <c r="AK573" s="104">
        <f t="shared" si="608"/>
        <v>1</v>
      </c>
      <c r="AL573" s="87" t="str">
        <f t="shared" si="607"/>
        <v>ok</v>
      </c>
    </row>
    <row r="574" spans="1:38" x14ac:dyDescent="0.5">
      <c r="A574" s="86" t="s">
        <v>957</v>
      </c>
      <c r="C574" s="86" t="s">
        <v>958</v>
      </c>
      <c r="D574" s="314"/>
      <c r="E574" s="45"/>
      <c r="F574" s="103">
        <v>1</v>
      </c>
      <c r="G574" s="103"/>
      <c r="H574" s="104">
        <v>0</v>
      </c>
      <c r="I574" s="104">
        <v>0</v>
      </c>
      <c r="J574" s="104">
        <v>0</v>
      </c>
      <c r="K574" s="104">
        <v>0</v>
      </c>
      <c r="L574" s="104">
        <v>0</v>
      </c>
      <c r="M574" s="104">
        <v>0</v>
      </c>
      <c r="N574" s="104"/>
      <c r="O574" s="104">
        <v>0</v>
      </c>
      <c r="P574" s="104">
        <v>0</v>
      </c>
      <c r="Q574" s="104">
        <v>0</v>
      </c>
      <c r="R574" s="103"/>
      <c r="S574" s="104">
        <v>0</v>
      </c>
      <c r="T574" s="104">
        <v>0</v>
      </c>
      <c r="U574" s="104">
        <v>0</v>
      </c>
      <c r="V574" s="104">
        <v>0</v>
      </c>
      <c r="W574" s="104">
        <v>0</v>
      </c>
      <c r="X574" s="104">
        <v>0</v>
      </c>
      <c r="Y574" s="104">
        <v>0</v>
      </c>
      <c r="Z574" s="103">
        <v>0</v>
      </c>
      <c r="AA574" s="103">
        <v>0</v>
      </c>
      <c r="AB574" s="103">
        <v>0</v>
      </c>
      <c r="AC574" s="103">
        <v>0</v>
      </c>
      <c r="AD574" s="103">
        <v>0</v>
      </c>
      <c r="AE574" s="103"/>
      <c r="AF574" s="103">
        <v>0</v>
      </c>
      <c r="AG574" s="103"/>
      <c r="AH574" s="103">
        <v>0</v>
      </c>
      <c r="AI574" s="103"/>
      <c r="AJ574" s="103">
        <v>1</v>
      </c>
      <c r="AK574" s="104">
        <f t="shared" si="608"/>
        <v>1</v>
      </c>
      <c r="AL574" s="87" t="str">
        <f t="shared" si="607"/>
        <v>ok</v>
      </c>
    </row>
    <row r="575" spans="1:38" x14ac:dyDescent="0.5">
      <c r="A575" s="86" t="s">
        <v>723</v>
      </c>
      <c r="C575" s="86" t="s">
        <v>706</v>
      </c>
      <c r="D575" s="314"/>
      <c r="E575" s="45"/>
      <c r="F575" s="103">
        <v>1</v>
      </c>
      <c r="G575" s="103"/>
      <c r="H575" s="104">
        <v>1</v>
      </c>
      <c r="I575" s="104">
        <v>0</v>
      </c>
      <c r="J575" s="104">
        <v>0</v>
      </c>
      <c r="K575" s="104">
        <v>0</v>
      </c>
      <c r="L575" s="104">
        <v>0</v>
      </c>
      <c r="M575" s="104">
        <v>0</v>
      </c>
      <c r="N575" s="104"/>
      <c r="O575" s="104">
        <v>0</v>
      </c>
      <c r="P575" s="104">
        <v>0</v>
      </c>
      <c r="Q575" s="104">
        <v>0</v>
      </c>
      <c r="R575" s="103"/>
      <c r="S575" s="104">
        <v>0</v>
      </c>
      <c r="T575" s="104">
        <v>0</v>
      </c>
      <c r="U575" s="104">
        <v>0</v>
      </c>
      <c r="V575" s="104">
        <v>0</v>
      </c>
      <c r="W575" s="104">
        <v>0</v>
      </c>
      <c r="X575" s="104">
        <v>0</v>
      </c>
      <c r="Y575" s="104">
        <v>0</v>
      </c>
      <c r="Z575" s="103">
        <v>0</v>
      </c>
      <c r="AA575" s="103">
        <v>0</v>
      </c>
      <c r="AB575" s="103">
        <v>0</v>
      </c>
      <c r="AC575" s="103">
        <v>0</v>
      </c>
      <c r="AD575" s="103">
        <v>0</v>
      </c>
      <c r="AE575" s="103"/>
      <c r="AF575" s="103">
        <v>0</v>
      </c>
      <c r="AG575" s="103"/>
      <c r="AH575" s="103">
        <v>0</v>
      </c>
      <c r="AI575" s="103"/>
      <c r="AJ575" s="103">
        <v>0</v>
      </c>
      <c r="AK575" s="104">
        <f t="shared" si="608"/>
        <v>1</v>
      </c>
      <c r="AL575" s="87" t="str">
        <f t="shared" si="607"/>
        <v>ok</v>
      </c>
    </row>
    <row r="576" spans="1:38" x14ac:dyDescent="0.5">
      <c r="A576" s="86" t="s">
        <v>724</v>
      </c>
      <c r="C576" s="86" t="s">
        <v>708</v>
      </c>
      <c r="D576" s="314"/>
      <c r="E576" s="45"/>
      <c r="F576" s="103">
        <v>1</v>
      </c>
      <c r="G576" s="103"/>
      <c r="H576" s="104">
        <v>0</v>
      </c>
      <c r="I576" s="104">
        <v>0</v>
      </c>
      <c r="J576" s="104">
        <v>0</v>
      </c>
      <c r="K576" s="104">
        <v>1</v>
      </c>
      <c r="L576" s="104">
        <v>0</v>
      </c>
      <c r="M576" s="104">
        <v>0</v>
      </c>
      <c r="N576" s="104"/>
      <c r="O576" s="104">
        <v>0</v>
      </c>
      <c r="P576" s="104">
        <v>0</v>
      </c>
      <c r="Q576" s="104">
        <v>0</v>
      </c>
      <c r="R576" s="103"/>
      <c r="S576" s="104">
        <v>0</v>
      </c>
      <c r="T576" s="104">
        <v>0</v>
      </c>
      <c r="U576" s="104">
        <v>0</v>
      </c>
      <c r="V576" s="104">
        <v>0</v>
      </c>
      <c r="W576" s="104">
        <v>0</v>
      </c>
      <c r="X576" s="104">
        <v>0</v>
      </c>
      <c r="Y576" s="104">
        <v>0</v>
      </c>
      <c r="Z576" s="103">
        <v>0</v>
      </c>
      <c r="AA576" s="103">
        <v>0</v>
      </c>
      <c r="AB576" s="103">
        <v>0</v>
      </c>
      <c r="AC576" s="103">
        <v>0</v>
      </c>
      <c r="AD576" s="103">
        <v>0</v>
      </c>
      <c r="AE576" s="103"/>
      <c r="AF576" s="103">
        <v>0</v>
      </c>
      <c r="AG576" s="103"/>
      <c r="AH576" s="103">
        <v>0</v>
      </c>
      <c r="AI576" s="103"/>
      <c r="AJ576" s="103">
        <v>0</v>
      </c>
      <c r="AK576" s="104">
        <f t="shared" si="608"/>
        <v>1</v>
      </c>
      <c r="AL576" s="87" t="str">
        <f t="shared" si="607"/>
        <v>ok</v>
      </c>
    </row>
    <row r="577" spans="1:38" x14ac:dyDescent="0.5">
      <c r="A577" s="86" t="s">
        <v>725</v>
      </c>
      <c r="C577" s="86" t="s">
        <v>726</v>
      </c>
      <c r="D577" s="314"/>
      <c r="E577" s="45"/>
      <c r="F577" s="103">
        <v>1</v>
      </c>
      <c r="G577" s="103"/>
      <c r="H577" s="104">
        <v>0</v>
      </c>
      <c r="I577" s="104">
        <v>0</v>
      </c>
      <c r="J577" s="104">
        <v>0</v>
      </c>
      <c r="K577" s="104">
        <v>1</v>
      </c>
      <c r="L577" s="104">
        <v>0</v>
      </c>
      <c r="M577" s="104">
        <v>0</v>
      </c>
      <c r="N577" s="104"/>
      <c r="O577" s="104">
        <v>0</v>
      </c>
      <c r="P577" s="104">
        <v>0</v>
      </c>
      <c r="Q577" s="104">
        <v>0</v>
      </c>
      <c r="R577" s="103"/>
      <c r="S577" s="104">
        <v>0</v>
      </c>
      <c r="T577" s="104">
        <v>0</v>
      </c>
      <c r="U577" s="104">
        <v>0</v>
      </c>
      <c r="V577" s="104">
        <v>0</v>
      </c>
      <c r="W577" s="104">
        <v>0</v>
      </c>
      <c r="X577" s="104">
        <v>0</v>
      </c>
      <c r="Y577" s="104">
        <v>0</v>
      </c>
      <c r="Z577" s="103">
        <v>0</v>
      </c>
      <c r="AA577" s="103">
        <v>0</v>
      </c>
      <c r="AB577" s="103">
        <v>0</v>
      </c>
      <c r="AC577" s="103">
        <v>0</v>
      </c>
      <c r="AD577" s="103">
        <v>0</v>
      </c>
      <c r="AE577" s="103"/>
      <c r="AF577" s="103">
        <v>0</v>
      </c>
      <c r="AG577" s="103"/>
      <c r="AH577" s="103">
        <v>0</v>
      </c>
      <c r="AI577" s="103"/>
      <c r="AJ577" s="103">
        <v>0</v>
      </c>
      <c r="AK577" s="104">
        <f t="shared" si="608"/>
        <v>1</v>
      </c>
      <c r="AL577" s="87" t="str">
        <f t="shared" si="607"/>
        <v>ok</v>
      </c>
    </row>
    <row r="578" spans="1:38" x14ac:dyDescent="0.5">
      <c r="A578" s="86" t="s">
        <v>727</v>
      </c>
      <c r="C578" s="86" t="s">
        <v>717</v>
      </c>
      <c r="D578" s="314"/>
      <c r="E578" s="45"/>
      <c r="F578" s="105">
        <f>F341+F342+F343+F344+F345</f>
        <v>22766997</v>
      </c>
      <c r="G578" s="103"/>
      <c r="H578" s="90">
        <f t="shared" ref="H578:M578" si="609">H341+H342+H343+H344+H345</f>
        <v>20328513</v>
      </c>
      <c r="I578" s="90">
        <f t="shared" si="609"/>
        <v>0</v>
      </c>
      <c r="J578" s="90">
        <f t="shared" si="609"/>
        <v>0</v>
      </c>
      <c r="K578" s="90">
        <f t="shared" si="609"/>
        <v>2438484</v>
      </c>
      <c r="L578" s="90">
        <f t="shared" si="609"/>
        <v>0</v>
      </c>
      <c r="M578" s="90">
        <f t="shared" si="609"/>
        <v>0</v>
      </c>
      <c r="N578" s="90"/>
      <c r="O578" s="90">
        <f>O341+O342+O343+O344+O345</f>
        <v>0</v>
      </c>
      <c r="P578" s="90">
        <f>P341+P342+P343+P344+P345</f>
        <v>0</v>
      </c>
      <c r="Q578" s="90">
        <f>Q341+Q342+Q343+Q344+Q345</f>
        <v>0</v>
      </c>
      <c r="R578" s="94"/>
      <c r="S578" s="90">
        <f t="shared" ref="S578:AD578" si="610">S341+S342+S343+S344+S345</f>
        <v>0</v>
      </c>
      <c r="T578" s="90">
        <f t="shared" si="610"/>
        <v>0</v>
      </c>
      <c r="U578" s="90">
        <f t="shared" si="610"/>
        <v>0</v>
      </c>
      <c r="V578" s="90">
        <f t="shared" si="610"/>
        <v>0</v>
      </c>
      <c r="W578" s="90">
        <f t="shared" si="610"/>
        <v>0</v>
      </c>
      <c r="X578" s="95">
        <f t="shared" si="610"/>
        <v>0</v>
      </c>
      <c r="Y578" s="95">
        <f t="shared" si="610"/>
        <v>0</v>
      </c>
      <c r="Z578" s="95">
        <f t="shared" si="610"/>
        <v>0</v>
      </c>
      <c r="AA578" s="95">
        <f t="shared" si="610"/>
        <v>0</v>
      </c>
      <c r="AB578" s="95">
        <f t="shared" si="610"/>
        <v>0</v>
      </c>
      <c r="AC578" s="95">
        <f t="shared" si="610"/>
        <v>0</v>
      </c>
      <c r="AD578" s="95">
        <f t="shared" si="610"/>
        <v>0</v>
      </c>
      <c r="AE578" s="103"/>
      <c r="AF578" s="95">
        <f>AF341+AF342+AF343+AF344+AF345</f>
        <v>0</v>
      </c>
      <c r="AG578" s="103"/>
      <c r="AH578" s="95">
        <f>AH341+AH342+AH343+AH344+AH345</f>
        <v>0</v>
      </c>
      <c r="AI578" s="103"/>
      <c r="AJ578" s="95">
        <f>AJ341+AJ342+AJ343+AJ344+AJ345</f>
        <v>0</v>
      </c>
      <c r="AK578" s="90">
        <f t="shared" si="608"/>
        <v>22766997</v>
      </c>
      <c r="AL578" s="87" t="str">
        <f t="shared" si="607"/>
        <v>ok</v>
      </c>
    </row>
    <row r="579" spans="1:38" x14ac:dyDescent="0.5">
      <c r="A579" s="86" t="s">
        <v>709</v>
      </c>
      <c r="C579" s="86" t="s">
        <v>709</v>
      </c>
      <c r="D579" s="314"/>
      <c r="E579" s="45"/>
      <c r="F579" s="103">
        <v>1</v>
      </c>
      <c r="G579" s="103"/>
      <c r="H579" s="104">
        <v>1</v>
      </c>
      <c r="I579" s="104">
        <v>0</v>
      </c>
      <c r="J579" s="104">
        <v>0</v>
      </c>
      <c r="K579" s="104">
        <v>0</v>
      </c>
      <c r="L579" s="104">
        <v>0</v>
      </c>
      <c r="M579" s="104">
        <v>0</v>
      </c>
      <c r="N579" s="104"/>
      <c r="O579" s="104">
        <v>0</v>
      </c>
      <c r="P579" s="104">
        <v>0</v>
      </c>
      <c r="Q579" s="104">
        <v>0</v>
      </c>
      <c r="R579" s="103"/>
      <c r="S579" s="104">
        <v>0</v>
      </c>
      <c r="T579" s="104">
        <v>0</v>
      </c>
      <c r="U579" s="104">
        <v>0</v>
      </c>
      <c r="V579" s="104">
        <v>0</v>
      </c>
      <c r="W579" s="104">
        <v>0</v>
      </c>
      <c r="X579" s="104">
        <v>0</v>
      </c>
      <c r="Y579" s="104">
        <v>0</v>
      </c>
      <c r="Z579" s="103">
        <v>0</v>
      </c>
      <c r="AA579" s="103">
        <v>0</v>
      </c>
      <c r="AB579" s="103">
        <v>0</v>
      </c>
      <c r="AC579" s="103">
        <v>0</v>
      </c>
      <c r="AD579" s="103">
        <v>0</v>
      </c>
      <c r="AE579" s="103"/>
      <c r="AF579" s="103">
        <v>0</v>
      </c>
      <c r="AG579" s="103"/>
      <c r="AH579" s="103">
        <v>0</v>
      </c>
      <c r="AI579" s="103"/>
      <c r="AJ579" s="103">
        <v>0</v>
      </c>
      <c r="AK579" s="104">
        <f t="shared" si="608"/>
        <v>1</v>
      </c>
      <c r="AL579" s="87" t="str">
        <f t="shared" si="607"/>
        <v>ok</v>
      </c>
    </row>
    <row r="580" spans="1:38" x14ac:dyDescent="0.5">
      <c r="A580" s="86" t="s">
        <v>728</v>
      </c>
      <c r="C580" s="86" t="s">
        <v>718</v>
      </c>
      <c r="D580" s="314"/>
      <c r="E580" s="45"/>
      <c r="F580" s="90">
        <f>F351+F352+F353+F354</f>
        <v>13594923</v>
      </c>
      <c r="G580" s="103"/>
      <c r="H580" s="90">
        <f t="shared" ref="H580:M580" si="611">H351+H352+H353+H354</f>
        <v>1477460</v>
      </c>
      <c r="I580" s="90">
        <f t="shared" si="611"/>
        <v>0</v>
      </c>
      <c r="J580" s="90">
        <f t="shared" si="611"/>
        <v>0</v>
      </c>
      <c r="K580" s="90">
        <f t="shared" si="611"/>
        <v>12117463</v>
      </c>
      <c r="L580" s="90">
        <f t="shared" si="611"/>
        <v>0</v>
      </c>
      <c r="M580" s="90">
        <f t="shared" si="611"/>
        <v>0</v>
      </c>
      <c r="N580" s="90"/>
      <c r="O580" s="90">
        <f>O351+O352+O353+O354</f>
        <v>0</v>
      </c>
      <c r="P580" s="90">
        <f>P351+P352+P353+P354</f>
        <v>0</v>
      </c>
      <c r="Q580" s="90">
        <f>Q351+Q352+Q353+Q354</f>
        <v>0</v>
      </c>
      <c r="R580" s="94"/>
      <c r="S580" s="90">
        <f t="shared" ref="S580:AD580" si="612">S351+S352+S353+S354</f>
        <v>0</v>
      </c>
      <c r="T580" s="90">
        <f t="shared" si="612"/>
        <v>0</v>
      </c>
      <c r="U580" s="90">
        <f t="shared" si="612"/>
        <v>0</v>
      </c>
      <c r="V580" s="90">
        <f t="shared" si="612"/>
        <v>0</v>
      </c>
      <c r="W580" s="90">
        <f t="shared" si="612"/>
        <v>0</v>
      </c>
      <c r="X580" s="90">
        <f t="shared" si="612"/>
        <v>0</v>
      </c>
      <c r="Y580" s="90">
        <f t="shared" si="612"/>
        <v>0</v>
      </c>
      <c r="Z580" s="90">
        <f t="shared" si="612"/>
        <v>0</v>
      </c>
      <c r="AA580" s="90">
        <f t="shared" si="612"/>
        <v>0</v>
      </c>
      <c r="AB580" s="90">
        <f t="shared" si="612"/>
        <v>0</v>
      </c>
      <c r="AC580" s="90">
        <f t="shared" si="612"/>
        <v>0</v>
      </c>
      <c r="AD580" s="90">
        <f t="shared" si="612"/>
        <v>0</v>
      </c>
      <c r="AE580" s="94"/>
      <c r="AF580" s="90">
        <f>AF351+AF352+AF353+AF354</f>
        <v>0</v>
      </c>
      <c r="AG580" s="94"/>
      <c r="AH580" s="90">
        <f>AH351+AH352+AH353+AH354</f>
        <v>0</v>
      </c>
      <c r="AI580" s="94"/>
      <c r="AJ580" s="90">
        <f>AJ351+AJ352+AJ353+AJ354</f>
        <v>0</v>
      </c>
      <c r="AK580" s="90">
        <f t="shared" si="608"/>
        <v>13594923</v>
      </c>
      <c r="AL580" s="87" t="str">
        <f t="shared" si="607"/>
        <v>ok</v>
      </c>
    </row>
    <row r="581" spans="1:38" x14ac:dyDescent="0.5">
      <c r="A581" s="86" t="s">
        <v>729</v>
      </c>
      <c r="C581" s="86" t="s">
        <v>719</v>
      </c>
      <c r="D581" s="45"/>
      <c r="E581" s="45"/>
      <c r="F581" s="90">
        <f>F362+F363+F364+F365+F366</f>
        <v>0</v>
      </c>
      <c r="G581" s="103"/>
      <c r="H581" s="90">
        <f t="shared" ref="H581:M581" si="613">H362+H363+H364+H365+H366</f>
        <v>0</v>
      </c>
      <c r="I581" s="90">
        <f t="shared" si="613"/>
        <v>0</v>
      </c>
      <c r="J581" s="90">
        <f t="shared" si="613"/>
        <v>0</v>
      </c>
      <c r="K581" s="90">
        <f t="shared" si="613"/>
        <v>0</v>
      </c>
      <c r="L581" s="90">
        <f t="shared" si="613"/>
        <v>0</v>
      </c>
      <c r="M581" s="90">
        <f t="shared" si="613"/>
        <v>0</v>
      </c>
      <c r="N581" s="90"/>
      <c r="O581" s="90">
        <f>O362+O363+O364+O365+O366</f>
        <v>0</v>
      </c>
      <c r="P581" s="90">
        <f>P362+P363+P364+P365+P366</f>
        <v>0</v>
      </c>
      <c r="Q581" s="90">
        <f>Q362+Q363+Q364+Q365+Q366</f>
        <v>0</v>
      </c>
      <c r="R581" s="94"/>
      <c r="S581" s="90">
        <f t="shared" ref="S581:AD581" si="614">S362+S363+S364+S365+S366</f>
        <v>0</v>
      </c>
      <c r="T581" s="90">
        <f t="shared" si="614"/>
        <v>0</v>
      </c>
      <c r="U581" s="90">
        <f t="shared" si="614"/>
        <v>0</v>
      </c>
      <c r="V581" s="90">
        <f t="shared" si="614"/>
        <v>0</v>
      </c>
      <c r="W581" s="90">
        <f t="shared" si="614"/>
        <v>0</v>
      </c>
      <c r="X581" s="90">
        <f t="shared" si="614"/>
        <v>0</v>
      </c>
      <c r="Y581" s="90">
        <f t="shared" si="614"/>
        <v>0</v>
      </c>
      <c r="Z581" s="90">
        <f t="shared" si="614"/>
        <v>0</v>
      </c>
      <c r="AA581" s="90">
        <f t="shared" si="614"/>
        <v>0</v>
      </c>
      <c r="AB581" s="90">
        <f t="shared" si="614"/>
        <v>0</v>
      </c>
      <c r="AC581" s="90">
        <f t="shared" si="614"/>
        <v>0</v>
      </c>
      <c r="AD581" s="90">
        <f t="shared" si="614"/>
        <v>0</v>
      </c>
      <c r="AE581" s="94"/>
      <c r="AF581" s="90">
        <f>AF362+AF363+AF364+AF365+AF366</f>
        <v>0</v>
      </c>
      <c r="AG581" s="94"/>
      <c r="AH581" s="90">
        <f>AH362+AH363+AH364+AH365+AH366</f>
        <v>0</v>
      </c>
      <c r="AI581" s="94"/>
      <c r="AJ581" s="90">
        <f>AJ362+AJ363+AJ364+AJ365+AJ366</f>
        <v>0</v>
      </c>
      <c r="AK581" s="90">
        <f t="shared" si="608"/>
        <v>0</v>
      </c>
      <c r="AL581" s="87" t="str">
        <f t="shared" si="607"/>
        <v>ok</v>
      </c>
    </row>
    <row r="582" spans="1:38" x14ac:dyDescent="0.5">
      <c r="A582" s="86" t="s">
        <v>730</v>
      </c>
      <c r="C582" s="86" t="s">
        <v>720</v>
      </c>
      <c r="D582" s="45"/>
      <c r="E582" s="45"/>
      <c r="F582" s="90">
        <f>F372+F373+F374+F375</f>
        <v>67678</v>
      </c>
      <c r="G582" s="103"/>
      <c r="H582" s="90">
        <f t="shared" ref="H582:M582" si="615">H372+H373+H374+H375</f>
        <v>44297</v>
      </c>
      <c r="I582" s="90">
        <f t="shared" si="615"/>
        <v>0</v>
      </c>
      <c r="J582" s="90">
        <f t="shared" si="615"/>
        <v>0</v>
      </c>
      <c r="K582" s="90">
        <f t="shared" si="615"/>
        <v>23381</v>
      </c>
      <c r="L582" s="90">
        <f t="shared" si="615"/>
        <v>0</v>
      </c>
      <c r="M582" s="90">
        <f t="shared" si="615"/>
        <v>0</v>
      </c>
      <c r="N582" s="90"/>
      <c r="O582" s="90">
        <f>O372+O373+O374+O375</f>
        <v>0</v>
      </c>
      <c r="P582" s="90">
        <f>P372+P373+P374+P375</f>
        <v>0</v>
      </c>
      <c r="Q582" s="90">
        <f>Q372+Q373+Q374+Q375</f>
        <v>0</v>
      </c>
      <c r="R582" s="94"/>
      <c r="S582" s="90">
        <f t="shared" ref="S582:AD582" si="616">S372+S373+S374+S375</f>
        <v>0</v>
      </c>
      <c r="T582" s="90">
        <f t="shared" si="616"/>
        <v>0</v>
      </c>
      <c r="U582" s="90">
        <f t="shared" si="616"/>
        <v>0</v>
      </c>
      <c r="V582" s="90">
        <f t="shared" si="616"/>
        <v>0</v>
      </c>
      <c r="W582" s="90">
        <f t="shared" si="616"/>
        <v>0</v>
      </c>
      <c r="X582" s="90">
        <f t="shared" si="616"/>
        <v>0</v>
      </c>
      <c r="Y582" s="90">
        <f t="shared" si="616"/>
        <v>0</v>
      </c>
      <c r="Z582" s="90">
        <f t="shared" si="616"/>
        <v>0</v>
      </c>
      <c r="AA582" s="90">
        <f t="shared" si="616"/>
        <v>0</v>
      </c>
      <c r="AB582" s="90">
        <f t="shared" si="616"/>
        <v>0</v>
      </c>
      <c r="AC582" s="90">
        <f t="shared" si="616"/>
        <v>0</v>
      </c>
      <c r="AD582" s="90">
        <f t="shared" si="616"/>
        <v>0</v>
      </c>
      <c r="AE582" s="94"/>
      <c r="AF582" s="90">
        <f>AF372+AF373+AF374+AF375</f>
        <v>0</v>
      </c>
      <c r="AG582" s="94"/>
      <c r="AH582" s="90">
        <f>AH372+AH373+AH374+AH375</f>
        <v>0</v>
      </c>
      <c r="AI582" s="94"/>
      <c r="AJ582" s="90">
        <f>AJ372+AJ373+AJ374+AJ375</f>
        <v>0</v>
      </c>
      <c r="AK582" s="90">
        <f t="shared" si="608"/>
        <v>67678</v>
      </c>
      <c r="AL582" s="87" t="str">
        <f t="shared" si="607"/>
        <v>ok</v>
      </c>
    </row>
    <row r="583" spans="1:38" x14ac:dyDescent="0.5">
      <c r="A583" s="86" t="s">
        <v>731</v>
      </c>
      <c r="C583" s="86" t="s">
        <v>721</v>
      </c>
      <c r="D583" s="314"/>
      <c r="E583" s="45"/>
      <c r="F583" s="90">
        <f>F429+F430+F431+F432+F433+F434+F435+F436+F437+F438</f>
        <v>12634911</v>
      </c>
      <c r="G583" s="103"/>
      <c r="H583" s="90">
        <f t="shared" ref="H583:M583" si="617">H429+H430+H431+H432+H433+H434+H435+H436+H437+H438</f>
        <v>0</v>
      </c>
      <c r="I583" s="90">
        <f t="shared" si="617"/>
        <v>0</v>
      </c>
      <c r="J583" s="90">
        <f t="shared" si="617"/>
        <v>0</v>
      </c>
      <c r="K583" s="90">
        <f t="shared" si="617"/>
        <v>0</v>
      </c>
      <c r="L583" s="90">
        <f t="shared" si="617"/>
        <v>0</v>
      </c>
      <c r="M583" s="90">
        <f t="shared" si="617"/>
        <v>0</v>
      </c>
      <c r="N583" s="90"/>
      <c r="O583" s="90">
        <f>O429+O430+O431+O432+O433+O434+O435+O436+O437+O438</f>
        <v>0</v>
      </c>
      <c r="P583" s="90">
        <f>P429+P430+P431+P432+P433+P434+P435+P436+P437+P438</f>
        <v>0</v>
      </c>
      <c r="Q583" s="90">
        <f>Q429+Q430+Q431+Q432+Q433+Q434+Q435+Q436+Q437+Q438</f>
        <v>0</v>
      </c>
      <c r="R583" s="94"/>
      <c r="S583" s="90">
        <f t="shared" ref="S583:AD583" si="618">S429+S430+S431+S432+S433+S434+S435+S436+S437+S438</f>
        <v>0</v>
      </c>
      <c r="T583" s="90">
        <f t="shared" si="618"/>
        <v>1967901.1426745388</v>
      </c>
      <c r="U583" s="90">
        <f t="shared" si="618"/>
        <v>0</v>
      </c>
      <c r="V583" s="90">
        <f t="shared" si="618"/>
        <v>1162804.7000540758</v>
      </c>
      <c r="W583" s="90">
        <f t="shared" si="618"/>
        <v>2134888.6748010847</v>
      </c>
      <c r="X583" s="90">
        <f t="shared" si="618"/>
        <v>499013.8555449706</v>
      </c>
      <c r="Y583" s="90">
        <f t="shared" si="618"/>
        <v>931505.68234569707</v>
      </c>
      <c r="Z583" s="90">
        <f t="shared" si="618"/>
        <v>249002.23849659867</v>
      </c>
      <c r="AA583" s="90">
        <f t="shared" si="618"/>
        <v>206877.7831434916</v>
      </c>
      <c r="AB583" s="90">
        <f t="shared" si="618"/>
        <v>174424.2756705611</v>
      </c>
      <c r="AC583" s="90">
        <f t="shared" si="618"/>
        <v>5108740.8846575413</v>
      </c>
      <c r="AD583" s="90">
        <f t="shared" si="618"/>
        <v>199751.76261144024</v>
      </c>
      <c r="AE583" s="94"/>
      <c r="AF583" s="90">
        <f>AF429+AF430+AF431+AF432+AF433+AF434+AF435+AF436+AF437+AF438</f>
        <v>0</v>
      </c>
      <c r="AG583" s="94"/>
      <c r="AH583" s="90">
        <f>AH429+AH430+AH431+AH432+AH433+AH434+AH435+AH436+AH437+AH438</f>
        <v>0</v>
      </c>
      <c r="AI583" s="94"/>
      <c r="AJ583" s="90">
        <f>AJ429+AJ430+AJ431+AJ432+AJ433+AJ434+AJ435+AJ436+AJ437+AJ438</f>
        <v>0</v>
      </c>
      <c r="AK583" s="90">
        <f t="shared" si="608"/>
        <v>12634910.999999998</v>
      </c>
      <c r="AL583" s="87" t="str">
        <f t="shared" si="607"/>
        <v>ok</v>
      </c>
    </row>
    <row r="584" spans="1:38" x14ac:dyDescent="0.5">
      <c r="A584" s="86" t="s">
        <v>732</v>
      </c>
      <c r="C584" s="86" t="s">
        <v>722</v>
      </c>
      <c r="D584" s="314"/>
      <c r="E584" s="45"/>
      <c r="F584" s="90">
        <f>F448+F449+F450+F451+F452+F453+F454</f>
        <v>7409842</v>
      </c>
      <c r="G584" s="103"/>
      <c r="H584" s="90">
        <f t="shared" ref="H584:M584" si="619">H448+H449+H450+H451+H452+H453+H454</f>
        <v>0</v>
      </c>
      <c r="I584" s="90">
        <f t="shared" si="619"/>
        <v>0</v>
      </c>
      <c r="J584" s="90">
        <f t="shared" si="619"/>
        <v>0</v>
      </c>
      <c r="K584" s="90">
        <f t="shared" si="619"/>
        <v>0</v>
      </c>
      <c r="L584" s="90">
        <f t="shared" si="619"/>
        <v>0</v>
      </c>
      <c r="M584" s="90">
        <f t="shared" si="619"/>
        <v>0</v>
      </c>
      <c r="N584" s="90"/>
      <c r="O584" s="90">
        <f>O448+O449+O450+O451+O452+O453+O454</f>
        <v>0</v>
      </c>
      <c r="P584" s="90">
        <f>P448+P449+P450+P451+P452+P453+P454</f>
        <v>0</v>
      </c>
      <c r="Q584" s="90">
        <f>Q448+Q449+Q450+Q451+Q452+Q453+Q454</f>
        <v>0</v>
      </c>
      <c r="R584" s="94"/>
      <c r="S584" s="90">
        <f t="shared" ref="S584:AD584" si="620">S448+S449+S450+S451+S452+S453+S454</f>
        <v>0</v>
      </c>
      <c r="T584" s="90">
        <f t="shared" si="620"/>
        <v>622895.05033948552</v>
      </c>
      <c r="U584" s="90">
        <f t="shared" si="620"/>
        <v>0</v>
      </c>
      <c r="V584" s="90">
        <f t="shared" si="620"/>
        <v>1684709.7152585329</v>
      </c>
      <c r="W584" s="90">
        <f t="shared" si="620"/>
        <v>3039358.7666455349</v>
      </c>
      <c r="X584" s="90">
        <f t="shared" si="620"/>
        <v>712498.64152424072</v>
      </c>
      <c r="Y584" s="90">
        <f t="shared" si="620"/>
        <v>1295886.3783022985</v>
      </c>
      <c r="Z584" s="90">
        <f t="shared" si="620"/>
        <v>29460.678983998947</v>
      </c>
      <c r="AA584" s="90">
        <f t="shared" si="620"/>
        <v>24476.727578475191</v>
      </c>
      <c r="AB584" s="90">
        <f t="shared" si="620"/>
        <v>202.93887882523734</v>
      </c>
      <c r="AC584" s="90">
        <f t="shared" si="620"/>
        <v>120.69562556181239</v>
      </c>
      <c r="AD584" s="90">
        <f t="shared" si="620"/>
        <v>232.40686304637151</v>
      </c>
      <c r="AE584" s="94"/>
      <c r="AF584" s="90">
        <f>AF448+AF449+AF450+AF451+AF452+AF453+AF454</f>
        <v>0</v>
      </c>
      <c r="AG584" s="94"/>
      <c r="AH584" s="90">
        <f>AH448+AH449+AH450+AH451+AH452+AH453+AH454</f>
        <v>0</v>
      </c>
      <c r="AI584" s="94"/>
      <c r="AJ584" s="90">
        <f>AJ448+AJ449+AJ450+AJ451+AJ452+AJ453+AJ454</f>
        <v>0</v>
      </c>
      <c r="AK584" s="90">
        <f t="shared" si="608"/>
        <v>7409842</v>
      </c>
      <c r="AL584" s="87" t="str">
        <f t="shared" si="607"/>
        <v>ok</v>
      </c>
    </row>
    <row r="585" spans="1:38" x14ac:dyDescent="0.5">
      <c r="A585" s="86" t="s">
        <v>292</v>
      </c>
      <c r="C585" s="86" t="s">
        <v>714</v>
      </c>
      <c r="D585" s="314"/>
      <c r="E585" s="45"/>
      <c r="F585" s="103">
        <v>1</v>
      </c>
      <c r="G585" s="103"/>
      <c r="H585" s="104">
        <v>0</v>
      </c>
      <c r="I585" s="104">
        <v>0</v>
      </c>
      <c r="J585" s="104">
        <v>0</v>
      </c>
      <c r="K585" s="104">
        <v>0</v>
      </c>
      <c r="L585" s="104">
        <v>0</v>
      </c>
      <c r="M585" s="104">
        <v>0</v>
      </c>
      <c r="N585" s="104"/>
      <c r="O585" s="104">
        <v>0</v>
      </c>
      <c r="P585" s="104">
        <v>0</v>
      </c>
      <c r="Q585" s="104">
        <v>0</v>
      </c>
      <c r="R585" s="103"/>
      <c r="S585" s="104">
        <v>0</v>
      </c>
      <c r="T585" s="104">
        <v>0</v>
      </c>
      <c r="U585" s="104">
        <v>0</v>
      </c>
      <c r="V585" s="104">
        <v>0</v>
      </c>
      <c r="W585" s="104">
        <v>0</v>
      </c>
      <c r="X585" s="104">
        <v>0</v>
      </c>
      <c r="Y585" s="104">
        <v>0</v>
      </c>
      <c r="Z585" s="103">
        <v>0</v>
      </c>
      <c r="AA585" s="103">
        <v>0</v>
      </c>
      <c r="AB585" s="103">
        <v>0</v>
      </c>
      <c r="AC585" s="103">
        <v>0</v>
      </c>
      <c r="AD585" s="103">
        <v>0</v>
      </c>
      <c r="AE585" s="103"/>
      <c r="AF585" s="103">
        <v>1</v>
      </c>
      <c r="AG585" s="103"/>
      <c r="AH585" s="103">
        <v>0</v>
      </c>
      <c r="AI585" s="103"/>
      <c r="AJ585" s="103">
        <v>0</v>
      </c>
      <c r="AK585" s="104">
        <f t="shared" si="608"/>
        <v>1</v>
      </c>
      <c r="AL585" s="87" t="str">
        <f t="shared" si="607"/>
        <v>ok</v>
      </c>
    </row>
    <row r="586" spans="1:38" x14ac:dyDescent="0.5">
      <c r="A586" s="86" t="s">
        <v>303</v>
      </c>
      <c r="C586" s="86" t="s">
        <v>715</v>
      </c>
      <c r="D586" s="314"/>
      <c r="E586" s="45"/>
      <c r="F586" s="103">
        <v>1</v>
      </c>
      <c r="G586" s="103"/>
      <c r="H586" s="104">
        <v>0</v>
      </c>
      <c r="I586" s="104">
        <v>0</v>
      </c>
      <c r="J586" s="104">
        <v>0</v>
      </c>
      <c r="K586" s="104">
        <v>0</v>
      </c>
      <c r="L586" s="104">
        <v>0</v>
      </c>
      <c r="M586" s="104">
        <v>0</v>
      </c>
      <c r="N586" s="104"/>
      <c r="O586" s="104">
        <v>0</v>
      </c>
      <c r="P586" s="104">
        <v>0</v>
      </c>
      <c r="Q586" s="104">
        <v>0</v>
      </c>
      <c r="R586" s="103"/>
      <c r="S586" s="104">
        <v>0</v>
      </c>
      <c r="T586" s="104">
        <v>0</v>
      </c>
      <c r="U586" s="104">
        <v>0</v>
      </c>
      <c r="V586" s="104">
        <v>0</v>
      </c>
      <c r="W586" s="104">
        <v>0</v>
      </c>
      <c r="X586" s="104">
        <v>0</v>
      </c>
      <c r="Y586" s="104">
        <v>0</v>
      </c>
      <c r="Z586" s="103">
        <v>0</v>
      </c>
      <c r="AA586" s="103">
        <v>0</v>
      </c>
      <c r="AB586" s="103">
        <v>0</v>
      </c>
      <c r="AC586" s="103">
        <v>0</v>
      </c>
      <c r="AD586" s="103">
        <v>0</v>
      </c>
      <c r="AE586" s="103"/>
      <c r="AF586" s="103">
        <v>0</v>
      </c>
      <c r="AG586" s="103"/>
      <c r="AH586" s="103">
        <v>1</v>
      </c>
      <c r="AI586" s="103"/>
      <c r="AJ586" s="103">
        <v>0</v>
      </c>
      <c r="AK586" s="104">
        <f t="shared" si="608"/>
        <v>1</v>
      </c>
      <c r="AL586" s="87" t="str">
        <f t="shared" si="607"/>
        <v>ok</v>
      </c>
    </row>
    <row r="587" spans="1:38" x14ac:dyDescent="0.5">
      <c r="A587" s="86" t="s">
        <v>193</v>
      </c>
      <c r="C587" s="86" t="s">
        <v>548</v>
      </c>
      <c r="D587" s="314"/>
      <c r="E587" s="45"/>
      <c r="F587" s="90">
        <v>1169477392</v>
      </c>
      <c r="G587" s="90"/>
      <c r="H587" s="90">
        <f t="shared" ref="H587:M587" si="621">H36+H37</f>
        <v>0</v>
      </c>
      <c r="I587" s="90">
        <f t="shared" si="621"/>
        <v>0</v>
      </c>
      <c r="J587" s="90">
        <f t="shared" si="621"/>
        <v>0</v>
      </c>
      <c r="K587" s="90">
        <f t="shared" si="621"/>
        <v>0</v>
      </c>
      <c r="L587" s="90">
        <f t="shared" si="621"/>
        <v>0</v>
      </c>
      <c r="M587" s="90">
        <f t="shared" si="621"/>
        <v>0</v>
      </c>
      <c r="N587" s="90"/>
      <c r="O587" s="90">
        <f>O36+O37</f>
        <v>0</v>
      </c>
      <c r="P587" s="90">
        <f>P36+P37</f>
        <v>0</v>
      </c>
      <c r="Q587" s="90">
        <f>Q36+Q37</f>
        <v>0</v>
      </c>
      <c r="R587" s="90"/>
      <c r="S587" s="90">
        <f t="shared" ref="S587:AD587" si="622">S36+S37</f>
        <v>0</v>
      </c>
      <c r="T587" s="90">
        <f t="shared" si="622"/>
        <v>0</v>
      </c>
      <c r="U587" s="90">
        <f t="shared" si="622"/>
        <v>0</v>
      </c>
      <c r="V587" s="90">
        <f t="shared" si="622"/>
        <v>271796970.41376358</v>
      </c>
      <c r="W587" s="90">
        <f t="shared" si="622"/>
        <v>528309480.61653644</v>
      </c>
      <c r="X587" s="90">
        <f t="shared" si="622"/>
        <v>122358837.9459364</v>
      </c>
      <c r="Y587" s="90">
        <f t="shared" si="622"/>
        <v>247012103.02376354</v>
      </c>
      <c r="Z587" s="90">
        <f t="shared" si="622"/>
        <v>0</v>
      </c>
      <c r="AA587" s="90">
        <f t="shared" si="622"/>
        <v>0</v>
      </c>
      <c r="AB587" s="90">
        <f t="shared" si="622"/>
        <v>0</v>
      </c>
      <c r="AC587" s="90">
        <f t="shared" si="622"/>
        <v>0</v>
      </c>
      <c r="AD587" s="90">
        <f t="shared" si="622"/>
        <v>0</v>
      </c>
      <c r="AE587" s="90"/>
      <c r="AF587" s="90">
        <f>AF36+AF37</f>
        <v>0</v>
      </c>
      <c r="AG587" s="90"/>
      <c r="AH587" s="90">
        <f>AH36+AH37</f>
        <v>0</v>
      </c>
      <c r="AI587" s="90"/>
      <c r="AJ587" s="90">
        <f>AJ36+AJ37</f>
        <v>0</v>
      </c>
      <c r="AK587" s="90">
        <f>SUM(H587:AJ587)</f>
        <v>1169477392</v>
      </c>
      <c r="AL587" s="87" t="str">
        <f t="shared" si="607"/>
        <v>ok</v>
      </c>
    </row>
    <row r="588" spans="1:38" x14ac:dyDescent="0.5">
      <c r="D588" s="314"/>
      <c r="E588" s="45"/>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87"/>
    </row>
    <row r="589" spans="1:38" x14ac:dyDescent="0.5">
      <c r="A589" s="86" t="s">
        <v>422</v>
      </c>
      <c r="D589" s="314" t="s">
        <v>706</v>
      </c>
      <c r="E589" s="45"/>
      <c r="F589" s="90">
        <f>'Jurisdictional Study'!F1027</f>
        <v>9604907</v>
      </c>
      <c r="G589" s="90"/>
      <c r="H589" s="90">
        <f>IF(VLOOKUP($D589,$C$5:$AJ$596,6,)=0,0,((VLOOKUP($D589,$C$5:$AJ$596,6,)/VLOOKUP($D589,$C$5:$AJ$596,4,))*$F589))</f>
        <v>9604907</v>
      </c>
      <c r="I589" s="90">
        <f>IF(VLOOKUP($D589,$C$5:$AJ$596,7,)=0,0,((VLOOKUP($D589,$C$5:$AJ$596,7,)/VLOOKUP($D589,$C$5:$AJ$596,4,))*$F589))</f>
        <v>0</v>
      </c>
      <c r="J589" s="90">
        <f>IF(VLOOKUP($D589,$C$5:$AJ$596,8,)=0,0,((VLOOKUP($D589,$C$5:$AJ$596,8,)/VLOOKUP($D589,$C$5:$AJ$596,4,))*$F589))</f>
        <v>0</v>
      </c>
      <c r="K589" s="90">
        <f>IF(VLOOKUP($D589,$C$5:$AJ$596,9,)=0,0,((VLOOKUP($D589,$C$5:$AJ$596,9,)/VLOOKUP($D589,$C$5:$AJ$596,4,))*$F589))</f>
        <v>0</v>
      </c>
      <c r="L589" s="90">
        <f>IF(VLOOKUP($D589,$C$5:$AJ$596,10,)=0,0,((VLOOKUP($D589,$C$5:$AJ$596,10,)/VLOOKUP($D589,$C$5:$AJ$596,4,))*$F589))</f>
        <v>0</v>
      </c>
      <c r="M589" s="90">
        <f>IF(VLOOKUP($D589,$C$5:$AJ$596,11,)=0,0,((VLOOKUP($D589,$C$5:$AJ$596,11,)/VLOOKUP($D589,$C$5:$AJ$596,4,))*$F589))</f>
        <v>0</v>
      </c>
      <c r="N589" s="90"/>
      <c r="O589" s="90">
        <f>IF(VLOOKUP($D589,$C$5:$AJ$596,13,)=0,0,((VLOOKUP($D589,$C$5:$AJ$596,13,)/VLOOKUP($D589,$C$5:$AJ$596,4,))*$F589))</f>
        <v>0</v>
      </c>
      <c r="P589" s="90">
        <f>IF(VLOOKUP($D589,$C$5:$AJ$596,14,)=0,0,((VLOOKUP($D589,$C$5:$AJ$596,14,)/VLOOKUP($D589,$C$5:$AJ$596,4,))*$F589))</f>
        <v>0</v>
      </c>
      <c r="Q589" s="90">
        <f>IF(VLOOKUP($D589,$C$5:$AJ$596,15,)=0,0,((VLOOKUP($D589,$C$5:$AJ$596,15,)/VLOOKUP($D589,$C$5:$AJ$596,4,))*$F589))</f>
        <v>0</v>
      </c>
      <c r="R589" s="90"/>
      <c r="S589" s="90">
        <f>IF(VLOOKUP($D589,$C$5:$AJ$596,17,)=0,0,((VLOOKUP($D589,$C$5:$AJ$596,17,)/VLOOKUP($D589,$C$5:$AJ$596,4,))*$F589))</f>
        <v>0</v>
      </c>
      <c r="T589" s="90">
        <f>IF(VLOOKUP($D589,$C$5:$AJ$596,18,)=0,0,((VLOOKUP($D589,$C$5:$AJ$596,18,)/VLOOKUP($D589,$C$5:$AJ$596,4,))*$F589))</f>
        <v>0</v>
      </c>
      <c r="U589" s="90">
        <f>IF(VLOOKUP($D589,$C$5:$AJ$596,19,)=0,0,((VLOOKUP($D589,$C$5:$AJ$596,19,)/VLOOKUP($D589,$C$5:$AJ$596,4,))*$F589))</f>
        <v>0</v>
      </c>
      <c r="V589" s="90">
        <f>IF(VLOOKUP($D589,$C$5:$AJ$596,20,)=0,0,((VLOOKUP($D589,$C$5:$AJ$596,20,)/VLOOKUP($D589,$C$5:$AJ$596,4,))*$F589))</f>
        <v>0</v>
      </c>
      <c r="W589" s="90">
        <f>IF(VLOOKUP($D589,$C$5:$AJ$596,21,)=0,0,((VLOOKUP($D589,$C$5:$AJ$596,21,)/VLOOKUP($D589,$C$5:$AJ$596,4,))*$F589))</f>
        <v>0</v>
      </c>
      <c r="X589" s="90">
        <f>IF(VLOOKUP($D589,$C$5:$AJ$596,22,)=0,0,((VLOOKUP($D589,$C$5:$AJ$596,22,)/VLOOKUP($D589,$C$5:$AJ$596,4,))*$F589))</f>
        <v>0</v>
      </c>
      <c r="Y589" s="90">
        <f>IF(VLOOKUP($D589,$C$5:$AJ$596,23,)=0,0,((VLOOKUP($D589,$C$5:$AJ$596,23,)/VLOOKUP($D589,$C$5:$AJ$596,4,))*$F589))</f>
        <v>0</v>
      </c>
      <c r="Z589" s="90">
        <f>IF(VLOOKUP($D589,$C$5:$AJ$596,24,)=0,0,((VLOOKUP($D589,$C$5:$AJ$596,24,)/VLOOKUP($D589,$C$5:$AJ$596,4,))*$F589))</f>
        <v>0</v>
      </c>
      <c r="AA589" s="90">
        <f>IF(VLOOKUP($D589,$C$5:$AJ$596,25,)=0,0,((VLOOKUP($D589,$C$5:$AJ$596,25,)/VLOOKUP($D589,$C$5:$AJ$596,4,))*$F589))</f>
        <v>0</v>
      </c>
      <c r="AB589" s="90">
        <f>IF(VLOOKUP($D589,$C$5:$AJ$596,26,)=0,0,((VLOOKUP($D589,$C$5:$AJ$596,26,)/VLOOKUP($D589,$C$5:$AJ$596,4,))*$F589))</f>
        <v>0</v>
      </c>
      <c r="AC589" s="90">
        <f>IF(VLOOKUP($D589,$C$5:$AJ$596,27,)=0,0,((VLOOKUP($D589,$C$5:$AJ$596,27,)/VLOOKUP($D589,$C$5:$AJ$596,4,))*$F589))</f>
        <v>0</v>
      </c>
      <c r="AD589" s="90">
        <f>IF(VLOOKUP($D589,$C$5:$AJ$596,28,)=0,0,((VLOOKUP($D589,$C$5:$AJ$596,28,)/VLOOKUP($D589,$C$5:$AJ$596,4,))*$F589))</f>
        <v>0</v>
      </c>
      <c r="AE589" s="90"/>
      <c r="AF589" s="90">
        <f>IF(VLOOKUP($D589,$C$5:$AJ$596,30,)=0,0,((VLOOKUP($D589,$C$5:$AJ$596,30,)/VLOOKUP($D589,$C$5:$AJ$596,4,))*$F589))</f>
        <v>0</v>
      </c>
      <c r="AG589" s="90"/>
      <c r="AH589" s="90">
        <f>IF(VLOOKUP($D589,$C$5:$AJ$596,32,)=0,0,((VLOOKUP($D589,$C$5:$AJ$596,32,)/VLOOKUP($D589,$C$5:$AJ$596,4,))*$F589))</f>
        <v>0</v>
      </c>
      <c r="AI589" s="90"/>
      <c r="AJ589" s="90">
        <f>IF(VLOOKUP($D589,$C$5:$AJ$596,34,)=0,0,((VLOOKUP($D589,$C$5:$AJ$596,34,)/VLOOKUP($D589,$C$5:$AJ$596,4,))*$F589))</f>
        <v>0</v>
      </c>
      <c r="AK589" s="90">
        <f>SUM(H589:AJ589)</f>
        <v>9604907</v>
      </c>
      <c r="AL589" s="87" t="str">
        <f>IF(ABS(AK589-F589)&lt;1,"ok","err")</f>
        <v>ok</v>
      </c>
    </row>
    <row r="590" spans="1:38" x14ac:dyDescent="0.5">
      <c r="A590" s="86" t="s">
        <v>423</v>
      </c>
      <c r="D590" s="314" t="s">
        <v>726</v>
      </c>
      <c r="E590" s="45"/>
      <c r="F590" s="90">
        <f>'Jurisdictional Study'!F1028</f>
        <v>39102871</v>
      </c>
      <c r="G590" s="103"/>
      <c r="H590" s="90">
        <f>IF(VLOOKUP($D590,$C$5:$AJ$596,6,)=0,0,((VLOOKUP($D590,$C$5:$AJ$596,6,)/VLOOKUP($D590,$C$5:$AJ$596,4,))*$F590))</f>
        <v>0</v>
      </c>
      <c r="I590" s="90">
        <f>IF(VLOOKUP($D590,$C$5:$AJ$596,7,)=0,0,((VLOOKUP($D590,$C$5:$AJ$596,7,)/VLOOKUP($D590,$C$5:$AJ$596,4,))*$F590))</f>
        <v>0</v>
      </c>
      <c r="J590" s="90">
        <f>IF(VLOOKUP($D590,$C$5:$AJ$596,8,)=0,0,((VLOOKUP($D590,$C$5:$AJ$596,8,)/VLOOKUP($D590,$C$5:$AJ$596,4,))*$F590))</f>
        <v>0</v>
      </c>
      <c r="K590" s="90">
        <f>IF(VLOOKUP($D590,$C$5:$AJ$596,9,)=0,0,((VLOOKUP($D590,$C$5:$AJ$596,9,)/VLOOKUP($D590,$C$5:$AJ$596,4,))*$F590))</f>
        <v>39102871</v>
      </c>
      <c r="L590" s="90">
        <f>IF(VLOOKUP($D590,$C$5:$AJ$596,10,)=0,0,((VLOOKUP($D590,$C$5:$AJ$596,10,)/VLOOKUP($D590,$C$5:$AJ$596,4,))*$F590))</f>
        <v>0</v>
      </c>
      <c r="M590" s="90">
        <f>IF(VLOOKUP($D590,$C$5:$AJ$596,11,)=0,0,((VLOOKUP($D590,$C$5:$AJ$596,11,)/VLOOKUP($D590,$C$5:$AJ$596,4,))*$F590))</f>
        <v>0</v>
      </c>
      <c r="N590" s="90"/>
      <c r="O590" s="90">
        <f>IF(VLOOKUP($D590,$C$5:$AJ$596,13,)=0,0,((VLOOKUP($D590,$C$5:$AJ$596,13,)/VLOOKUP($D590,$C$5:$AJ$596,4,))*$F590))</f>
        <v>0</v>
      </c>
      <c r="P590" s="90">
        <f>IF(VLOOKUP($D590,$C$5:$AJ$596,14,)=0,0,((VLOOKUP($D590,$C$5:$AJ$596,14,)/VLOOKUP($D590,$C$5:$AJ$596,4,))*$F590))</f>
        <v>0</v>
      </c>
      <c r="Q590" s="90">
        <f>IF(VLOOKUP($D590,$C$5:$AJ$596,15,)=0,0,((VLOOKUP($D590,$C$5:$AJ$596,15,)/VLOOKUP($D590,$C$5:$AJ$596,4,))*$F590))</f>
        <v>0</v>
      </c>
      <c r="R590" s="90"/>
      <c r="S590" s="90">
        <f>IF(VLOOKUP($D590,$C$5:$AJ$596,17,)=0,0,((VLOOKUP($D590,$C$5:$AJ$596,17,)/VLOOKUP($D590,$C$5:$AJ$596,4,))*$F590))</f>
        <v>0</v>
      </c>
      <c r="T590" s="90">
        <f>IF(VLOOKUP($D590,$C$5:$AJ$596,18,)=0,0,((VLOOKUP($D590,$C$5:$AJ$596,18,)/VLOOKUP($D590,$C$5:$AJ$596,4,))*$F590))</f>
        <v>0</v>
      </c>
      <c r="U590" s="90">
        <f>IF(VLOOKUP($D590,$C$5:$AJ$596,19,)=0,0,((VLOOKUP($D590,$C$5:$AJ$596,19,)/VLOOKUP($D590,$C$5:$AJ$596,4,))*$F590))</f>
        <v>0</v>
      </c>
      <c r="V590" s="90">
        <f>IF(VLOOKUP($D590,$C$5:$AJ$596,20,)=0,0,((VLOOKUP($D590,$C$5:$AJ$596,20,)/VLOOKUP($D590,$C$5:$AJ$596,4,))*$F590))</f>
        <v>0</v>
      </c>
      <c r="W590" s="90">
        <f>IF(VLOOKUP($D590,$C$5:$AJ$596,21,)=0,0,((VLOOKUP($D590,$C$5:$AJ$596,21,)/VLOOKUP($D590,$C$5:$AJ$596,4,))*$F590))</f>
        <v>0</v>
      </c>
      <c r="X590" s="90">
        <f>IF(VLOOKUP($D590,$C$5:$AJ$596,22,)=0,0,((VLOOKUP($D590,$C$5:$AJ$596,22,)/VLOOKUP($D590,$C$5:$AJ$596,4,))*$F590))</f>
        <v>0</v>
      </c>
      <c r="Y590" s="90">
        <f>IF(VLOOKUP($D590,$C$5:$AJ$596,23,)=0,0,((VLOOKUP($D590,$C$5:$AJ$596,23,)/VLOOKUP($D590,$C$5:$AJ$596,4,))*$F590))</f>
        <v>0</v>
      </c>
      <c r="Z590" s="90">
        <f>IF(VLOOKUP($D590,$C$5:$AJ$596,24,)=0,0,((VLOOKUP($D590,$C$5:$AJ$596,24,)/VLOOKUP($D590,$C$5:$AJ$596,4,))*$F590))</f>
        <v>0</v>
      </c>
      <c r="AA590" s="90">
        <f>IF(VLOOKUP($D590,$C$5:$AJ$596,25,)=0,0,((VLOOKUP($D590,$C$5:$AJ$596,25,)/VLOOKUP($D590,$C$5:$AJ$596,4,))*$F590))</f>
        <v>0</v>
      </c>
      <c r="AB590" s="90">
        <f>IF(VLOOKUP($D590,$C$5:$AJ$596,26,)=0,0,((VLOOKUP($D590,$C$5:$AJ$596,26,)/VLOOKUP($D590,$C$5:$AJ$596,4,))*$F590))</f>
        <v>0</v>
      </c>
      <c r="AC590" s="90">
        <f>IF(VLOOKUP($D590,$C$5:$AJ$596,27,)=0,0,((VLOOKUP($D590,$C$5:$AJ$596,27,)/VLOOKUP($D590,$C$5:$AJ$596,4,))*$F590))</f>
        <v>0</v>
      </c>
      <c r="AD590" s="90">
        <f>IF(VLOOKUP($D590,$C$5:$AJ$596,28,)=0,0,((VLOOKUP($D590,$C$5:$AJ$596,28,)/VLOOKUP($D590,$C$5:$AJ$596,4,))*$F590))</f>
        <v>0</v>
      </c>
      <c r="AE590" s="90"/>
      <c r="AF590" s="90">
        <f>IF(VLOOKUP($D590,$C$5:$AJ$596,30,)=0,0,((VLOOKUP($D590,$C$5:$AJ$596,30,)/VLOOKUP($D590,$C$5:$AJ$596,4,))*$F590))</f>
        <v>0</v>
      </c>
      <c r="AG590" s="90"/>
      <c r="AH590" s="90">
        <f>IF(VLOOKUP($D590,$C$5:$AJ$596,32,)=0,0,((VLOOKUP($D590,$C$5:$AJ$596,32,)/VLOOKUP($D590,$C$5:$AJ$596,4,))*$F590))</f>
        <v>0</v>
      </c>
      <c r="AI590" s="90"/>
      <c r="AJ590" s="90">
        <f>IF(VLOOKUP($D590,$C$5:$AJ$596,34,)=0,0,((VLOOKUP($D590,$C$5:$AJ$596,34,)/VLOOKUP($D590,$C$5:$AJ$596,4,))*$F590))</f>
        <v>0</v>
      </c>
      <c r="AK590" s="90">
        <f>SUM(H590:AJ590)</f>
        <v>39102871</v>
      </c>
      <c r="AL590" s="87" t="str">
        <f>IF(ABS(AK590-F590)&lt;1,"ok","err")</f>
        <v>ok</v>
      </c>
    </row>
    <row r="591" spans="1:38" x14ac:dyDescent="0.5">
      <c r="A591" s="23" t="s">
        <v>480</v>
      </c>
      <c r="C591" s="86" t="s">
        <v>779</v>
      </c>
      <c r="D591" s="314" t="s">
        <v>706</v>
      </c>
      <c r="E591" s="45"/>
      <c r="F591" s="90">
        <f>'Jurisdictional Study'!F1029</f>
        <v>48707778</v>
      </c>
      <c r="G591" s="90"/>
      <c r="H591" s="90">
        <f>H589+H590</f>
        <v>9604907</v>
      </c>
      <c r="I591" s="90">
        <f>I589+I590</f>
        <v>0</v>
      </c>
      <c r="J591" s="90">
        <f>J589+J590</f>
        <v>0</v>
      </c>
      <c r="K591" s="90">
        <f>K589+K590</f>
        <v>39102871</v>
      </c>
      <c r="L591" s="90">
        <f t="shared" ref="L591:AJ591" si="623">L589+L590</f>
        <v>0</v>
      </c>
      <c r="M591" s="90">
        <f t="shared" si="623"/>
        <v>0</v>
      </c>
      <c r="N591" s="90"/>
      <c r="O591" s="90">
        <f t="shared" si="623"/>
        <v>0</v>
      </c>
      <c r="P591" s="90">
        <f t="shared" si="623"/>
        <v>0</v>
      </c>
      <c r="Q591" s="90">
        <f t="shared" si="623"/>
        <v>0</v>
      </c>
      <c r="R591" s="90"/>
      <c r="S591" s="90">
        <f t="shared" si="623"/>
        <v>0</v>
      </c>
      <c r="T591" s="90">
        <f t="shared" si="623"/>
        <v>0</v>
      </c>
      <c r="U591" s="90">
        <f t="shared" si="623"/>
        <v>0</v>
      </c>
      <c r="V591" s="90">
        <f t="shared" si="623"/>
        <v>0</v>
      </c>
      <c r="W591" s="90">
        <f t="shared" si="623"/>
        <v>0</v>
      </c>
      <c r="X591" s="90">
        <f t="shared" si="623"/>
        <v>0</v>
      </c>
      <c r="Y591" s="90">
        <f t="shared" si="623"/>
        <v>0</v>
      </c>
      <c r="Z591" s="90">
        <f t="shared" si="623"/>
        <v>0</v>
      </c>
      <c r="AA591" s="90">
        <f t="shared" si="623"/>
        <v>0</v>
      </c>
      <c r="AB591" s="90">
        <f t="shared" si="623"/>
        <v>0</v>
      </c>
      <c r="AC591" s="90">
        <f t="shared" si="623"/>
        <v>0</v>
      </c>
      <c r="AD591" s="90">
        <f t="shared" si="623"/>
        <v>0</v>
      </c>
      <c r="AE591" s="90">
        <f t="shared" si="623"/>
        <v>0</v>
      </c>
      <c r="AF591" s="90">
        <f t="shared" si="623"/>
        <v>0</v>
      </c>
      <c r="AG591" s="90">
        <f t="shared" si="623"/>
        <v>0</v>
      </c>
      <c r="AH591" s="90">
        <f t="shared" si="623"/>
        <v>0</v>
      </c>
      <c r="AI591" s="90">
        <f t="shared" si="623"/>
        <v>0</v>
      </c>
      <c r="AJ591" s="90">
        <f t="shared" si="623"/>
        <v>0</v>
      </c>
      <c r="AK591" s="90">
        <f>SUM(H591:AJ591)</f>
        <v>48707778</v>
      </c>
      <c r="AL591" s="87" t="str">
        <f>IF(ABS(AK591-F591)&lt;1,"ok","err")</f>
        <v>ok</v>
      </c>
    </row>
    <row r="592" spans="1:38" x14ac:dyDescent="0.5">
      <c r="D592" s="314"/>
      <c r="E592" s="45"/>
      <c r="Y592" s="86"/>
      <c r="AL592" s="87"/>
    </row>
    <row r="593" spans="1:38" x14ac:dyDescent="0.5">
      <c r="A593" s="86" t="s">
        <v>705</v>
      </c>
      <c r="C593" s="86" t="s">
        <v>1030</v>
      </c>
      <c r="D593" s="314"/>
      <c r="E593" s="45"/>
      <c r="F593" s="106">
        <v>1</v>
      </c>
      <c r="H593" s="90">
        <v>0</v>
      </c>
      <c r="I593" s="90">
        <v>0</v>
      </c>
      <c r="J593" s="90">
        <v>0</v>
      </c>
      <c r="K593" s="107">
        <v>1</v>
      </c>
      <c r="L593" s="90">
        <v>0</v>
      </c>
      <c r="M593" s="107">
        <v>0</v>
      </c>
      <c r="O593" s="90">
        <v>0</v>
      </c>
      <c r="P593" s="90">
        <v>0</v>
      </c>
      <c r="Q593" s="90">
        <v>0</v>
      </c>
      <c r="S593" s="90">
        <v>0</v>
      </c>
      <c r="T593" s="90">
        <v>0</v>
      </c>
      <c r="U593" s="90">
        <v>0</v>
      </c>
      <c r="V593" s="90">
        <v>0</v>
      </c>
      <c r="W593" s="90">
        <v>0</v>
      </c>
      <c r="X593" s="90">
        <v>0</v>
      </c>
      <c r="Y593" s="90">
        <v>0</v>
      </c>
      <c r="Z593" s="90">
        <v>0</v>
      </c>
      <c r="AA593" s="90">
        <v>0</v>
      </c>
      <c r="AB593" s="90">
        <v>0</v>
      </c>
      <c r="AC593" s="90">
        <v>0</v>
      </c>
      <c r="AD593" s="90">
        <v>0</v>
      </c>
      <c r="AF593" s="106">
        <v>0</v>
      </c>
      <c r="AH593" s="90">
        <v>0</v>
      </c>
      <c r="AJ593" s="90">
        <v>0</v>
      </c>
      <c r="AK593" s="104">
        <f>SUM(H593:AJ593)</f>
        <v>1</v>
      </c>
      <c r="AL593" s="87" t="str">
        <f>IF(ABS(AK593-F593)&lt;1,"ok","err")</f>
        <v>ok</v>
      </c>
    </row>
    <row r="594" spans="1:38" x14ac:dyDescent="0.5">
      <c r="A594" s="86" t="s">
        <v>1032</v>
      </c>
      <c r="C594" s="86" t="s">
        <v>1031</v>
      </c>
      <c r="D594" s="45"/>
      <c r="E594" s="45"/>
      <c r="F594" s="106">
        <v>1</v>
      </c>
      <c r="H594" s="90">
        <v>0</v>
      </c>
      <c r="I594" s="90">
        <v>0</v>
      </c>
      <c r="J594" s="90">
        <v>0</v>
      </c>
      <c r="K594" s="90">
        <v>0</v>
      </c>
      <c r="L594" s="90">
        <v>0</v>
      </c>
      <c r="M594" s="90">
        <v>0</v>
      </c>
      <c r="O594" s="90">
        <v>0</v>
      </c>
      <c r="P594" s="90">
        <v>0</v>
      </c>
      <c r="Q594" s="90">
        <v>0</v>
      </c>
      <c r="S594" s="90">
        <v>0</v>
      </c>
      <c r="T594" s="90">
        <v>0</v>
      </c>
      <c r="U594" s="90">
        <v>0</v>
      </c>
      <c r="V594" s="90">
        <v>0</v>
      </c>
      <c r="W594" s="90">
        <v>0</v>
      </c>
      <c r="X594" s="90">
        <v>0</v>
      </c>
      <c r="Y594" s="90">
        <v>0</v>
      </c>
      <c r="Z594" s="90">
        <v>0</v>
      </c>
      <c r="AA594" s="90">
        <v>0</v>
      </c>
      <c r="AB594" s="90">
        <v>0</v>
      </c>
      <c r="AC594" s="90">
        <v>0</v>
      </c>
      <c r="AD594" s="90">
        <v>0</v>
      </c>
      <c r="AF594" s="106">
        <v>1</v>
      </c>
      <c r="AH594" s="90">
        <v>0</v>
      </c>
      <c r="AJ594" s="90">
        <v>0</v>
      </c>
      <c r="AK594" s="104">
        <f>SUM(H594:AJ594)</f>
        <v>1</v>
      </c>
      <c r="AL594" s="87" t="str">
        <f>IF(ABS(AK594-F594)&lt;1,"ok","err")</f>
        <v>ok</v>
      </c>
    </row>
    <row r="595" spans="1:38" x14ac:dyDescent="0.5">
      <c r="A595" s="86" t="s">
        <v>1035</v>
      </c>
      <c r="C595" s="86" t="s">
        <v>1034</v>
      </c>
      <c r="D595" s="314"/>
      <c r="E595" s="45"/>
      <c r="F595" s="103">
        <v>1</v>
      </c>
      <c r="G595" s="103"/>
      <c r="H595" s="104">
        <v>0</v>
      </c>
      <c r="I595" s="104">
        <v>0</v>
      </c>
      <c r="J595" s="104">
        <v>0</v>
      </c>
      <c r="K595" s="104">
        <v>0</v>
      </c>
      <c r="L595" s="104">
        <v>0</v>
      </c>
      <c r="M595" s="104">
        <v>1</v>
      </c>
      <c r="N595" s="104"/>
      <c r="O595" s="104">
        <v>0</v>
      </c>
      <c r="P595" s="104">
        <v>0</v>
      </c>
      <c r="Q595" s="104">
        <v>0</v>
      </c>
      <c r="R595" s="103"/>
      <c r="S595" s="104">
        <v>0</v>
      </c>
      <c r="T595" s="104">
        <v>0</v>
      </c>
      <c r="U595" s="104">
        <v>0</v>
      </c>
      <c r="V595" s="104">
        <v>0</v>
      </c>
      <c r="W595" s="104">
        <v>0</v>
      </c>
      <c r="X595" s="104">
        <v>0</v>
      </c>
      <c r="Y595" s="104">
        <v>0</v>
      </c>
      <c r="Z595" s="103">
        <v>0</v>
      </c>
      <c r="AA595" s="103">
        <v>0</v>
      </c>
      <c r="AB595" s="103">
        <v>0</v>
      </c>
      <c r="AC595" s="103">
        <v>0</v>
      </c>
      <c r="AD595" s="103">
        <v>0</v>
      </c>
      <c r="AE595" s="103"/>
      <c r="AF595" s="103">
        <v>0</v>
      </c>
      <c r="AG595" s="103"/>
      <c r="AH595" s="103">
        <v>0</v>
      </c>
      <c r="AI595" s="103"/>
      <c r="AJ595" s="103">
        <v>0</v>
      </c>
      <c r="AK595" s="104">
        <f>SUM(H595:AJ595)</f>
        <v>1</v>
      </c>
      <c r="AL595" s="87" t="str">
        <f>IF(ABS(AK595-F595)&lt;0.0000001,"ok","err")</f>
        <v>ok</v>
      </c>
    </row>
    <row r="596" spans="1:38" x14ac:dyDescent="0.5">
      <c r="C596" s="86" t="s">
        <v>104</v>
      </c>
      <c r="D596" s="45"/>
      <c r="E596" s="45"/>
      <c r="F596" s="103">
        <v>1</v>
      </c>
      <c r="G596" s="103"/>
      <c r="H596" s="104">
        <v>0</v>
      </c>
      <c r="I596" s="104">
        <v>0</v>
      </c>
      <c r="J596" s="104">
        <v>0</v>
      </c>
      <c r="K596" s="104">
        <v>1</v>
      </c>
      <c r="L596" s="104">
        <v>0</v>
      </c>
      <c r="M596" s="104">
        <v>0</v>
      </c>
      <c r="N596" s="104"/>
      <c r="O596" s="104">
        <v>0</v>
      </c>
      <c r="P596" s="104">
        <v>0</v>
      </c>
      <c r="Q596" s="104">
        <v>0</v>
      </c>
      <c r="R596" s="103"/>
      <c r="S596" s="104">
        <v>0</v>
      </c>
      <c r="T596" s="104">
        <v>0</v>
      </c>
      <c r="U596" s="104">
        <v>0</v>
      </c>
      <c r="V596" s="104">
        <v>0</v>
      </c>
      <c r="W596" s="104">
        <v>0</v>
      </c>
      <c r="X596" s="104">
        <v>0</v>
      </c>
      <c r="Y596" s="104">
        <v>0</v>
      </c>
      <c r="Z596" s="103">
        <v>0</v>
      </c>
      <c r="AA596" s="103">
        <v>0</v>
      </c>
      <c r="AB596" s="103">
        <v>0</v>
      </c>
      <c r="AC596" s="103">
        <v>0</v>
      </c>
      <c r="AD596" s="103">
        <v>0</v>
      </c>
      <c r="AE596" s="103"/>
      <c r="AF596" s="103">
        <v>0</v>
      </c>
      <c r="AG596" s="103"/>
      <c r="AH596" s="103">
        <v>0</v>
      </c>
      <c r="AI596" s="103"/>
      <c r="AJ596" s="103">
        <v>0</v>
      </c>
      <c r="AK596" s="104">
        <f>SUM(H596:AJ596)</f>
        <v>1</v>
      </c>
      <c r="AL596" s="87" t="str">
        <f>IF(ABS(AK596-F596)&lt;0.0000001,"ok","err")</f>
        <v>ok</v>
      </c>
    </row>
    <row r="597" spans="1:38" x14ac:dyDescent="0.5">
      <c r="A597" s="23" t="s">
        <v>427</v>
      </c>
      <c r="D597" s="45"/>
      <c r="E597" s="45"/>
      <c r="AL597" s="87"/>
    </row>
    <row r="598" spans="1:38" x14ac:dyDescent="0.5">
      <c r="A598" s="86" t="s">
        <v>192</v>
      </c>
      <c r="D598" s="45" t="s">
        <v>471</v>
      </c>
      <c r="E598" s="45"/>
      <c r="F598" s="103">
        <v>1</v>
      </c>
      <c r="H598" s="107">
        <f t="shared" ref="H598:M598" si="624">H47/$F$47</f>
        <v>0.62932543667425145</v>
      </c>
      <c r="I598" s="107">
        <f t="shared" si="624"/>
        <v>0</v>
      </c>
      <c r="J598" s="107">
        <f t="shared" si="624"/>
        <v>0</v>
      </c>
      <c r="K598" s="107">
        <f t="shared" si="624"/>
        <v>0</v>
      </c>
      <c r="L598" s="107">
        <f t="shared" si="624"/>
        <v>0</v>
      </c>
      <c r="M598" s="107">
        <f t="shared" si="624"/>
        <v>0</v>
      </c>
      <c r="N598" s="107"/>
      <c r="O598" s="107">
        <f>O47/$F$47</f>
        <v>0.13622673983495392</v>
      </c>
      <c r="P598" s="107">
        <f>P47/$F$47</f>
        <v>0</v>
      </c>
      <c r="Q598" s="107">
        <f>Q47/$F$47</f>
        <v>0</v>
      </c>
      <c r="R598" s="107"/>
      <c r="S598" s="107">
        <f t="shared" ref="S598:AD598" si="625">S47/$F$47</f>
        <v>0</v>
      </c>
      <c r="T598" s="107">
        <f t="shared" si="625"/>
        <v>3.67496029427287E-2</v>
      </c>
      <c r="U598" s="107">
        <f t="shared" si="625"/>
        <v>0</v>
      </c>
      <c r="V598" s="107">
        <f t="shared" si="625"/>
        <v>2.9228918956532533E-2</v>
      </c>
      <c r="W598" s="107">
        <f t="shared" si="625"/>
        <v>5.6814154217395843E-2</v>
      </c>
      <c r="X598" s="107">
        <f t="shared" si="625"/>
        <v>1.3158412150410657E-2</v>
      </c>
      <c r="Y598" s="107">
        <f t="shared" si="625"/>
        <v>2.6563565920448683E-2</v>
      </c>
      <c r="Z598" s="107">
        <f t="shared" si="625"/>
        <v>1.9181468742767549E-2</v>
      </c>
      <c r="AA598" s="107">
        <f t="shared" si="625"/>
        <v>1.593648215734467E-2</v>
      </c>
      <c r="AB598" s="107">
        <f t="shared" si="625"/>
        <v>1.3436480780073147E-2</v>
      </c>
      <c r="AC598" s="107">
        <f t="shared" si="625"/>
        <v>7.9911964749581586E-3</v>
      </c>
      <c r="AD598" s="107">
        <f t="shared" si="625"/>
        <v>1.5387541148134707E-2</v>
      </c>
      <c r="AE598" s="107"/>
      <c r="AF598" s="107">
        <f>AF47/$F$47</f>
        <v>0</v>
      </c>
      <c r="AG598" s="107"/>
      <c r="AH598" s="107">
        <f>AH47/$F$47</f>
        <v>0</v>
      </c>
      <c r="AI598" s="107"/>
      <c r="AJ598" s="107">
        <f>AJ47/$F$47</f>
        <v>0</v>
      </c>
      <c r="AK598" s="104">
        <f t="shared" ref="AK598:AK616" si="626">SUM(H598:AJ598)</f>
        <v>1.0000000000000002</v>
      </c>
      <c r="AL598" s="87" t="str">
        <f t="shared" ref="AL598:AL616" si="627">IF(ABS(AK598-F598)&lt;0.0000001,"ok","err")</f>
        <v>ok</v>
      </c>
    </row>
    <row r="599" spans="1:38" x14ac:dyDescent="0.5">
      <c r="A599" s="86" t="s">
        <v>171</v>
      </c>
      <c r="D599" s="45" t="s">
        <v>109</v>
      </c>
      <c r="E599" s="45"/>
      <c r="F599" s="103">
        <v>1</v>
      </c>
      <c r="H599" s="107">
        <f t="shared" ref="H599:M599" si="628">H45/$F$45</f>
        <v>0</v>
      </c>
      <c r="I599" s="107">
        <f t="shared" si="628"/>
        <v>0</v>
      </c>
      <c r="J599" s="107">
        <f t="shared" si="628"/>
        <v>0</v>
      </c>
      <c r="K599" s="107">
        <f t="shared" si="628"/>
        <v>0</v>
      </c>
      <c r="L599" s="107">
        <f t="shared" si="628"/>
        <v>0</v>
      </c>
      <c r="M599" s="107">
        <f t="shared" si="628"/>
        <v>0</v>
      </c>
      <c r="N599" s="107"/>
      <c r="O599" s="107">
        <f>O45/$F$45</f>
        <v>0</v>
      </c>
      <c r="P599" s="107">
        <f>P45/$F$45</f>
        <v>0</v>
      </c>
      <c r="Q599" s="107">
        <f>Q45/$F$45</f>
        <v>0</v>
      </c>
      <c r="R599" s="107"/>
      <c r="S599" s="107">
        <f t="shared" ref="S599:AD599" si="629">S45/$F$45</f>
        <v>0</v>
      </c>
      <c r="T599" s="107">
        <f t="shared" si="629"/>
        <v>0.15674960166210131</v>
      </c>
      <c r="U599" s="107">
        <f t="shared" si="629"/>
        <v>0</v>
      </c>
      <c r="V599" s="107">
        <f t="shared" si="629"/>
        <v>0.12467131714566836</v>
      </c>
      <c r="W599" s="107">
        <f t="shared" si="629"/>
        <v>0.24233176222950345</v>
      </c>
      <c r="X599" s="107">
        <f t="shared" si="629"/>
        <v>5.6125119672639265E-2</v>
      </c>
      <c r="Y599" s="107">
        <f t="shared" si="629"/>
        <v>0.11330267658250055</v>
      </c>
      <c r="Z599" s="107">
        <f t="shared" si="629"/>
        <v>8.181551211338367E-2</v>
      </c>
      <c r="AA599" s="107">
        <f t="shared" si="629"/>
        <v>6.7974536594366808E-2</v>
      </c>
      <c r="AB599" s="107">
        <f t="shared" si="629"/>
        <v>5.7311177301676744E-2</v>
      </c>
      <c r="AC599" s="107">
        <f t="shared" si="629"/>
        <v>3.408518089856323E-2</v>
      </c>
      <c r="AD599" s="107">
        <f t="shared" si="629"/>
        <v>6.5633115799596589E-2</v>
      </c>
      <c r="AE599" s="107"/>
      <c r="AF599" s="107">
        <f>AF45/$F$45</f>
        <v>0</v>
      </c>
      <c r="AG599" s="107"/>
      <c r="AH599" s="107">
        <f>AH45/$F$45</f>
        <v>0</v>
      </c>
      <c r="AI599" s="107"/>
      <c r="AJ599" s="107">
        <f>AJ45/$F$45</f>
        <v>0</v>
      </c>
      <c r="AK599" s="104">
        <f t="shared" si="626"/>
        <v>1</v>
      </c>
      <c r="AL599" s="87" t="str">
        <f t="shared" si="627"/>
        <v>ok</v>
      </c>
    </row>
    <row r="600" spans="1:38" x14ac:dyDescent="0.5">
      <c r="A600" s="86" t="s">
        <v>443</v>
      </c>
      <c r="D600" s="45" t="s">
        <v>469</v>
      </c>
      <c r="E600" s="45"/>
      <c r="F600" s="103">
        <v>1</v>
      </c>
      <c r="H600" s="107">
        <f t="shared" ref="H600:M600" si="630">H32/$F$32</f>
        <v>0</v>
      </c>
      <c r="I600" s="107">
        <f t="shared" si="630"/>
        <v>0</v>
      </c>
      <c r="J600" s="107">
        <f t="shared" si="630"/>
        <v>0</v>
      </c>
      <c r="K600" s="107">
        <f t="shared" si="630"/>
        <v>0</v>
      </c>
      <c r="L600" s="107">
        <f t="shared" si="630"/>
        <v>0</v>
      </c>
      <c r="M600" s="107">
        <f t="shared" si="630"/>
        <v>0</v>
      </c>
      <c r="N600" s="107"/>
      <c r="O600" s="107">
        <f>O32/$F$32</f>
        <v>1</v>
      </c>
      <c r="P600" s="107">
        <f>P32/$F$32</f>
        <v>0</v>
      </c>
      <c r="Q600" s="107">
        <f>Q32/$F$32</f>
        <v>0</v>
      </c>
      <c r="R600" s="107"/>
      <c r="S600" s="107">
        <f t="shared" ref="S600:AD600" si="631">S32/$F$32</f>
        <v>0</v>
      </c>
      <c r="T600" s="107">
        <f t="shared" si="631"/>
        <v>0</v>
      </c>
      <c r="U600" s="107">
        <f t="shared" si="631"/>
        <v>0</v>
      </c>
      <c r="V600" s="107">
        <f t="shared" si="631"/>
        <v>0</v>
      </c>
      <c r="W600" s="107">
        <f t="shared" si="631"/>
        <v>0</v>
      </c>
      <c r="X600" s="107">
        <f t="shared" si="631"/>
        <v>0</v>
      </c>
      <c r="Y600" s="107">
        <f t="shared" si="631"/>
        <v>0</v>
      </c>
      <c r="Z600" s="107">
        <f t="shared" si="631"/>
        <v>0</v>
      </c>
      <c r="AA600" s="107">
        <f t="shared" si="631"/>
        <v>0</v>
      </c>
      <c r="AB600" s="107">
        <f t="shared" si="631"/>
        <v>0</v>
      </c>
      <c r="AC600" s="107">
        <f t="shared" si="631"/>
        <v>0</v>
      </c>
      <c r="AD600" s="107">
        <f t="shared" si="631"/>
        <v>0</v>
      </c>
      <c r="AE600" s="107"/>
      <c r="AF600" s="107">
        <f>AF32/$F$32</f>
        <v>0</v>
      </c>
      <c r="AG600" s="107"/>
      <c r="AH600" s="107">
        <f>AH32/$F$32</f>
        <v>0</v>
      </c>
      <c r="AI600" s="107"/>
      <c r="AJ600" s="107">
        <f>AJ32/$F$32</f>
        <v>0</v>
      </c>
      <c r="AK600" s="104">
        <f t="shared" si="626"/>
        <v>1</v>
      </c>
      <c r="AL600" s="87" t="str">
        <f t="shared" si="627"/>
        <v>ok</v>
      </c>
    </row>
    <row r="601" spans="1:38" x14ac:dyDescent="0.5">
      <c r="A601" s="86" t="s">
        <v>1292</v>
      </c>
      <c r="D601" s="314" t="s">
        <v>770</v>
      </c>
      <c r="E601" s="45"/>
      <c r="F601" s="103">
        <v>1</v>
      </c>
      <c r="H601" s="107">
        <f t="shared" ref="H601:M601" si="632">H335/$F$335</f>
        <v>0.1465163409804523</v>
      </c>
      <c r="I601" s="107">
        <f t="shared" si="632"/>
        <v>0</v>
      </c>
      <c r="J601" s="107">
        <f t="shared" si="632"/>
        <v>0</v>
      </c>
      <c r="K601" s="107">
        <f t="shared" si="632"/>
        <v>0.61213006178968277</v>
      </c>
      <c r="L601" s="107">
        <f t="shared" si="632"/>
        <v>0</v>
      </c>
      <c r="M601" s="107">
        <f t="shared" si="632"/>
        <v>0</v>
      </c>
      <c r="N601" s="107"/>
      <c r="O601" s="107">
        <f>O335/$F$335</f>
        <v>6.8452160781644816E-2</v>
      </c>
      <c r="P601" s="107">
        <f>P335/$F$335</f>
        <v>0</v>
      </c>
      <c r="Q601" s="107">
        <f>Q335/$F$335</f>
        <v>0</v>
      </c>
      <c r="R601" s="107"/>
      <c r="S601" s="107">
        <f t="shared" ref="S601:AD601" si="633">S335/$F$335</f>
        <v>0</v>
      </c>
      <c r="T601" s="107">
        <f t="shared" si="633"/>
        <v>1.1001815112865344E-2</v>
      </c>
      <c r="U601" s="107">
        <f t="shared" si="633"/>
        <v>0</v>
      </c>
      <c r="V601" s="107">
        <f t="shared" si="633"/>
        <v>1.5364062014849324E-2</v>
      </c>
      <c r="W601" s="107">
        <f t="shared" si="633"/>
        <v>2.8197285342306991E-2</v>
      </c>
      <c r="X601" s="107">
        <f t="shared" si="633"/>
        <v>6.5913178410169629E-3</v>
      </c>
      <c r="Y601" s="107">
        <f t="shared" si="633"/>
        <v>1.2297070776245748E-2</v>
      </c>
      <c r="Z601" s="107">
        <f t="shared" si="633"/>
        <v>3.1387168405429175E-3</v>
      </c>
      <c r="AA601" s="107">
        <f t="shared" si="633"/>
        <v>2.6077307007644933E-3</v>
      </c>
      <c r="AB601" s="107">
        <f t="shared" si="633"/>
        <v>2.1503769558056788E-3</v>
      </c>
      <c r="AC601" s="107">
        <f t="shared" si="633"/>
        <v>1.367368672409061E-2</v>
      </c>
      <c r="AD601" s="107">
        <f t="shared" si="633"/>
        <v>2.4626250305461602E-3</v>
      </c>
      <c r="AE601" s="107"/>
      <c r="AF601" s="107">
        <f>AF335/$F$335</f>
        <v>6.691452606106825E-2</v>
      </c>
      <c r="AG601" s="107"/>
      <c r="AH601" s="107">
        <f>AH335/$F$335</f>
        <v>8.5022230481177317E-3</v>
      </c>
      <c r="AI601" s="107"/>
      <c r="AJ601" s="107">
        <f>AJ335/$F$335</f>
        <v>0</v>
      </c>
      <c r="AK601" s="104">
        <f t="shared" si="626"/>
        <v>1.0000000000000002</v>
      </c>
      <c r="AL601" s="87" t="str">
        <f t="shared" si="627"/>
        <v>ok</v>
      </c>
    </row>
    <row r="602" spans="1:38" x14ac:dyDescent="0.5">
      <c r="A602" s="86" t="s">
        <v>175</v>
      </c>
      <c r="D602" s="314" t="s">
        <v>176</v>
      </c>
      <c r="E602" s="45"/>
      <c r="F602" s="103">
        <v>1</v>
      </c>
      <c r="H602" s="107">
        <f t="shared" ref="H602:M602" si="634">H66/$F$66</f>
        <v>0.62927747848614124</v>
      </c>
      <c r="I602" s="107">
        <f t="shared" si="634"/>
        <v>0</v>
      </c>
      <c r="J602" s="107">
        <f t="shared" si="634"/>
        <v>0</v>
      </c>
      <c r="K602" s="107">
        <f t="shared" si="634"/>
        <v>0</v>
      </c>
      <c r="L602" s="107">
        <f t="shared" si="634"/>
        <v>0</v>
      </c>
      <c r="M602" s="107">
        <f t="shared" si="634"/>
        <v>0</v>
      </c>
      <c r="N602" s="107"/>
      <c r="O602" s="107">
        <f>O66/$F$66</f>
        <v>0.13620984533165031</v>
      </c>
      <c r="P602" s="107">
        <f>P66/$F$66</f>
        <v>0</v>
      </c>
      <c r="Q602" s="107">
        <f>Q66/$F$66</f>
        <v>0</v>
      </c>
      <c r="R602" s="107"/>
      <c r="S602" s="107">
        <f t="shared" ref="S602:AD602" si="635">S66/$F$66</f>
        <v>0</v>
      </c>
      <c r="T602" s="107">
        <f t="shared" si="635"/>
        <v>3.6759768576274519E-2</v>
      </c>
      <c r="U602" s="107">
        <f t="shared" si="635"/>
        <v>0</v>
      </c>
      <c r="V602" s="107">
        <f t="shared" si="635"/>
        <v>2.9237004226991534E-2</v>
      </c>
      <c r="W602" s="107">
        <f t="shared" si="635"/>
        <v>5.6829870084391471E-2</v>
      </c>
      <c r="X602" s="107">
        <f t="shared" si="635"/>
        <v>1.3162052015477347E-2</v>
      </c>
      <c r="Y602" s="107">
        <f t="shared" si="635"/>
        <v>2.6570913903969443E-2</v>
      </c>
      <c r="Z602" s="107">
        <f t="shared" si="635"/>
        <v>1.9186774698927496E-2</v>
      </c>
      <c r="AA602" s="107">
        <f t="shared" si="635"/>
        <v>1.594089048899042E-2</v>
      </c>
      <c r="AB602" s="107">
        <f t="shared" si="635"/>
        <v>1.344019756416925E-2</v>
      </c>
      <c r="AC602" s="107">
        <f t="shared" si="635"/>
        <v>7.9934069906767539E-3</v>
      </c>
      <c r="AD602" s="107">
        <f t="shared" si="635"/>
        <v>1.5391797632340179E-2</v>
      </c>
      <c r="AE602" s="107"/>
      <c r="AF602" s="107">
        <f>AF66/$F$66</f>
        <v>0</v>
      </c>
      <c r="AG602" s="107"/>
      <c r="AH602" s="107">
        <f>AH66/$F$66</f>
        <v>0</v>
      </c>
      <c r="AI602" s="107"/>
      <c r="AJ602" s="107">
        <f>AJ66/$F$66</f>
        <v>0</v>
      </c>
      <c r="AK602" s="104">
        <f t="shared" si="626"/>
        <v>0.99999999999999989</v>
      </c>
      <c r="AL602" s="87" t="str">
        <f t="shared" si="627"/>
        <v>ok</v>
      </c>
    </row>
    <row r="603" spans="1:38" x14ac:dyDescent="0.5">
      <c r="A603" s="86" t="s">
        <v>428</v>
      </c>
      <c r="D603" s="314" t="s">
        <v>1015</v>
      </c>
      <c r="E603" s="45"/>
      <c r="F603" s="103">
        <v>1</v>
      </c>
      <c r="H603" s="107">
        <f>H508/$F$508</f>
        <v>0.32986177216099272</v>
      </c>
      <c r="I603" s="107">
        <f t="shared" ref="I603:AJ603" si="636">I508/$F$508</f>
        <v>0</v>
      </c>
      <c r="J603" s="107">
        <f t="shared" si="636"/>
        <v>0</v>
      </c>
      <c r="K603" s="107">
        <f t="shared" si="636"/>
        <v>0.2241524637981461</v>
      </c>
      <c r="L603" s="107">
        <f t="shared" si="636"/>
        <v>0</v>
      </c>
      <c r="M603" s="107">
        <f t="shared" si="636"/>
        <v>0</v>
      </c>
      <c r="N603" s="107"/>
      <c r="O603" s="107">
        <f t="shared" si="636"/>
        <v>7.1994262071047865E-2</v>
      </c>
      <c r="P603" s="107">
        <f t="shared" si="636"/>
        <v>0</v>
      </c>
      <c r="Q603" s="107">
        <f t="shared" si="636"/>
        <v>0</v>
      </c>
      <c r="R603" s="107"/>
      <c r="S603" s="107">
        <f t="shared" si="636"/>
        <v>0</v>
      </c>
      <c r="T603" s="107">
        <f t="shared" si="636"/>
        <v>3.0050858178953869E-2</v>
      </c>
      <c r="U603" s="107">
        <f t="shared" si="636"/>
        <v>0</v>
      </c>
      <c r="V603" s="107">
        <f t="shared" si="636"/>
        <v>2.3901050023744201E-2</v>
      </c>
      <c r="W603" s="107">
        <f t="shared" si="636"/>
        <v>4.6458028229716876E-2</v>
      </c>
      <c r="X603" s="107">
        <f t="shared" si="636"/>
        <v>1.0759887066220738E-2</v>
      </c>
      <c r="Y603" s="107">
        <f t="shared" si="636"/>
        <v>2.1721539507425877E-2</v>
      </c>
      <c r="Z603" s="107">
        <f t="shared" si="636"/>
        <v>1.5685056454929534E-2</v>
      </c>
      <c r="AA603" s="107">
        <f t="shared" si="636"/>
        <v>1.3031568420701809E-2</v>
      </c>
      <c r="AB603" s="107">
        <f t="shared" si="636"/>
        <v>1.0987269140716235E-2</v>
      </c>
      <c r="AC603" s="107">
        <f t="shared" si="636"/>
        <v>6.5345552800493154E-3</v>
      </c>
      <c r="AD603" s="107">
        <f t="shared" si="636"/>
        <v>1.2582688784040471E-2</v>
      </c>
      <c r="AE603" s="107"/>
      <c r="AF603" s="107">
        <f t="shared" si="636"/>
        <v>0.16283543772212511</v>
      </c>
      <c r="AG603" s="107"/>
      <c r="AH603" s="107">
        <f t="shared" si="636"/>
        <v>1.944356316118924E-2</v>
      </c>
      <c r="AI603" s="107"/>
      <c r="AJ603" s="107">
        <f t="shared" si="636"/>
        <v>0</v>
      </c>
      <c r="AK603" s="104">
        <f t="shared" si="626"/>
        <v>1.0000000000000002</v>
      </c>
      <c r="AL603" s="87" t="str">
        <f t="shared" si="627"/>
        <v>ok</v>
      </c>
    </row>
    <row r="604" spans="1:38" x14ac:dyDescent="0.5">
      <c r="A604" s="86" t="s">
        <v>1553</v>
      </c>
      <c r="D604" s="314" t="s">
        <v>1291</v>
      </c>
      <c r="E604" s="45"/>
      <c r="F604" s="103">
        <v>1</v>
      </c>
      <c r="H604" s="107">
        <f t="shared" ref="H604:M604" si="637">H309/$F$309</f>
        <v>0.11800345949368812</v>
      </c>
      <c r="I604" s="107">
        <f t="shared" si="637"/>
        <v>0</v>
      </c>
      <c r="J604" s="107">
        <f t="shared" si="637"/>
        <v>0</v>
      </c>
      <c r="K604" s="107">
        <f t="shared" si="637"/>
        <v>0.68385803980278725</v>
      </c>
      <c r="L604" s="107">
        <f t="shared" si="637"/>
        <v>0</v>
      </c>
      <c r="M604" s="107">
        <f t="shared" si="637"/>
        <v>0</v>
      </c>
      <c r="N604" s="107"/>
      <c r="O604" s="107">
        <f>O309/$F$309</f>
        <v>6.2458991655602848E-2</v>
      </c>
      <c r="P604" s="107">
        <f>P309/$F$309</f>
        <v>0</v>
      </c>
      <c r="Q604" s="107">
        <f>Q309/$F$309</f>
        <v>0</v>
      </c>
      <c r="R604" s="107"/>
      <c r="S604" s="107">
        <f t="shared" ref="S604:AD604" si="638">S309/$F$309</f>
        <v>0</v>
      </c>
      <c r="T604" s="107">
        <f t="shared" si="638"/>
        <v>7.4553976123497411E-3</v>
      </c>
      <c r="U604" s="107">
        <f t="shared" si="638"/>
        <v>0</v>
      </c>
      <c r="V604" s="107">
        <f t="shared" si="638"/>
        <v>1.3084061266564109E-2</v>
      </c>
      <c r="W604" s="107">
        <f t="shared" si="638"/>
        <v>2.3629239539979512E-2</v>
      </c>
      <c r="X604" s="107">
        <f t="shared" si="638"/>
        <v>5.5383001035075588E-3</v>
      </c>
      <c r="Y604" s="107">
        <f t="shared" si="638"/>
        <v>1.0088793247260539E-2</v>
      </c>
      <c r="Z604" s="107">
        <f t="shared" si="638"/>
        <v>1.0748189381215366E-3</v>
      </c>
      <c r="AA604" s="107">
        <f t="shared" si="638"/>
        <v>8.9298859537064975E-4</v>
      </c>
      <c r="AB604" s="107">
        <f t="shared" si="638"/>
        <v>7.0068526267325212E-4</v>
      </c>
      <c r="AC604" s="107">
        <f t="shared" si="638"/>
        <v>1.3824737193462227E-2</v>
      </c>
      <c r="AD604" s="107">
        <f t="shared" si="638"/>
        <v>8.0242910980575586E-4</v>
      </c>
      <c r="AE604" s="107"/>
      <c r="AF604" s="107">
        <f>AF309/$F$309</f>
        <v>5.1843533340768223E-2</v>
      </c>
      <c r="AG604" s="107"/>
      <c r="AH604" s="107">
        <f>AH309/$F$309</f>
        <v>6.7445248380586069E-3</v>
      </c>
      <c r="AI604" s="107"/>
      <c r="AJ604" s="107">
        <f>AJ309/$F$309</f>
        <v>0</v>
      </c>
      <c r="AK604" s="104">
        <f t="shared" si="626"/>
        <v>1</v>
      </c>
      <c r="AL604" s="87" t="str">
        <f t="shared" si="627"/>
        <v>ok</v>
      </c>
    </row>
    <row r="605" spans="1:38" x14ac:dyDescent="0.5">
      <c r="A605" s="86" t="s">
        <v>429</v>
      </c>
      <c r="D605" s="314" t="s">
        <v>707</v>
      </c>
      <c r="E605" s="45"/>
      <c r="F605" s="103">
        <v>1</v>
      </c>
      <c r="H605" s="107">
        <f t="shared" ref="H605:M605" si="639">H347/$F$347</f>
        <v>0.89289391130503515</v>
      </c>
      <c r="I605" s="107">
        <f t="shared" si="639"/>
        <v>0</v>
      </c>
      <c r="J605" s="107">
        <f t="shared" si="639"/>
        <v>0</v>
      </c>
      <c r="K605" s="107">
        <f t="shared" si="639"/>
        <v>0.10710608869496492</v>
      </c>
      <c r="L605" s="107">
        <f t="shared" si="639"/>
        <v>0</v>
      </c>
      <c r="M605" s="107">
        <f t="shared" si="639"/>
        <v>0</v>
      </c>
      <c r="N605" s="107"/>
      <c r="O605" s="107">
        <f>O347/$F$347</f>
        <v>0</v>
      </c>
      <c r="P605" s="107">
        <f>P347/$F$347</f>
        <v>0</v>
      </c>
      <c r="Q605" s="107">
        <f>Q347/$F$347</f>
        <v>0</v>
      </c>
      <c r="R605" s="107"/>
      <c r="S605" s="107">
        <f t="shared" ref="S605:AD605" si="640">S347/$F$347</f>
        <v>0</v>
      </c>
      <c r="T605" s="107">
        <f t="shared" si="640"/>
        <v>0</v>
      </c>
      <c r="U605" s="107">
        <f t="shared" si="640"/>
        <v>0</v>
      </c>
      <c r="V605" s="107">
        <f t="shared" si="640"/>
        <v>0</v>
      </c>
      <c r="W605" s="107">
        <f t="shared" si="640"/>
        <v>0</v>
      </c>
      <c r="X605" s="107">
        <f t="shared" si="640"/>
        <v>0</v>
      </c>
      <c r="Y605" s="107">
        <f t="shared" si="640"/>
        <v>0</v>
      </c>
      <c r="Z605" s="107">
        <f t="shared" si="640"/>
        <v>0</v>
      </c>
      <c r="AA605" s="107">
        <f t="shared" si="640"/>
        <v>0</v>
      </c>
      <c r="AB605" s="107">
        <f t="shared" si="640"/>
        <v>0</v>
      </c>
      <c r="AC605" s="107">
        <f t="shared" si="640"/>
        <v>0</v>
      </c>
      <c r="AD605" s="107">
        <f t="shared" si="640"/>
        <v>0</v>
      </c>
      <c r="AE605" s="107"/>
      <c r="AF605" s="107">
        <f>AF347/$F$347</f>
        <v>0</v>
      </c>
      <c r="AG605" s="107"/>
      <c r="AH605" s="107">
        <f>AH347/$F$347</f>
        <v>0</v>
      </c>
      <c r="AI605" s="107"/>
      <c r="AJ605" s="107">
        <f>AJ347/$F$347</f>
        <v>0</v>
      </c>
      <c r="AK605" s="104">
        <f t="shared" si="626"/>
        <v>1</v>
      </c>
      <c r="AL605" s="87" t="str">
        <f t="shared" si="627"/>
        <v>ok</v>
      </c>
    </row>
    <row r="606" spans="1:38" x14ac:dyDescent="0.5">
      <c r="A606" s="86" t="s">
        <v>430</v>
      </c>
      <c r="D606" s="314" t="s">
        <v>1003</v>
      </c>
      <c r="E606" s="45"/>
      <c r="F606" s="103">
        <v>1</v>
      </c>
      <c r="H606" s="107">
        <f t="shared" ref="H606:M606" si="641">H356/$F$356</f>
        <v>0.10867733491392338</v>
      </c>
      <c r="I606" s="107">
        <f t="shared" si="641"/>
        <v>0</v>
      </c>
      <c r="J606" s="107">
        <f t="shared" si="641"/>
        <v>0</v>
      </c>
      <c r="K606" s="107">
        <f t="shared" si="641"/>
        <v>0.8913226650860766</v>
      </c>
      <c r="L606" s="107">
        <f t="shared" si="641"/>
        <v>0</v>
      </c>
      <c r="M606" s="107">
        <f t="shared" si="641"/>
        <v>0</v>
      </c>
      <c r="N606" s="107"/>
      <c r="O606" s="107">
        <f>O356/$F$356</f>
        <v>0</v>
      </c>
      <c r="P606" s="107">
        <f>P356/$F$356</f>
        <v>0</v>
      </c>
      <c r="Q606" s="107">
        <f>Q356/$F$356</f>
        <v>0</v>
      </c>
      <c r="R606" s="107"/>
      <c r="S606" s="107">
        <f t="shared" ref="S606:AD606" si="642">S356/$F$356</f>
        <v>0</v>
      </c>
      <c r="T606" s="107">
        <f t="shared" si="642"/>
        <v>0</v>
      </c>
      <c r="U606" s="107">
        <f t="shared" si="642"/>
        <v>0</v>
      </c>
      <c r="V606" s="107">
        <f t="shared" si="642"/>
        <v>0</v>
      </c>
      <c r="W606" s="107">
        <f t="shared" si="642"/>
        <v>0</v>
      </c>
      <c r="X606" s="107">
        <f t="shared" si="642"/>
        <v>0</v>
      </c>
      <c r="Y606" s="107">
        <f t="shared" si="642"/>
        <v>0</v>
      </c>
      <c r="Z606" s="107">
        <f t="shared" si="642"/>
        <v>0</v>
      </c>
      <c r="AA606" s="107">
        <f t="shared" si="642"/>
        <v>0</v>
      </c>
      <c r="AB606" s="107">
        <f t="shared" si="642"/>
        <v>0</v>
      </c>
      <c r="AC606" s="107">
        <f t="shared" si="642"/>
        <v>0</v>
      </c>
      <c r="AD606" s="107">
        <f t="shared" si="642"/>
        <v>0</v>
      </c>
      <c r="AE606" s="107"/>
      <c r="AF606" s="107">
        <f>AF356/$F$356</f>
        <v>0</v>
      </c>
      <c r="AG606" s="107"/>
      <c r="AH606" s="107">
        <f>AH356/$F$356</f>
        <v>0</v>
      </c>
      <c r="AI606" s="107"/>
      <c r="AJ606" s="107">
        <f>AJ356/$F$356</f>
        <v>0</v>
      </c>
      <c r="AK606" s="104">
        <f t="shared" si="626"/>
        <v>1</v>
      </c>
      <c r="AL606" s="87" t="str">
        <f t="shared" si="627"/>
        <v>ok</v>
      </c>
    </row>
    <row r="607" spans="1:38" x14ac:dyDescent="0.5">
      <c r="A607" s="86" t="s">
        <v>431</v>
      </c>
      <c r="D607" s="314" t="s">
        <v>710</v>
      </c>
      <c r="E607" s="45"/>
      <c r="F607" s="103">
        <v>1</v>
      </c>
      <c r="H607" s="107" t="e">
        <f t="shared" ref="H607:M607" si="643">H368/$F$368</f>
        <v>#DIV/0!</v>
      </c>
      <c r="I607" s="107" t="e">
        <f t="shared" si="643"/>
        <v>#DIV/0!</v>
      </c>
      <c r="J607" s="107" t="e">
        <f t="shared" si="643"/>
        <v>#DIV/0!</v>
      </c>
      <c r="K607" s="107" t="e">
        <f t="shared" si="643"/>
        <v>#DIV/0!</v>
      </c>
      <c r="L607" s="107" t="e">
        <f t="shared" si="643"/>
        <v>#DIV/0!</v>
      </c>
      <c r="M607" s="107" t="e">
        <f t="shared" si="643"/>
        <v>#DIV/0!</v>
      </c>
      <c r="N607" s="107"/>
      <c r="O607" s="107" t="e">
        <f>O368/$F$368</f>
        <v>#DIV/0!</v>
      </c>
      <c r="P607" s="107" t="e">
        <f>P368/$F$368</f>
        <v>#DIV/0!</v>
      </c>
      <c r="Q607" s="107" t="e">
        <f>Q368/$F$368</f>
        <v>#DIV/0!</v>
      </c>
      <c r="R607" s="107"/>
      <c r="S607" s="107" t="e">
        <f t="shared" ref="S607:AD607" si="644">S368/$F$368</f>
        <v>#DIV/0!</v>
      </c>
      <c r="T607" s="107" t="e">
        <f t="shared" si="644"/>
        <v>#DIV/0!</v>
      </c>
      <c r="U607" s="107" t="e">
        <f t="shared" si="644"/>
        <v>#DIV/0!</v>
      </c>
      <c r="V607" s="107" t="e">
        <f t="shared" si="644"/>
        <v>#DIV/0!</v>
      </c>
      <c r="W607" s="107" t="e">
        <f t="shared" si="644"/>
        <v>#DIV/0!</v>
      </c>
      <c r="X607" s="107" t="e">
        <f t="shared" si="644"/>
        <v>#DIV/0!</v>
      </c>
      <c r="Y607" s="107" t="e">
        <f t="shared" si="644"/>
        <v>#DIV/0!</v>
      </c>
      <c r="Z607" s="107" t="e">
        <f t="shared" si="644"/>
        <v>#DIV/0!</v>
      </c>
      <c r="AA607" s="107" t="e">
        <f t="shared" si="644"/>
        <v>#DIV/0!</v>
      </c>
      <c r="AB607" s="107" t="e">
        <f t="shared" si="644"/>
        <v>#DIV/0!</v>
      </c>
      <c r="AC607" s="107" t="e">
        <f t="shared" si="644"/>
        <v>#DIV/0!</v>
      </c>
      <c r="AD607" s="107" t="e">
        <f t="shared" si="644"/>
        <v>#DIV/0!</v>
      </c>
      <c r="AE607" s="107"/>
      <c r="AF607" s="107" t="e">
        <f>AF368/$F$368</f>
        <v>#DIV/0!</v>
      </c>
      <c r="AG607" s="107"/>
      <c r="AH607" s="107" t="e">
        <f>AH368/$F$368</f>
        <v>#DIV/0!</v>
      </c>
      <c r="AI607" s="107"/>
      <c r="AJ607" s="107" t="e">
        <f>AJ368/$F$368</f>
        <v>#DIV/0!</v>
      </c>
      <c r="AK607" s="104" t="e">
        <f t="shared" si="626"/>
        <v>#DIV/0!</v>
      </c>
      <c r="AL607" s="87" t="e">
        <f t="shared" si="627"/>
        <v>#DIV/0!</v>
      </c>
    </row>
    <row r="608" spans="1:38" x14ac:dyDescent="0.5">
      <c r="A608" s="86" t="s">
        <v>432</v>
      </c>
      <c r="D608" s="314" t="s">
        <v>711</v>
      </c>
      <c r="E608" s="45"/>
      <c r="F608" s="103">
        <v>1</v>
      </c>
      <c r="H608" s="107">
        <f t="shared" ref="H608:M608" si="645">H377/$F$377</f>
        <v>0.65452584296226246</v>
      </c>
      <c r="I608" s="107">
        <f t="shared" si="645"/>
        <v>0</v>
      </c>
      <c r="J608" s="107">
        <f t="shared" si="645"/>
        <v>0</v>
      </c>
      <c r="K608" s="107">
        <f t="shared" si="645"/>
        <v>0.34547415703773754</v>
      </c>
      <c r="L608" s="107">
        <f t="shared" si="645"/>
        <v>0</v>
      </c>
      <c r="M608" s="107">
        <f t="shared" si="645"/>
        <v>0</v>
      </c>
      <c r="N608" s="107"/>
      <c r="O608" s="107">
        <f>O377/$F$377</f>
        <v>0</v>
      </c>
      <c r="P608" s="107">
        <f>P377/$F$377</f>
        <v>0</v>
      </c>
      <c r="Q608" s="107">
        <f>Q377/$F$377</f>
        <v>0</v>
      </c>
      <c r="R608" s="107"/>
      <c r="S608" s="107">
        <f t="shared" ref="S608:AD608" si="646">S377/$F$377</f>
        <v>0</v>
      </c>
      <c r="T608" s="107">
        <f t="shared" si="646"/>
        <v>0</v>
      </c>
      <c r="U608" s="107">
        <f t="shared" si="646"/>
        <v>0</v>
      </c>
      <c r="V608" s="107">
        <f t="shared" si="646"/>
        <v>0</v>
      </c>
      <c r="W608" s="107">
        <f t="shared" si="646"/>
        <v>0</v>
      </c>
      <c r="X608" s="107">
        <f t="shared" si="646"/>
        <v>0</v>
      </c>
      <c r="Y608" s="107">
        <f t="shared" si="646"/>
        <v>0</v>
      </c>
      <c r="Z608" s="107">
        <f t="shared" si="646"/>
        <v>0</v>
      </c>
      <c r="AA608" s="107">
        <f t="shared" si="646"/>
        <v>0</v>
      </c>
      <c r="AB608" s="107">
        <f t="shared" si="646"/>
        <v>0</v>
      </c>
      <c r="AC608" s="107">
        <f t="shared" si="646"/>
        <v>0</v>
      </c>
      <c r="AD608" s="107">
        <f t="shared" si="646"/>
        <v>0</v>
      </c>
      <c r="AE608" s="107"/>
      <c r="AF608" s="107">
        <f>AF377/$F$377</f>
        <v>0</v>
      </c>
      <c r="AG608" s="107"/>
      <c r="AH608" s="107">
        <f>AH377/$F$377</f>
        <v>0</v>
      </c>
      <c r="AI608" s="107"/>
      <c r="AJ608" s="107">
        <f>AJ377/$F$377</f>
        <v>0</v>
      </c>
      <c r="AK608" s="104">
        <f t="shared" si="626"/>
        <v>1</v>
      </c>
      <c r="AL608" s="87" t="str">
        <f t="shared" si="627"/>
        <v>ok</v>
      </c>
    </row>
    <row r="609" spans="1:38" x14ac:dyDescent="0.5">
      <c r="A609" s="86" t="s">
        <v>433</v>
      </c>
      <c r="D609" s="314" t="s">
        <v>712</v>
      </c>
      <c r="E609" s="45"/>
      <c r="F609" s="103">
        <v>1</v>
      </c>
      <c r="H609" s="107">
        <f t="shared" ref="H609:M609" si="647">H390/$F$390</f>
        <v>1</v>
      </c>
      <c r="I609" s="107">
        <f t="shared" si="647"/>
        <v>0</v>
      </c>
      <c r="J609" s="107">
        <f t="shared" si="647"/>
        <v>0</v>
      </c>
      <c r="K609" s="107">
        <f t="shared" si="647"/>
        <v>0</v>
      </c>
      <c r="L609" s="107">
        <f t="shared" si="647"/>
        <v>0</v>
      </c>
      <c r="M609" s="107">
        <f t="shared" si="647"/>
        <v>0</v>
      </c>
      <c r="N609" s="107"/>
      <c r="O609" s="107">
        <f>O390/$F$390</f>
        <v>0</v>
      </c>
      <c r="P609" s="107">
        <f>P390/$F$390</f>
        <v>0</v>
      </c>
      <c r="Q609" s="107">
        <f>Q390/$F$390</f>
        <v>0</v>
      </c>
      <c r="R609" s="107"/>
      <c r="S609" s="107">
        <f t="shared" ref="S609:AD609" si="648">S390/$F$390</f>
        <v>0</v>
      </c>
      <c r="T609" s="107">
        <f t="shared" si="648"/>
        <v>0</v>
      </c>
      <c r="U609" s="107">
        <f t="shared" si="648"/>
        <v>0</v>
      </c>
      <c r="V609" s="107">
        <f t="shared" si="648"/>
        <v>0</v>
      </c>
      <c r="W609" s="107">
        <f t="shared" si="648"/>
        <v>0</v>
      </c>
      <c r="X609" s="107">
        <f t="shared" si="648"/>
        <v>0</v>
      </c>
      <c r="Y609" s="107">
        <f t="shared" si="648"/>
        <v>0</v>
      </c>
      <c r="Z609" s="107">
        <f t="shared" si="648"/>
        <v>0</v>
      </c>
      <c r="AA609" s="107">
        <f t="shared" si="648"/>
        <v>0</v>
      </c>
      <c r="AB609" s="107">
        <f t="shared" si="648"/>
        <v>0</v>
      </c>
      <c r="AC609" s="107">
        <f t="shared" si="648"/>
        <v>0</v>
      </c>
      <c r="AD609" s="107">
        <f t="shared" si="648"/>
        <v>0</v>
      </c>
      <c r="AE609" s="107"/>
      <c r="AF609" s="107">
        <f>AF390/$F$390</f>
        <v>0</v>
      </c>
      <c r="AG609" s="107"/>
      <c r="AH609" s="107">
        <f>AH390/$F$390</f>
        <v>0</v>
      </c>
      <c r="AI609" s="107"/>
      <c r="AJ609" s="107">
        <f>AJ390/$F$390</f>
        <v>0</v>
      </c>
      <c r="AK609" s="104">
        <f t="shared" si="626"/>
        <v>1</v>
      </c>
      <c r="AL609" s="87" t="str">
        <f t="shared" si="627"/>
        <v>ok</v>
      </c>
    </row>
    <row r="610" spans="1:38" x14ac:dyDescent="0.5">
      <c r="A610" s="86" t="s">
        <v>1020</v>
      </c>
      <c r="D610" s="314" t="s">
        <v>713</v>
      </c>
      <c r="E610" s="45"/>
      <c r="F610" s="103">
        <v>1</v>
      </c>
      <c r="H610" s="108">
        <f t="shared" ref="H610:M610" si="649">H425/$F$425</f>
        <v>0</v>
      </c>
      <c r="I610" s="108">
        <f t="shared" si="649"/>
        <v>0</v>
      </c>
      <c r="J610" s="108">
        <f t="shared" si="649"/>
        <v>0</v>
      </c>
      <c r="K610" s="108">
        <f t="shared" si="649"/>
        <v>0</v>
      </c>
      <c r="L610" s="108">
        <f t="shared" si="649"/>
        <v>0</v>
      </c>
      <c r="M610" s="108">
        <f t="shared" si="649"/>
        <v>0</v>
      </c>
      <c r="N610" s="108"/>
      <c r="O610" s="108">
        <f>O425/$F$425</f>
        <v>1</v>
      </c>
      <c r="P610" s="108">
        <f>P425/$F$425</f>
        <v>0</v>
      </c>
      <c r="Q610" s="108">
        <f>Q425/$F$425</f>
        <v>0</v>
      </c>
      <c r="R610" s="108"/>
      <c r="S610" s="108">
        <f t="shared" ref="S610:AD610" si="650">S425/$F$425</f>
        <v>0</v>
      </c>
      <c r="T610" s="108">
        <f t="shared" si="650"/>
        <v>0</v>
      </c>
      <c r="U610" s="108">
        <f t="shared" si="650"/>
        <v>0</v>
      </c>
      <c r="V610" s="108">
        <f t="shared" si="650"/>
        <v>0</v>
      </c>
      <c r="W610" s="108">
        <f t="shared" si="650"/>
        <v>0</v>
      </c>
      <c r="X610" s="108">
        <f t="shared" si="650"/>
        <v>0</v>
      </c>
      <c r="Y610" s="108">
        <f t="shared" si="650"/>
        <v>0</v>
      </c>
      <c r="Z610" s="108">
        <f t="shared" si="650"/>
        <v>0</v>
      </c>
      <c r="AA610" s="108">
        <f t="shared" si="650"/>
        <v>0</v>
      </c>
      <c r="AB610" s="108">
        <f t="shared" si="650"/>
        <v>0</v>
      </c>
      <c r="AC610" s="108">
        <f t="shared" si="650"/>
        <v>0</v>
      </c>
      <c r="AD610" s="108">
        <f t="shared" si="650"/>
        <v>0</v>
      </c>
      <c r="AE610" s="108"/>
      <c r="AF610" s="108">
        <f>AF425/$F$425</f>
        <v>0</v>
      </c>
      <c r="AG610" s="108"/>
      <c r="AH610" s="108">
        <f>AH425/$F$425</f>
        <v>0</v>
      </c>
      <c r="AI610" s="108"/>
      <c r="AJ610" s="108">
        <f>AJ425/$F$425</f>
        <v>0</v>
      </c>
      <c r="AK610" s="104">
        <f t="shared" si="626"/>
        <v>1</v>
      </c>
      <c r="AL610" s="87" t="str">
        <f t="shared" si="627"/>
        <v>ok</v>
      </c>
    </row>
    <row r="611" spans="1:38" x14ac:dyDescent="0.5">
      <c r="A611" s="86" t="s">
        <v>1023</v>
      </c>
      <c r="D611" s="314" t="s">
        <v>980</v>
      </c>
      <c r="E611" s="45"/>
      <c r="F611" s="103">
        <v>1</v>
      </c>
      <c r="H611" s="107">
        <f t="shared" ref="H611:M611" si="651">H440/$F$440</f>
        <v>0</v>
      </c>
      <c r="I611" s="107">
        <f t="shared" si="651"/>
        <v>0</v>
      </c>
      <c r="J611" s="107">
        <f t="shared" si="651"/>
        <v>0</v>
      </c>
      <c r="K611" s="107">
        <f t="shared" si="651"/>
        <v>0</v>
      </c>
      <c r="L611" s="107">
        <f t="shared" si="651"/>
        <v>0</v>
      </c>
      <c r="M611" s="107">
        <f t="shared" si="651"/>
        <v>0</v>
      </c>
      <c r="N611" s="107"/>
      <c r="O611" s="107">
        <f>O440/$F$440</f>
        <v>0</v>
      </c>
      <c r="P611" s="107">
        <f>P440/$F$440</f>
        <v>0</v>
      </c>
      <c r="Q611" s="107">
        <f>Q440/$F$440</f>
        <v>0</v>
      </c>
      <c r="R611" s="107"/>
      <c r="S611" s="107">
        <f t="shared" ref="S611:AD611" si="652">S440/$F$440</f>
        <v>0</v>
      </c>
      <c r="T611" s="107">
        <f t="shared" si="652"/>
        <v>0.15575108860478235</v>
      </c>
      <c r="U611" s="107">
        <f t="shared" si="652"/>
        <v>0</v>
      </c>
      <c r="V611" s="107">
        <f t="shared" si="652"/>
        <v>9.2031095435027285E-2</v>
      </c>
      <c r="W611" s="107">
        <f t="shared" si="652"/>
        <v>0.1689674485875749</v>
      </c>
      <c r="X611" s="107">
        <f t="shared" si="652"/>
        <v>3.9494845317467664E-2</v>
      </c>
      <c r="Y611" s="107">
        <f t="shared" si="652"/>
        <v>7.3724752184300871E-2</v>
      </c>
      <c r="Z611" s="107">
        <f t="shared" si="652"/>
        <v>1.9707478627795535E-2</v>
      </c>
      <c r="AA611" s="107">
        <f t="shared" si="652"/>
        <v>1.6373505372811223E-2</v>
      </c>
      <c r="AB611" s="107">
        <f t="shared" si="652"/>
        <v>1.3804946918150915E-2</v>
      </c>
      <c r="AC611" s="107">
        <f t="shared" si="652"/>
        <v>0.40433532809669503</v>
      </c>
      <c r="AD611" s="107">
        <f t="shared" si="652"/>
        <v>1.5809510855394251E-2</v>
      </c>
      <c r="AE611" s="107"/>
      <c r="AF611" s="107">
        <f>AF440/$F$440</f>
        <v>0</v>
      </c>
      <c r="AG611" s="107"/>
      <c r="AH611" s="107">
        <f>AH440/$F$440</f>
        <v>0</v>
      </c>
      <c r="AI611" s="107"/>
      <c r="AJ611" s="107">
        <f>AJ440/$F$440</f>
        <v>0</v>
      </c>
      <c r="AK611" s="104">
        <f t="shared" si="626"/>
        <v>1</v>
      </c>
      <c r="AL611" s="87" t="str">
        <f t="shared" si="627"/>
        <v>ok</v>
      </c>
    </row>
    <row r="612" spans="1:38" x14ac:dyDescent="0.5">
      <c r="A612" s="86" t="s">
        <v>1025</v>
      </c>
      <c r="D612" s="314" t="s">
        <v>989</v>
      </c>
      <c r="E612" s="45"/>
      <c r="F612" s="103">
        <v>1</v>
      </c>
      <c r="H612" s="107">
        <f t="shared" ref="H612:M612" si="653">H456/$F$456</f>
        <v>0</v>
      </c>
      <c r="I612" s="107">
        <f t="shared" si="653"/>
        <v>0</v>
      </c>
      <c r="J612" s="107">
        <f t="shared" si="653"/>
        <v>0</v>
      </c>
      <c r="K612" s="107">
        <f t="shared" si="653"/>
        <v>0</v>
      </c>
      <c r="L612" s="107">
        <f t="shared" si="653"/>
        <v>0</v>
      </c>
      <c r="M612" s="107">
        <f t="shared" si="653"/>
        <v>0</v>
      </c>
      <c r="N612" s="107"/>
      <c r="O612" s="107">
        <f>O456/$F$456</f>
        <v>0</v>
      </c>
      <c r="P612" s="107">
        <f>P456/$F$456</f>
        <v>0</v>
      </c>
      <c r="Q612" s="107">
        <f>Q456/$F$456</f>
        <v>0</v>
      </c>
      <c r="R612" s="107"/>
      <c r="S612" s="107">
        <f t="shared" ref="S612:AD612" si="654">S456/$F$456</f>
        <v>0</v>
      </c>
      <c r="T612" s="107">
        <f t="shared" si="654"/>
        <v>8.406320274298501E-2</v>
      </c>
      <c r="U612" s="107">
        <f t="shared" si="654"/>
        <v>0</v>
      </c>
      <c r="V612" s="107">
        <f t="shared" si="654"/>
        <v>0.2273610847921633</v>
      </c>
      <c r="W612" s="107">
        <f t="shared" si="654"/>
        <v>0.41017862009008221</v>
      </c>
      <c r="X612" s="107">
        <f t="shared" si="654"/>
        <v>9.6155713107545435E-2</v>
      </c>
      <c r="Y612" s="107">
        <f t="shared" si="654"/>
        <v>0.17488718090106353</v>
      </c>
      <c r="Z612" s="107">
        <f t="shared" si="654"/>
        <v>3.9758849087468996E-3</v>
      </c>
      <c r="AA612" s="107">
        <f t="shared" si="654"/>
        <v>3.3032725365095762E-3</v>
      </c>
      <c r="AB612" s="107">
        <f t="shared" si="654"/>
        <v>2.7387747110564211E-5</v>
      </c>
      <c r="AC612" s="107">
        <f t="shared" si="654"/>
        <v>1.628855589117992E-5</v>
      </c>
      <c r="AD612" s="107">
        <f t="shared" si="654"/>
        <v>3.1364617902294204E-5</v>
      </c>
      <c r="AE612" s="107"/>
      <c r="AF612" s="107">
        <f>AF456/$F$456</f>
        <v>0</v>
      </c>
      <c r="AG612" s="107"/>
      <c r="AH612" s="107">
        <f>AH456/$F$456</f>
        <v>0</v>
      </c>
      <c r="AI612" s="107"/>
      <c r="AJ612" s="107">
        <f>AJ456/$F$456</f>
        <v>0</v>
      </c>
      <c r="AK612" s="104">
        <f t="shared" si="626"/>
        <v>1</v>
      </c>
      <c r="AL612" s="87" t="str">
        <f t="shared" si="627"/>
        <v>ok</v>
      </c>
    </row>
    <row r="613" spans="1:38" x14ac:dyDescent="0.5">
      <c r="A613" s="86" t="s">
        <v>291</v>
      </c>
      <c r="D613" s="45" t="s">
        <v>716</v>
      </c>
      <c r="E613" s="45"/>
      <c r="F613" s="103">
        <v>1</v>
      </c>
      <c r="H613" s="107">
        <f>H487/$F$487</f>
        <v>0.3285910044768981</v>
      </c>
      <c r="I613" s="107">
        <f t="shared" ref="I613:AJ613" si="655">I487/$F$487</f>
        <v>0</v>
      </c>
      <c r="J613" s="107">
        <f t="shared" si="655"/>
        <v>0</v>
      </c>
      <c r="K613" s="107">
        <f t="shared" si="655"/>
        <v>0.22510365000555413</v>
      </c>
      <c r="L613" s="107">
        <f t="shared" si="655"/>
        <v>0</v>
      </c>
      <c r="M613" s="107">
        <f t="shared" si="655"/>
        <v>0</v>
      </c>
      <c r="N613" s="107"/>
      <c r="O613" s="107">
        <f t="shared" si="655"/>
        <v>7.1721692919313323E-2</v>
      </c>
      <c r="P613" s="107">
        <f t="shared" si="655"/>
        <v>0</v>
      </c>
      <c r="Q613" s="107">
        <f t="shared" si="655"/>
        <v>0</v>
      </c>
      <c r="R613" s="107"/>
      <c r="S613" s="107">
        <f t="shared" si="655"/>
        <v>0</v>
      </c>
      <c r="T613" s="107">
        <f t="shared" si="655"/>
        <v>3.0022432198180411E-2</v>
      </c>
      <c r="U613" s="107">
        <f t="shared" si="655"/>
        <v>0</v>
      </c>
      <c r="V613" s="107">
        <f t="shared" si="655"/>
        <v>2.3878441325370446E-2</v>
      </c>
      <c r="W613" s="107">
        <f t="shared" si="655"/>
        <v>4.6414082229593805E-2</v>
      </c>
      <c r="X613" s="107">
        <f t="shared" si="655"/>
        <v>1.074970897609607E-2</v>
      </c>
      <c r="Y613" s="107">
        <f t="shared" si="655"/>
        <v>2.1700992471440046E-2</v>
      </c>
      <c r="Z613" s="107">
        <f t="shared" si="655"/>
        <v>1.5670219503832718E-2</v>
      </c>
      <c r="AA613" s="107">
        <f t="shared" si="655"/>
        <v>1.3019241481112631E-2</v>
      </c>
      <c r="AB613" s="107">
        <f t="shared" si="655"/>
        <v>1.0976875963273951E-2</v>
      </c>
      <c r="AC613" s="107">
        <f t="shared" si="655"/>
        <v>6.5283740541539478E-3</v>
      </c>
      <c r="AD613" s="107">
        <f t="shared" si="655"/>
        <v>1.2570786452755169E-2</v>
      </c>
      <c r="AE613" s="107"/>
      <c r="AF613" s="107">
        <f t="shared" si="655"/>
        <v>0.16352642643495949</v>
      </c>
      <c r="AG613" s="107"/>
      <c r="AH613" s="107">
        <f t="shared" si="655"/>
        <v>1.9526071507465746E-2</v>
      </c>
      <c r="AI613" s="107"/>
      <c r="AJ613" s="107">
        <f t="shared" si="655"/>
        <v>0</v>
      </c>
      <c r="AK613" s="104">
        <f t="shared" si="626"/>
        <v>1</v>
      </c>
      <c r="AL613" s="87" t="str">
        <f t="shared" si="627"/>
        <v>ok</v>
      </c>
    </row>
    <row r="614" spans="1:38" x14ac:dyDescent="0.5">
      <c r="A614" s="86" t="s">
        <v>173</v>
      </c>
      <c r="D614" s="45" t="s">
        <v>174</v>
      </c>
      <c r="E614" s="45"/>
      <c r="F614" s="103">
        <v>1</v>
      </c>
      <c r="H614" s="107">
        <f>H57/$F$57</f>
        <v>0.62932543667425145</v>
      </c>
      <c r="I614" s="107">
        <f t="shared" ref="I614:AJ614" si="656">I57/$F$57</f>
        <v>0</v>
      </c>
      <c r="J614" s="107">
        <f t="shared" si="656"/>
        <v>0</v>
      </c>
      <c r="K614" s="107">
        <f t="shared" si="656"/>
        <v>0</v>
      </c>
      <c r="L614" s="107">
        <f t="shared" si="656"/>
        <v>0</v>
      </c>
      <c r="M614" s="107">
        <f t="shared" si="656"/>
        <v>0</v>
      </c>
      <c r="N614" s="107"/>
      <c r="O614" s="107">
        <f t="shared" si="656"/>
        <v>0.13622673983495392</v>
      </c>
      <c r="P614" s="107">
        <f t="shared" si="656"/>
        <v>0</v>
      </c>
      <c r="Q614" s="107">
        <f t="shared" si="656"/>
        <v>0</v>
      </c>
      <c r="R614" s="107"/>
      <c r="S614" s="107">
        <f t="shared" si="656"/>
        <v>0</v>
      </c>
      <c r="T614" s="107">
        <f t="shared" si="656"/>
        <v>3.67496029427287E-2</v>
      </c>
      <c r="U614" s="107">
        <f t="shared" si="656"/>
        <v>0</v>
      </c>
      <c r="V614" s="107">
        <f t="shared" si="656"/>
        <v>2.9228918956532533E-2</v>
      </c>
      <c r="W614" s="107">
        <f t="shared" si="656"/>
        <v>5.6814154217395843E-2</v>
      </c>
      <c r="X614" s="107">
        <f t="shared" si="656"/>
        <v>1.3158412150410657E-2</v>
      </c>
      <c r="Y614" s="107">
        <f t="shared" si="656"/>
        <v>2.6563565920448683E-2</v>
      </c>
      <c r="Z614" s="107">
        <f t="shared" si="656"/>
        <v>1.9181468742767549E-2</v>
      </c>
      <c r="AA614" s="107">
        <f t="shared" si="656"/>
        <v>1.593648215734467E-2</v>
      </c>
      <c r="AB614" s="107">
        <f t="shared" si="656"/>
        <v>1.3436480780073147E-2</v>
      </c>
      <c r="AC614" s="107">
        <f t="shared" si="656"/>
        <v>7.9911964749581586E-3</v>
      </c>
      <c r="AD614" s="107">
        <f t="shared" si="656"/>
        <v>1.5387541148134707E-2</v>
      </c>
      <c r="AE614" s="107"/>
      <c r="AF614" s="107">
        <f t="shared" si="656"/>
        <v>0</v>
      </c>
      <c r="AG614" s="107"/>
      <c r="AH614" s="107">
        <f t="shared" si="656"/>
        <v>0</v>
      </c>
      <c r="AI614" s="107"/>
      <c r="AJ614" s="107">
        <f t="shared" si="656"/>
        <v>0</v>
      </c>
      <c r="AK614" s="104">
        <f t="shared" si="626"/>
        <v>1.0000000000000002</v>
      </c>
      <c r="AL614" s="87" t="str">
        <f t="shared" si="627"/>
        <v>ok</v>
      </c>
    </row>
    <row r="615" spans="1:38" x14ac:dyDescent="0.5">
      <c r="A615" s="86" t="s">
        <v>1478</v>
      </c>
      <c r="D615" s="314" t="s">
        <v>1479</v>
      </c>
      <c r="E615" s="45"/>
      <c r="F615" s="103">
        <v>1</v>
      </c>
      <c r="H615" s="107">
        <f>H26/$F$26</f>
        <v>1</v>
      </c>
      <c r="I615" s="107">
        <f t="shared" ref="I615:AJ615" si="657">I26/$F$26</f>
        <v>0</v>
      </c>
      <c r="J615" s="107">
        <f t="shared" si="657"/>
        <v>0</v>
      </c>
      <c r="K615" s="107">
        <f t="shared" si="657"/>
        <v>0</v>
      </c>
      <c r="L615" s="107">
        <f t="shared" si="657"/>
        <v>0</v>
      </c>
      <c r="M615" s="107">
        <f t="shared" si="657"/>
        <v>0</v>
      </c>
      <c r="N615" s="107"/>
      <c r="O615" s="107">
        <f t="shared" si="657"/>
        <v>0</v>
      </c>
      <c r="P615" s="107">
        <f t="shared" si="657"/>
        <v>0</v>
      </c>
      <c r="Q615" s="107">
        <f t="shared" si="657"/>
        <v>0</v>
      </c>
      <c r="R615" s="107"/>
      <c r="S615" s="107">
        <f t="shared" si="657"/>
        <v>0</v>
      </c>
      <c r="T615" s="107">
        <f t="shared" si="657"/>
        <v>0</v>
      </c>
      <c r="U615" s="107">
        <f t="shared" si="657"/>
        <v>0</v>
      </c>
      <c r="V615" s="107">
        <f t="shared" si="657"/>
        <v>0</v>
      </c>
      <c r="W615" s="107">
        <f t="shared" si="657"/>
        <v>0</v>
      </c>
      <c r="X615" s="107">
        <f t="shared" si="657"/>
        <v>0</v>
      </c>
      <c r="Y615" s="107">
        <f t="shared" si="657"/>
        <v>0</v>
      </c>
      <c r="Z615" s="107">
        <f t="shared" si="657"/>
        <v>0</v>
      </c>
      <c r="AA615" s="107">
        <f t="shared" si="657"/>
        <v>0</v>
      </c>
      <c r="AB615" s="107">
        <f t="shared" si="657"/>
        <v>0</v>
      </c>
      <c r="AC615" s="107">
        <f t="shared" si="657"/>
        <v>0</v>
      </c>
      <c r="AD615" s="107">
        <f t="shared" si="657"/>
        <v>0</v>
      </c>
      <c r="AE615" s="107"/>
      <c r="AF615" s="107">
        <f t="shared" si="657"/>
        <v>0</v>
      </c>
      <c r="AG615" s="107"/>
      <c r="AH615" s="107">
        <f t="shared" si="657"/>
        <v>0</v>
      </c>
      <c r="AI615" s="107"/>
      <c r="AJ615" s="107">
        <f t="shared" si="657"/>
        <v>0</v>
      </c>
      <c r="AK615" s="104">
        <f t="shared" si="626"/>
        <v>1</v>
      </c>
      <c r="AL615" s="87" t="str">
        <f t="shared" si="627"/>
        <v>ok</v>
      </c>
    </row>
    <row r="616" spans="1:38" x14ac:dyDescent="0.5">
      <c r="A616" s="86" t="s">
        <v>110</v>
      </c>
      <c r="D616" s="314" t="s">
        <v>111</v>
      </c>
      <c r="E616" s="45"/>
      <c r="F616" s="103">
        <v>1</v>
      </c>
      <c r="H616" s="107">
        <f>H12/$F$12</f>
        <v>0.62932543667425145</v>
      </c>
      <c r="I616" s="107">
        <f t="shared" ref="I616:AJ616" si="658">I12/$F$12</f>
        <v>0</v>
      </c>
      <c r="J616" s="107">
        <f t="shared" si="658"/>
        <v>0</v>
      </c>
      <c r="K616" s="107">
        <f t="shared" si="658"/>
        <v>0</v>
      </c>
      <c r="L616" s="107">
        <f t="shared" si="658"/>
        <v>0</v>
      </c>
      <c r="M616" s="107">
        <f t="shared" si="658"/>
        <v>0</v>
      </c>
      <c r="N616" s="107"/>
      <c r="O616" s="107">
        <f t="shared" si="658"/>
        <v>0.13622673983495392</v>
      </c>
      <c r="P616" s="107">
        <f t="shared" si="658"/>
        <v>0</v>
      </c>
      <c r="Q616" s="107">
        <f t="shared" si="658"/>
        <v>0</v>
      </c>
      <c r="R616" s="107"/>
      <c r="S616" s="107">
        <f t="shared" si="658"/>
        <v>0</v>
      </c>
      <c r="T616" s="107">
        <f t="shared" si="658"/>
        <v>3.67496029427287E-2</v>
      </c>
      <c r="U616" s="107">
        <f t="shared" si="658"/>
        <v>0</v>
      </c>
      <c r="V616" s="107">
        <f t="shared" si="658"/>
        <v>2.9228918956532533E-2</v>
      </c>
      <c r="W616" s="107">
        <f t="shared" si="658"/>
        <v>5.6814154217395843E-2</v>
      </c>
      <c r="X616" s="107">
        <f t="shared" si="658"/>
        <v>1.3158412150410659E-2</v>
      </c>
      <c r="Y616" s="107">
        <f t="shared" si="658"/>
        <v>2.6563565920448683E-2</v>
      </c>
      <c r="Z616" s="107">
        <f t="shared" si="658"/>
        <v>1.9181468742767549E-2</v>
      </c>
      <c r="AA616" s="107">
        <f t="shared" si="658"/>
        <v>1.593648215734467E-2</v>
      </c>
      <c r="AB616" s="107">
        <f t="shared" si="658"/>
        <v>1.3436480780073149E-2</v>
      </c>
      <c r="AC616" s="107">
        <f t="shared" si="658"/>
        <v>7.9911964749581586E-3</v>
      </c>
      <c r="AD616" s="107">
        <f t="shared" si="658"/>
        <v>1.5387541148134707E-2</v>
      </c>
      <c r="AE616" s="107"/>
      <c r="AF616" s="107">
        <f t="shared" si="658"/>
        <v>0</v>
      </c>
      <c r="AG616" s="107"/>
      <c r="AH616" s="107">
        <f t="shared" si="658"/>
        <v>0</v>
      </c>
      <c r="AI616" s="107"/>
      <c r="AJ616" s="107">
        <f t="shared" si="658"/>
        <v>0</v>
      </c>
      <c r="AK616" s="104">
        <f t="shared" si="626"/>
        <v>1.0000000000000002</v>
      </c>
      <c r="AL616" s="87" t="str">
        <f t="shared" si="627"/>
        <v>ok</v>
      </c>
    </row>
    <row r="617" spans="1:38" x14ac:dyDescent="0.5">
      <c r="D617" s="314"/>
      <c r="E617" s="45"/>
    </row>
  </sheetData>
  <autoFilter ref="C1:C616" xr:uid="{00000000-0009-0000-0000-000001000000}"/>
  <mergeCells count="4">
    <mergeCell ref="X2:Y2"/>
    <mergeCell ref="Z2:AA2"/>
    <mergeCell ref="H2:J2"/>
    <mergeCell ref="U2:W2"/>
  </mergeCells>
  <phoneticPr fontId="0" type="noConversion"/>
  <pageMargins left="0.5" right="0.25" top="1.75" bottom="0.25" header="0.81" footer="0.5"/>
  <pageSetup scale="45" fitToWidth="3" pageOrder="overThenDown" orientation="landscape" horizontalDpi="300" verticalDpi="300" r:id="rId1"/>
  <headerFooter alignWithMargins="0">
    <oddHeader>&amp;C&amp;"Times New Roman,Bold"&amp;12KENTUCKY UTILITIES COMPANY
Cost of Service Study
Functional Assignment and Classification
12 Months Ended April 30, 2020
LOLP METHODOLOGY&amp;R&amp;"Times New Roman,Bold"&amp;12Exhibit WSS-26
Page &amp;P of &amp;N</oddHeader>
  </headerFooter>
  <rowBreaks count="14" manualBreakCount="14">
    <brk id="52" max="16383" man="1"/>
    <brk id="89" max="16383" man="1"/>
    <brk id="148" min="5" max="35" man="1"/>
    <brk id="193" min="5" max="35" man="1"/>
    <brk id="228" min="5" max="35" man="1"/>
    <brk id="264" min="5" max="35" man="1"/>
    <brk id="313" min="5" max="35" man="1"/>
    <brk id="336" max="16383" man="1"/>
    <brk id="380" min="5" max="35" man="1"/>
    <brk id="410" min="5" max="35" man="1"/>
    <brk id="442" min="5" max="35" man="1"/>
    <brk id="488" min="5" max="35" man="1"/>
    <brk id="512" max="16383" man="1"/>
    <brk id="560" max="16383" man="1"/>
  </rowBreaks>
  <colBreaks count="1" manualBreakCount="1">
    <brk id="25" min="4" max="60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K981"/>
  <sheetViews>
    <sheetView view="pageBreakPreview" zoomScale="85" zoomScaleNormal="100" zoomScaleSheetLayoutView="85" workbookViewId="0">
      <pane xSplit="6" ySplit="3" topLeftCell="G4" activePane="bottomRight" state="frozen"/>
      <selection activeCell="A2" sqref="A2"/>
      <selection pane="topRight" activeCell="G2" sqref="G2"/>
      <selection pane="bottomLeft" activeCell="A4" sqref="A4"/>
      <selection pane="bottomRight" activeCell="G4" sqref="G4"/>
    </sheetView>
  </sheetViews>
  <sheetFormatPr defaultColWidth="9.15625" defaultRowHeight="12" customHeight="1" x14ac:dyDescent="0.5"/>
  <cols>
    <col min="1" max="1" width="7.68359375" style="86" customWidth="1"/>
    <col min="2" max="2" width="25.83984375" style="86" customWidth="1"/>
    <col min="3" max="3" width="12.578125" style="86" customWidth="1"/>
    <col min="4" max="4" width="11.83984375" style="86" customWidth="1"/>
    <col min="5" max="5" width="16.26171875" style="86" bestFit="1" customWidth="1"/>
    <col min="6" max="6" width="19.41796875" style="86" customWidth="1"/>
    <col min="7" max="7" width="24.26171875" style="86" bestFit="1" customWidth="1"/>
    <col min="8" max="8" width="24.26171875" style="86" customWidth="1"/>
    <col min="9" max="10" width="20.41796875" style="86" customWidth="1"/>
    <col min="11" max="12" width="19.83984375" style="86" customWidth="1"/>
    <col min="13" max="13" width="23.68359375" style="86" customWidth="1"/>
    <col min="14" max="15" width="20.15625" style="86" customWidth="1"/>
    <col min="16" max="16" width="21.15625" style="86" customWidth="1"/>
    <col min="17" max="17" width="19.83984375" style="86" customWidth="1"/>
    <col min="18" max="18" width="21.15625" style="86" bestFit="1" customWidth="1"/>
    <col min="19" max="22" width="17.68359375" style="86" customWidth="1"/>
    <col min="23" max="23" width="18" style="86" customWidth="1"/>
    <col min="24" max="24" width="19.15625" style="86" customWidth="1"/>
    <col min="25" max="25" width="16.83984375" style="86" customWidth="1"/>
    <col min="26" max="26" width="25.578125" style="86" customWidth="1"/>
    <col min="27" max="27" width="15.83984375" style="86" bestFit="1" customWidth="1"/>
    <col min="28" max="28" width="25.83984375" style="86" bestFit="1" customWidth="1"/>
    <col min="29" max="30" width="10.26171875" style="86" bestFit="1" customWidth="1"/>
    <col min="31" max="31" width="11.68359375" style="86" bestFit="1" customWidth="1"/>
    <col min="32" max="32" width="21.68359375" style="86" customWidth="1"/>
    <col min="33" max="33" width="20.578125" style="86" customWidth="1"/>
    <col min="34" max="34" width="13.83984375" style="86" customWidth="1"/>
    <col min="35" max="16384" width="9.15625" style="86"/>
  </cols>
  <sheetData>
    <row r="1" spans="1:27" ht="12" customHeight="1" x14ac:dyDescent="0.5">
      <c r="A1" s="84"/>
      <c r="B1" s="84"/>
      <c r="C1" s="84"/>
      <c r="D1" s="84">
        <v>1</v>
      </c>
      <c r="E1" s="84">
        <f>D1+1</f>
        <v>2</v>
      </c>
      <c r="F1" s="84">
        <f t="shared" ref="F1:W1" si="0">E1+1</f>
        <v>3</v>
      </c>
      <c r="G1" s="84">
        <f t="shared" si="0"/>
        <v>4</v>
      </c>
      <c r="H1" s="84">
        <f t="shared" si="0"/>
        <v>5</v>
      </c>
      <c r="I1" s="84">
        <f t="shared" si="0"/>
        <v>6</v>
      </c>
      <c r="J1" s="84">
        <f t="shared" si="0"/>
        <v>7</v>
      </c>
      <c r="K1" s="84">
        <f t="shared" si="0"/>
        <v>8</v>
      </c>
      <c r="L1" s="84">
        <f t="shared" si="0"/>
        <v>9</v>
      </c>
      <c r="M1" s="84">
        <f t="shared" si="0"/>
        <v>10</v>
      </c>
      <c r="N1" s="84">
        <f t="shared" si="0"/>
        <v>11</v>
      </c>
      <c r="O1" s="84">
        <f t="shared" si="0"/>
        <v>12</v>
      </c>
      <c r="P1" s="84">
        <f t="shared" si="0"/>
        <v>13</v>
      </c>
      <c r="Q1" s="84">
        <f t="shared" si="0"/>
        <v>14</v>
      </c>
      <c r="R1" s="84">
        <f>Q1+1</f>
        <v>15</v>
      </c>
      <c r="S1" s="84">
        <f t="shared" si="0"/>
        <v>16</v>
      </c>
      <c r="T1" s="84">
        <f t="shared" si="0"/>
        <v>17</v>
      </c>
      <c r="U1" s="84">
        <f t="shared" si="0"/>
        <v>18</v>
      </c>
      <c r="V1" s="84">
        <f t="shared" si="0"/>
        <v>19</v>
      </c>
      <c r="W1" s="84">
        <f t="shared" si="0"/>
        <v>20</v>
      </c>
    </row>
    <row r="2" spans="1:27" s="202" customFormat="1" ht="28.9" customHeight="1" x14ac:dyDescent="0.5">
      <c r="A2" s="198"/>
      <c r="B2" s="198"/>
      <c r="C2" s="198"/>
      <c r="D2" s="199"/>
      <c r="E2" s="200" t="s">
        <v>388</v>
      </c>
      <c r="F2" s="27" t="s">
        <v>62</v>
      </c>
      <c r="G2" s="201" t="s">
        <v>1482</v>
      </c>
      <c r="H2" s="510" t="s">
        <v>2567</v>
      </c>
      <c r="I2" s="510" t="s">
        <v>2162</v>
      </c>
      <c r="J2" s="201" t="s">
        <v>2183</v>
      </c>
      <c r="K2" s="201" t="s">
        <v>1789</v>
      </c>
      <c r="L2" s="201" t="s">
        <v>1789</v>
      </c>
      <c r="M2" s="201" t="s">
        <v>1792</v>
      </c>
      <c r="N2" s="201" t="s">
        <v>1792</v>
      </c>
      <c r="O2" s="201" t="s">
        <v>1794</v>
      </c>
      <c r="P2" s="201" t="s">
        <v>2086</v>
      </c>
      <c r="Q2" s="201" t="s">
        <v>2105</v>
      </c>
      <c r="R2" s="201" t="s">
        <v>2106</v>
      </c>
      <c r="S2" s="275" t="s">
        <v>2126</v>
      </c>
      <c r="T2" s="275" t="s">
        <v>2338</v>
      </c>
      <c r="U2" s="275" t="s">
        <v>2331</v>
      </c>
      <c r="V2" s="275" t="s">
        <v>2332</v>
      </c>
      <c r="W2" s="462" t="s">
        <v>2550</v>
      </c>
      <c r="Y2" s="198"/>
      <c r="Z2" s="35"/>
    </row>
    <row r="3" spans="1:27" ht="17.25" customHeight="1" thickBot="1" x14ac:dyDescent="0.55000000000000004">
      <c r="A3" s="28" t="s">
        <v>99</v>
      </c>
      <c r="B3" s="28"/>
      <c r="C3" s="29" t="s">
        <v>1623</v>
      </c>
      <c r="D3" s="30" t="s">
        <v>100</v>
      </c>
      <c r="E3" s="30" t="s">
        <v>101</v>
      </c>
      <c r="F3" s="21" t="s">
        <v>102</v>
      </c>
      <c r="G3" s="402" t="s">
        <v>2568</v>
      </c>
      <c r="H3" s="402" t="s">
        <v>2572</v>
      </c>
      <c r="I3" s="29" t="s">
        <v>2181</v>
      </c>
      <c r="J3" s="29" t="s">
        <v>2184</v>
      </c>
      <c r="K3" s="29" t="s">
        <v>1790</v>
      </c>
      <c r="L3" s="29" t="s">
        <v>1791</v>
      </c>
      <c r="M3" s="29" t="s">
        <v>1793</v>
      </c>
      <c r="N3" s="225" t="s">
        <v>2123</v>
      </c>
      <c r="O3" s="402" t="s">
        <v>2334</v>
      </c>
      <c r="P3" s="29" t="s">
        <v>2101</v>
      </c>
      <c r="Q3" s="402" t="s">
        <v>2336</v>
      </c>
      <c r="R3" s="29" t="s">
        <v>2100</v>
      </c>
      <c r="S3" s="225" t="s">
        <v>2127</v>
      </c>
      <c r="T3" s="29" t="s">
        <v>2337</v>
      </c>
      <c r="U3" s="402" t="s">
        <v>2339</v>
      </c>
      <c r="V3" s="402" t="s">
        <v>2340</v>
      </c>
      <c r="W3" s="402" t="s">
        <v>2551</v>
      </c>
      <c r="X3" s="21" t="s">
        <v>106</v>
      </c>
      <c r="Y3" s="21" t="s">
        <v>107</v>
      </c>
      <c r="Z3" s="21" t="s">
        <v>816</v>
      </c>
    </row>
    <row r="5" spans="1:27" ht="12" customHeight="1" x14ac:dyDescent="0.5">
      <c r="A5" s="22" t="s">
        <v>108</v>
      </c>
    </row>
    <row r="7" spans="1:27" ht="12" customHeight="1" x14ac:dyDescent="0.5">
      <c r="A7" s="23" t="s">
        <v>137</v>
      </c>
    </row>
    <row r="8" spans="1:27" ht="12" customHeight="1" x14ac:dyDescent="0.5">
      <c r="A8" s="96" t="s">
        <v>2273</v>
      </c>
      <c r="C8" s="86" t="s">
        <v>176</v>
      </c>
      <c r="D8" s="86" t="s">
        <v>138</v>
      </c>
      <c r="E8" s="86" t="s">
        <v>2364</v>
      </c>
      <c r="F8" s="89">
        <f>VLOOKUP(C8,'WSS-26'!$C$1:$AU$617,6,)</f>
        <v>6073014122.7946768</v>
      </c>
      <c r="G8" s="89">
        <f t="shared" ref="G8:W8" si="1">IF(VLOOKUP($E8,$D$5:$W$978,3,)=0,0,(VLOOKUP($E8,$D$5:$W$978,G$1,)/VLOOKUP($E8,$D$5:$W$978,3,))*$F8)</f>
        <v>2488249046.62748</v>
      </c>
      <c r="H8" s="89">
        <f t="shared" si="1"/>
        <v>2541147.8973416761</v>
      </c>
      <c r="I8" s="89">
        <f t="shared" si="1"/>
        <v>670877712.94390798</v>
      </c>
      <c r="J8" s="89">
        <f t="shared" si="1"/>
        <v>43048390.257249579</v>
      </c>
      <c r="K8" s="89">
        <f t="shared" si="1"/>
        <v>625620321.44222236</v>
      </c>
      <c r="L8" s="89">
        <f t="shared" si="1"/>
        <v>27180188.49436672</v>
      </c>
      <c r="M8" s="89">
        <f t="shared" si="1"/>
        <v>601675635.97869003</v>
      </c>
      <c r="N8" s="89">
        <f t="shared" si="1"/>
        <v>1101433841.1647117</v>
      </c>
      <c r="O8" s="89">
        <f t="shared" si="1"/>
        <v>358533296.26049989</v>
      </c>
      <c r="P8" s="89">
        <f t="shared" si="1"/>
        <v>148468144.67818588</v>
      </c>
      <c r="Q8" s="89">
        <f t="shared" si="1"/>
        <v>967723.95561369124</v>
      </c>
      <c r="R8" s="89">
        <f t="shared" si="1"/>
        <v>35208.776281799255</v>
      </c>
      <c r="S8" s="89">
        <f t="shared" si="1"/>
        <v>575743.78932526777</v>
      </c>
      <c r="T8" s="89">
        <f t="shared" si="1"/>
        <v>74108.081357948686</v>
      </c>
      <c r="U8" s="89">
        <f t="shared" si="1"/>
        <v>5011.2974414638984</v>
      </c>
      <c r="V8" s="89">
        <f t="shared" si="1"/>
        <v>3325057.92</v>
      </c>
      <c r="W8" s="89">
        <f t="shared" si="1"/>
        <v>403543.23</v>
      </c>
      <c r="X8" s="91">
        <f t="shared" ref="X8:X14" si="2">SUM(G8:W8)</f>
        <v>6073014122.7946758</v>
      </c>
      <c r="Y8" s="87" t="str">
        <f t="shared" ref="Y8:Y14" si="3">IF(ABS(F8-X8)&lt;0.01,"ok","err")</f>
        <v>ok</v>
      </c>
      <c r="Z8" s="203" t="str">
        <f t="shared" ref="Z8:Z14" si="4">IF(Y8="err",X8-F8,"")</f>
        <v/>
      </c>
    </row>
    <row r="9" spans="1:27" ht="12" hidden="1" customHeight="1" x14ac:dyDescent="0.5">
      <c r="A9" s="96" t="s">
        <v>2274</v>
      </c>
      <c r="C9" s="86" t="s">
        <v>176</v>
      </c>
      <c r="D9" s="86" t="s">
        <v>139</v>
      </c>
      <c r="E9" s="86" t="s">
        <v>2272</v>
      </c>
      <c r="F9" s="90">
        <f>VLOOKUP(C9,'WSS-26'!$C$1:$AU$617,7,)</f>
        <v>0</v>
      </c>
      <c r="G9" s="89">
        <f>IF(VLOOKUP($E9,$D$5:$W$978,3,)=0,0,(VLOOKUP($E9,$D$5:$W$978,G$1,)/VLOOKUP($E9,$D$5:$W$978,3,))*$F9)</f>
        <v>0</v>
      </c>
      <c r="H9" s="89"/>
      <c r="I9" s="89">
        <f t="shared" ref="I9:W13" si="5">IF(VLOOKUP($E9,$D$5:$W$978,3,)=0,0,(VLOOKUP($E9,$D$5:$W$978,I$1,)/VLOOKUP($E9,$D$5:$W$978,3,))*$F9)</f>
        <v>0</v>
      </c>
      <c r="J9" s="89">
        <f t="shared" si="5"/>
        <v>0</v>
      </c>
      <c r="K9" s="89">
        <f t="shared" si="5"/>
        <v>0</v>
      </c>
      <c r="L9" s="89">
        <f t="shared" si="5"/>
        <v>0</v>
      </c>
      <c r="M9" s="89">
        <f t="shared" si="5"/>
        <v>0</v>
      </c>
      <c r="N9" s="89">
        <f t="shared" si="5"/>
        <v>0</v>
      </c>
      <c r="O9" s="89">
        <f t="shared" si="5"/>
        <v>0</v>
      </c>
      <c r="P9" s="89">
        <f t="shared" si="5"/>
        <v>0</v>
      </c>
      <c r="Q9" s="89">
        <f t="shared" si="5"/>
        <v>0</v>
      </c>
      <c r="R9" s="89">
        <f t="shared" si="5"/>
        <v>0</v>
      </c>
      <c r="S9" s="89">
        <f t="shared" si="5"/>
        <v>0</v>
      </c>
      <c r="T9" s="89">
        <f t="shared" si="5"/>
        <v>0</v>
      </c>
      <c r="U9" s="89">
        <f t="shared" si="5"/>
        <v>0</v>
      </c>
      <c r="V9" s="89">
        <f t="shared" si="5"/>
        <v>0</v>
      </c>
      <c r="W9" s="89">
        <f t="shared" si="5"/>
        <v>0</v>
      </c>
      <c r="X9" s="91">
        <f t="shared" si="2"/>
        <v>0</v>
      </c>
      <c r="Y9" s="87" t="str">
        <f t="shared" si="3"/>
        <v>ok</v>
      </c>
      <c r="Z9" s="203" t="str">
        <f t="shared" si="4"/>
        <v/>
      </c>
    </row>
    <row r="10" spans="1:27" ht="12" hidden="1" customHeight="1" x14ac:dyDescent="0.5">
      <c r="A10" s="96" t="s">
        <v>2274</v>
      </c>
      <c r="C10" s="86" t="s">
        <v>176</v>
      </c>
      <c r="D10" s="86" t="s">
        <v>140</v>
      </c>
      <c r="E10" s="86" t="s">
        <v>2272</v>
      </c>
      <c r="F10" s="90">
        <f>VLOOKUP(C10,'WSS-26'!$C$1:$AU$617,8,)</f>
        <v>0</v>
      </c>
      <c r="G10" s="89">
        <f>IF(VLOOKUP($E10,$D$5:$W$978,3,)=0,0,(VLOOKUP($E10,$D$5:$W$978,G$1,)/VLOOKUP($E10,$D$5:$W$978,3,))*$F10)</f>
        <v>0</v>
      </c>
      <c r="H10" s="89"/>
      <c r="I10" s="89">
        <f t="shared" si="5"/>
        <v>0</v>
      </c>
      <c r="J10" s="89">
        <f t="shared" si="5"/>
        <v>0</v>
      </c>
      <c r="K10" s="89">
        <f t="shared" si="5"/>
        <v>0</v>
      </c>
      <c r="L10" s="89">
        <f t="shared" si="5"/>
        <v>0</v>
      </c>
      <c r="M10" s="89">
        <f t="shared" si="5"/>
        <v>0</v>
      </c>
      <c r="N10" s="89">
        <f t="shared" si="5"/>
        <v>0</v>
      </c>
      <c r="O10" s="89">
        <f t="shared" si="5"/>
        <v>0</v>
      </c>
      <c r="P10" s="89">
        <f t="shared" si="5"/>
        <v>0</v>
      </c>
      <c r="Q10" s="89">
        <f t="shared" si="5"/>
        <v>0</v>
      </c>
      <c r="R10" s="89">
        <f t="shared" si="5"/>
        <v>0</v>
      </c>
      <c r="S10" s="89">
        <f t="shared" si="5"/>
        <v>0</v>
      </c>
      <c r="T10" s="89">
        <f t="shared" si="5"/>
        <v>0</v>
      </c>
      <c r="U10" s="89">
        <f t="shared" si="5"/>
        <v>0</v>
      </c>
      <c r="V10" s="89">
        <f t="shared" si="5"/>
        <v>0</v>
      </c>
      <c r="W10" s="89">
        <f t="shared" si="5"/>
        <v>0</v>
      </c>
      <c r="X10" s="91">
        <f t="shared" si="2"/>
        <v>0</v>
      </c>
      <c r="Y10" s="87" t="str">
        <f t="shared" si="3"/>
        <v>ok</v>
      </c>
      <c r="Z10" s="203" t="str">
        <f t="shared" si="4"/>
        <v/>
      </c>
      <c r="AA10" s="91"/>
    </row>
    <row r="11" spans="1:27" ht="12" customHeight="1" x14ac:dyDescent="0.5">
      <c r="A11" s="96" t="s">
        <v>2276</v>
      </c>
      <c r="C11" s="86" t="s">
        <v>176</v>
      </c>
      <c r="D11" s="86" t="s">
        <v>141</v>
      </c>
      <c r="E11" s="86" t="s">
        <v>390</v>
      </c>
      <c r="F11" s="90">
        <f>VLOOKUP(C11,'WSS-26'!$C$1:$AU$617,9,)</f>
        <v>0</v>
      </c>
      <c r="G11" s="89">
        <f>IF(VLOOKUP($E11,$D$5:$W$978,3,)=0,0,(VLOOKUP($E11,$D$5:$W$978,G$1,)/VLOOKUP($E11,$D$5:$W$978,3,))*$F11)</f>
        <v>0</v>
      </c>
      <c r="H11" s="89">
        <f>IF(VLOOKUP($E11,$D$5:$W$978,3,)=0,0,(VLOOKUP($E11,$D$5:$W$978,H$1,)/VLOOKUP($E11,$D$5:$W$978,3,))*$F11)</f>
        <v>0</v>
      </c>
      <c r="I11" s="89">
        <f t="shared" si="5"/>
        <v>0</v>
      </c>
      <c r="J11" s="89">
        <f t="shared" si="5"/>
        <v>0</v>
      </c>
      <c r="K11" s="89">
        <f t="shared" si="5"/>
        <v>0</v>
      </c>
      <c r="L11" s="89">
        <f t="shared" si="5"/>
        <v>0</v>
      </c>
      <c r="M11" s="89">
        <f t="shared" si="5"/>
        <v>0</v>
      </c>
      <c r="N11" s="89">
        <f t="shared" si="5"/>
        <v>0</v>
      </c>
      <c r="O11" s="89">
        <f t="shared" si="5"/>
        <v>0</v>
      </c>
      <c r="P11" s="89">
        <f t="shared" si="5"/>
        <v>0</v>
      </c>
      <c r="Q11" s="89">
        <f t="shared" si="5"/>
        <v>0</v>
      </c>
      <c r="R11" s="89">
        <f t="shared" si="5"/>
        <v>0</v>
      </c>
      <c r="S11" s="89">
        <f t="shared" si="5"/>
        <v>0</v>
      </c>
      <c r="T11" s="89">
        <f t="shared" si="5"/>
        <v>0</v>
      </c>
      <c r="U11" s="89">
        <f t="shared" si="5"/>
        <v>0</v>
      </c>
      <c r="V11" s="89">
        <f t="shared" si="5"/>
        <v>0</v>
      </c>
      <c r="W11" s="89">
        <f t="shared" si="5"/>
        <v>0</v>
      </c>
      <c r="X11" s="91">
        <f t="shared" si="2"/>
        <v>0</v>
      </c>
      <c r="Y11" s="87" t="str">
        <f t="shared" si="3"/>
        <v>ok</v>
      </c>
      <c r="Z11" s="203" t="str">
        <f t="shared" si="4"/>
        <v/>
      </c>
    </row>
    <row r="12" spans="1:27" ht="12" hidden="1" customHeight="1" x14ac:dyDescent="0.5">
      <c r="A12" s="96" t="s">
        <v>2275</v>
      </c>
      <c r="C12" s="86" t="s">
        <v>176</v>
      </c>
      <c r="D12" s="86" t="s">
        <v>142</v>
      </c>
      <c r="E12" s="86" t="s">
        <v>390</v>
      </c>
      <c r="F12" s="90">
        <f>VLOOKUP(C12,'WSS-26'!$C$1:$AU$617,10,)</f>
        <v>0</v>
      </c>
      <c r="G12" s="89">
        <f>IF(VLOOKUP($E12,$D$5:$W$978,3,)=0,0,(VLOOKUP($E12,$D$5:$W$978,G$1,)/VLOOKUP($E12,$D$5:$W$978,3,))*$F12)</f>
        <v>0</v>
      </c>
      <c r="H12" s="89"/>
      <c r="I12" s="89">
        <f t="shared" si="5"/>
        <v>0</v>
      </c>
      <c r="J12" s="89">
        <f t="shared" si="5"/>
        <v>0</v>
      </c>
      <c r="K12" s="89">
        <f t="shared" si="5"/>
        <v>0</v>
      </c>
      <c r="L12" s="89">
        <f t="shared" si="5"/>
        <v>0</v>
      </c>
      <c r="M12" s="89">
        <f t="shared" si="5"/>
        <v>0</v>
      </c>
      <c r="N12" s="89">
        <f t="shared" si="5"/>
        <v>0</v>
      </c>
      <c r="O12" s="89">
        <f t="shared" si="5"/>
        <v>0</v>
      </c>
      <c r="P12" s="89">
        <f t="shared" si="5"/>
        <v>0</v>
      </c>
      <c r="Q12" s="89">
        <f t="shared" si="5"/>
        <v>0</v>
      </c>
      <c r="R12" s="89">
        <f t="shared" si="5"/>
        <v>0</v>
      </c>
      <c r="S12" s="89">
        <f t="shared" si="5"/>
        <v>0</v>
      </c>
      <c r="T12" s="89">
        <f t="shared" si="5"/>
        <v>0</v>
      </c>
      <c r="U12" s="89">
        <f t="shared" si="5"/>
        <v>0</v>
      </c>
      <c r="V12" s="89">
        <f t="shared" si="5"/>
        <v>0</v>
      </c>
      <c r="W12" s="89">
        <f t="shared" si="5"/>
        <v>0</v>
      </c>
      <c r="X12" s="91">
        <f t="shared" si="2"/>
        <v>0</v>
      </c>
      <c r="Y12" s="87" t="str">
        <f t="shared" si="3"/>
        <v>ok</v>
      </c>
      <c r="Z12" s="203" t="str">
        <f t="shared" si="4"/>
        <v/>
      </c>
    </row>
    <row r="13" spans="1:27" ht="12" hidden="1" customHeight="1" x14ac:dyDescent="0.5">
      <c r="A13" s="96" t="s">
        <v>2275</v>
      </c>
      <c r="C13" s="86" t="s">
        <v>176</v>
      </c>
      <c r="D13" s="86" t="s">
        <v>143</v>
      </c>
      <c r="E13" s="86" t="s">
        <v>390</v>
      </c>
      <c r="F13" s="90">
        <f>VLOOKUP(C13,'WSS-26'!$C$1:$AU$617,11,)</f>
        <v>0</v>
      </c>
      <c r="G13" s="89">
        <f>IF(VLOOKUP($E13,$D$5:$W$978,3,)=0,0,(VLOOKUP($E13,$D$5:$W$978,G$1,)/VLOOKUP($E13,$D$5:$W$978,3,))*$F13)</f>
        <v>0</v>
      </c>
      <c r="H13" s="89"/>
      <c r="I13" s="89">
        <f t="shared" si="5"/>
        <v>0</v>
      </c>
      <c r="J13" s="89">
        <f t="shared" si="5"/>
        <v>0</v>
      </c>
      <c r="K13" s="89">
        <f t="shared" si="5"/>
        <v>0</v>
      </c>
      <c r="L13" s="89">
        <f t="shared" si="5"/>
        <v>0</v>
      </c>
      <c r="M13" s="89">
        <f t="shared" si="5"/>
        <v>0</v>
      </c>
      <c r="N13" s="89">
        <f t="shared" si="5"/>
        <v>0</v>
      </c>
      <c r="O13" s="89">
        <f t="shared" si="5"/>
        <v>0</v>
      </c>
      <c r="P13" s="89">
        <f t="shared" si="5"/>
        <v>0</v>
      </c>
      <c r="Q13" s="89">
        <f t="shared" si="5"/>
        <v>0</v>
      </c>
      <c r="R13" s="89">
        <f t="shared" si="5"/>
        <v>0</v>
      </c>
      <c r="S13" s="89">
        <f t="shared" si="5"/>
        <v>0</v>
      </c>
      <c r="T13" s="89">
        <f t="shared" si="5"/>
        <v>0</v>
      </c>
      <c r="U13" s="89">
        <f t="shared" si="5"/>
        <v>0</v>
      </c>
      <c r="V13" s="89">
        <f t="shared" si="5"/>
        <v>0</v>
      </c>
      <c r="W13" s="89">
        <f t="shared" si="5"/>
        <v>0</v>
      </c>
      <c r="X13" s="91">
        <f t="shared" si="2"/>
        <v>0</v>
      </c>
      <c r="Y13" s="87" t="str">
        <f t="shared" si="3"/>
        <v>ok</v>
      </c>
      <c r="Z13" s="203" t="str">
        <f t="shared" si="4"/>
        <v/>
      </c>
    </row>
    <row r="14" spans="1:27" ht="12" customHeight="1" x14ac:dyDescent="0.5">
      <c r="A14" s="86" t="s">
        <v>160</v>
      </c>
      <c r="D14" s="86" t="s">
        <v>391</v>
      </c>
      <c r="F14" s="89">
        <f>SUM(F8:F13)</f>
        <v>6073014122.7946768</v>
      </c>
      <c r="G14" s="89">
        <f t="shared" ref="G14:P14" si="6">SUM(G8:G13)</f>
        <v>2488249046.62748</v>
      </c>
      <c r="H14" s="89">
        <f t="shared" si="6"/>
        <v>2541147.8973416761</v>
      </c>
      <c r="I14" s="89">
        <f t="shared" si="6"/>
        <v>670877712.94390798</v>
      </c>
      <c r="J14" s="89">
        <f>SUM(J8:J13)</f>
        <v>43048390.257249579</v>
      </c>
      <c r="K14" s="89">
        <f>SUM(K8:K13)</f>
        <v>625620321.44222236</v>
      </c>
      <c r="L14" s="89">
        <f>SUM(L8:L13)</f>
        <v>27180188.49436672</v>
      </c>
      <c r="M14" s="89">
        <f t="shared" si="6"/>
        <v>601675635.97869003</v>
      </c>
      <c r="N14" s="89">
        <f t="shared" si="6"/>
        <v>1101433841.1647117</v>
      </c>
      <c r="O14" s="89">
        <f t="shared" si="6"/>
        <v>358533296.26049989</v>
      </c>
      <c r="P14" s="89">
        <f t="shared" si="6"/>
        <v>148468144.67818588</v>
      </c>
      <c r="Q14" s="89">
        <f t="shared" ref="Q14:W14" si="7">SUM(Q8:Q13)</f>
        <v>967723.95561369124</v>
      </c>
      <c r="R14" s="89">
        <f t="shared" si="7"/>
        <v>35208.776281799255</v>
      </c>
      <c r="S14" s="89">
        <f t="shared" si="7"/>
        <v>575743.78932526777</v>
      </c>
      <c r="T14" s="89">
        <f t="shared" si="7"/>
        <v>74108.081357948686</v>
      </c>
      <c r="U14" s="89">
        <f t="shared" si="7"/>
        <v>5011.2974414638984</v>
      </c>
      <c r="V14" s="89">
        <f t="shared" si="7"/>
        <v>3325057.92</v>
      </c>
      <c r="W14" s="89">
        <f t="shared" si="7"/>
        <v>403543.23</v>
      </c>
      <c r="X14" s="91">
        <f t="shared" si="2"/>
        <v>6073014122.7946758</v>
      </c>
      <c r="Y14" s="87" t="str">
        <f t="shared" si="3"/>
        <v>ok</v>
      </c>
      <c r="Z14" s="203" t="str">
        <f t="shared" si="4"/>
        <v/>
      </c>
    </row>
    <row r="15" spans="1:27" ht="12" customHeight="1" x14ac:dyDescent="0.5">
      <c r="F15" s="90"/>
      <c r="G15" s="204"/>
      <c r="H15" s="204"/>
      <c r="I15" s="204"/>
      <c r="J15" s="204"/>
      <c r="K15" s="204"/>
      <c r="L15" s="204"/>
      <c r="M15" s="204"/>
      <c r="N15" s="204"/>
      <c r="O15" s="204"/>
    </row>
    <row r="16" spans="1:27" ht="12" customHeight="1" x14ac:dyDescent="0.5">
      <c r="A16" s="23" t="s">
        <v>441</v>
      </c>
      <c r="F16" s="90"/>
      <c r="G16" s="90"/>
      <c r="H16" s="90"/>
    </row>
    <row r="17" spans="1:26" ht="12" customHeight="1" x14ac:dyDescent="0.5">
      <c r="A17" s="96" t="s">
        <v>2247</v>
      </c>
      <c r="C17" s="86" t="s">
        <v>176</v>
      </c>
      <c r="D17" s="86" t="s">
        <v>133</v>
      </c>
      <c r="E17" s="86" t="s">
        <v>2248</v>
      </c>
      <c r="F17" s="89">
        <f>VLOOKUP(C17,'WSS-26'!$C$1:$AU$617,13,)</f>
        <v>1314530302.8368411</v>
      </c>
      <c r="G17" s="89">
        <f t="shared" ref="G17:P19" si="8">IF(VLOOKUP($E17,$D$5:$W$978,3,)=0,0,(VLOOKUP($E17,$D$5:$W$978,G$1,)/VLOOKUP($E17,$D$5:$W$978,3,))*$F17)</f>
        <v>579627091.60392749</v>
      </c>
      <c r="H17" s="89">
        <f t="shared" si="8"/>
        <v>1862195.4491886254</v>
      </c>
      <c r="I17" s="89">
        <f t="shared" si="8"/>
        <v>149130465.19712743</v>
      </c>
      <c r="J17" s="89">
        <f t="shared" si="8"/>
        <v>15262651.83261152</v>
      </c>
      <c r="K17" s="89">
        <f t="shared" si="8"/>
        <v>133037403.50391562</v>
      </c>
      <c r="L17" s="89">
        <f t="shared" si="8"/>
        <v>5716725.8159202384</v>
      </c>
      <c r="M17" s="89">
        <f t="shared" si="8"/>
        <v>117693515.97486165</v>
      </c>
      <c r="N17" s="89">
        <f t="shared" si="8"/>
        <v>191679762.45910487</v>
      </c>
      <c r="O17" s="89">
        <f t="shared" si="8"/>
        <v>66470397.849760465</v>
      </c>
      <c r="P17" s="89">
        <f t="shared" si="8"/>
        <v>44540265.062320352</v>
      </c>
      <c r="Q17" s="89">
        <f t="shared" ref="Q17:W19" si="9">IF(VLOOKUP($E17,$D$5:$W$978,3,)=0,0,(VLOOKUP($E17,$D$5:$W$978,Q$1,)/VLOOKUP($E17,$D$5:$W$978,3,))*$F17)</f>
        <v>8970899.4630384352</v>
      </c>
      <c r="R17" s="89">
        <f t="shared" si="9"/>
        <v>326388.9360270435</v>
      </c>
      <c r="S17" s="89">
        <f t="shared" si="9"/>
        <v>87937.151364702164</v>
      </c>
      <c r="T17" s="89">
        <f t="shared" si="9"/>
        <v>123829.84329391646</v>
      </c>
      <c r="U17" s="89">
        <f t="shared" si="9"/>
        <v>772.69437883932176</v>
      </c>
      <c r="V17" s="89">
        <f t="shared" si="9"/>
        <v>0</v>
      </c>
      <c r="W17" s="89">
        <f t="shared" si="9"/>
        <v>0</v>
      </c>
      <c r="X17" s="91">
        <f>SUM(G17:W17)</f>
        <v>1314530302.8368413</v>
      </c>
      <c r="Y17" s="87" t="str">
        <f>IF(ABS(F17-X17)&lt;0.01,"ok","err")</f>
        <v>ok</v>
      </c>
      <c r="Z17" s="203" t="str">
        <f>IF(Y17="err",X17-F17,"")</f>
        <v/>
      </c>
    </row>
    <row r="18" spans="1:26" ht="12" hidden="1" customHeight="1" x14ac:dyDescent="0.5">
      <c r="A18" s="96" t="s">
        <v>2246</v>
      </c>
      <c r="C18" s="86" t="s">
        <v>176</v>
      </c>
      <c r="D18" s="86" t="s">
        <v>134</v>
      </c>
      <c r="E18" s="86" t="s">
        <v>2248</v>
      </c>
      <c r="F18" s="90">
        <f>VLOOKUP(C18,'WSS-26'!$C$1:$AU$617,14,)</f>
        <v>0</v>
      </c>
      <c r="G18" s="89">
        <f t="shared" si="8"/>
        <v>0</v>
      </c>
      <c r="H18" s="89">
        <f t="shared" si="8"/>
        <v>0</v>
      </c>
      <c r="I18" s="89">
        <f t="shared" si="8"/>
        <v>0</v>
      </c>
      <c r="J18" s="89">
        <f t="shared" si="8"/>
        <v>0</v>
      </c>
      <c r="K18" s="89">
        <f t="shared" si="8"/>
        <v>0</v>
      </c>
      <c r="L18" s="89">
        <f t="shared" si="8"/>
        <v>0</v>
      </c>
      <c r="M18" s="89">
        <f t="shared" si="8"/>
        <v>0</v>
      </c>
      <c r="N18" s="89">
        <f t="shared" si="8"/>
        <v>0</v>
      </c>
      <c r="O18" s="89">
        <f t="shared" si="8"/>
        <v>0</v>
      </c>
      <c r="P18" s="89">
        <f t="shared" si="8"/>
        <v>0</v>
      </c>
      <c r="Q18" s="89">
        <f t="shared" si="9"/>
        <v>0</v>
      </c>
      <c r="R18" s="89">
        <f t="shared" si="9"/>
        <v>0</v>
      </c>
      <c r="S18" s="89">
        <f t="shared" si="9"/>
        <v>0</v>
      </c>
      <c r="T18" s="89">
        <f t="shared" si="9"/>
        <v>0</v>
      </c>
      <c r="U18" s="89">
        <f t="shared" si="9"/>
        <v>0</v>
      </c>
      <c r="V18" s="89">
        <f t="shared" si="9"/>
        <v>0</v>
      </c>
      <c r="W18" s="89">
        <f t="shared" si="9"/>
        <v>0</v>
      </c>
      <c r="X18" s="91">
        <f>SUM(G18:W18)</f>
        <v>0</v>
      </c>
      <c r="Y18" s="87" t="str">
        <f>IF(ABS(F18-X18)&lt;0.01,"ok","err")</f>
        <v>ok</v>
      </c>
      <c r="Z18" s="203" t="str">
        <f>IF(Y18="err",X18-F18,"")</f>
        <v/>
      </c>
    </row>
    <row r="19" spans="1:26" ht="12" hidden="1" customHeight="1" x14ac:dyDescent="0.5">
      <c r="A19" s="96" t="s">
        <v>2246</v>
      </c>
      <c r="C19" s="86" t="s">
        <v>176</v>
      </c>
      <c r="D19" s="86" t="s">
        <v>135</v>
      </c>
      <c r="E19" s="86" t="s">
        <v>2248</v>
      </c>
      <c r="F19" s="90">
        <f>VLOOKUP(C19,'WSS-26'!$C$1:$AU$617,15,)</f>
        <v>0</v>
      </c>
      <c r="G19" s="89">
        <f t="shared" si="8"/>
        <v>0</v>
      </c>
      <c r="H19" s="89">
        <f t="shared" si="8"/>
        <v>0</v>
      </c>
      <c r="I19" s="89">
        <f t="shared" si="8"/>
        <v>0</v>
      </c>
      <c r="J19" s="89">
        <f t="shared" si="8"/>
        <v>0</v>
      </c>
      <c r="K19" s="89">
        <f t="shared" si="8"/>
        <v>0</v>
      </c>
      <c r="L19" s="89">
        <f t="shared" si="8"/>
        <v>0</v>
      </c>
      <c r="M19" s="89">
        <f t="shared" si="8"/>
        <v>0</v>
      </c>
      <c r="N19" s="89">
        <f t="shared" si="8"/>
        <v>0</v>
      </c>
      <c r="O19" s="89">
        <f t="shared" si="8"/>
        <v>0</v>
      </c>
      <c r="P19" s="89">
        <f t="shared" si="8"/>
        <v>0</v>
      </c>
      <c r="Q19" s="89">
        <f t="shared" si="9"/>
        <v>0</v>
      </c>
      <c r="R19" s="89">
        <f t="shared" si="9"/>
        <v>0</v>
      </c>
      <c r="S19" s="89">
        <f t="shared" si="9"/>
        <v>0</v>
      </c>
      <c r="T19" s="89">
        <f t="shared" si="9"/>
        <v>0</v>
      </c>
      <c r="U19" s="89">
        <f t="shared" si="9"/>
        <v>0</v>
      </c>
      <c r="V19" s="89">
        <f t="shared" si="9"/>
        <v>0</v>
      </c>
      <c r="W19" s="89">
        <f t="shared" si="9"/>
        <v>0</v>
      </c>
      <c r="X19" s="91">
        <f>SUM(G19:W19)</f>
        <v>0</v>
      </c>
      <c r="Y19" s="87" t="str">
        <f>IF(ABS(F19-X19)&lt;0.01,"ok","err")</f>
        <v>ok</v>
      </c>
      <c r="Z19" s="203" t="str">
        <f>IF(Y19="err",X19-F19,"")</f>
        <v/>
      </c>
    </row>
    <row r="20" spans="1:26" ht="12" hidden="1" customHeight="1" x14ac:dyDescent="0.5">
      <c r="A20" s="86" t="s">
        <v>443</v>
      </c>
      <c r="D20" s="86" t="s">
        <v>136</v>
      </c>
      <c r="F20" s="89">
        <f t="shared" ref="F20:U20" si="10">SUM(F17:F19)</f>
        <v>1314530302.8368411</v>
      </c>
      <c r="G20" s="89">
        <f t="shared" si="10"/>
        <v>579627091.60392749</v>
      </c>
      <c r="H20" s="89">
        <f t="shared" ref="H20" si="11">SUM(H17:H19)</f>
        <v>1862195.4491886254</v>
      </c>
      <c r="I20" s="89">
        <f t="shared" si="10"/>
        <v>149130465.19712743</v>
      </c>
      <c r="J20" s="89">
        <f>SUM(J17:J19)</f>
        <v>15262651.83261152</v>
      </c>
      <c r="K20" s="89">
        <f>SUM(K17:K19)</f>
        <v>133037403.50391562</v>
      </c>
      <c r="L20" s="89">
        <f>SUM(L17:L19)</f>
        <v>5716725.8159202384</v>
      </c>
      <c r="M20" s="89">
        <f t="shared" si="10"/>
        <v>117693515.97486165</v>
      </c>
      <c r="N20" s="89">
        <f t="shared" si="10"/>
        <v>191679762.45910487</v>
      </c>
      <c r="O20" s="89">
        <f t="shared" si="10"/>
        <v>66470397.849760465</v>
      </c>
      <c r="P20" s="89">
        <f t="shared" si="10"/>
        <v>44540265.062320352</v>
      </c>
      <c r="Q20" s="89">
        <f>SUM(Q17:Q19)</f>
        <v>8970899.4630384352</v>
      </c>
      <c r="R20" s="89">
        <f t="shared" si="10"/>
        <v>326388.9360270435</v>
      </c>
      <c r="S20" s="89">
        <f t="shared" si="10"/>
        <v>87937.151364702164</v>
      </c>
      <c r="T20" s="89">
        <f t="shared" si="10"/>
        <v>123829.84329391646</v>
      </c>
      <c r="U20" s="89">
        <f t="shared" si="10"/>
        <v>772.69437883932176</v>
      </c>
      <c r="V20" s="89"/>
      <c r="W20" s="89"/>
      <c r="X20" s="91">
        <f>SUM(G20:W20)</f>
        <v>1314530302.8368413</v>
      </c>
      <c r="Y20" s="87" t="str">
        <f>IF(ABS(F20-X20)&lt;0.01,"ok","err")</f>
        <v>ok</v>
      </c>
      <c r="Z20" s="203" t="str">
        <f>IF(Y20="err",X20-F20,"")</f>
        <v/>
      </c>
    </row>
    <row r="21" spans="1:26" ht="12" customHeight="1" x14ac:dyDescent="0.5">
      <c r="F21" s="90"/>
      <c r="G21" s="204"/>
      <c r="H21" s="204"/>
    </row>
    <row r="22" spans="1:26" ht="12" customHeight="1" x14ac:dyDescent="0.5">
      <c r="A22" s="23" t="s">
        <v>1627</v>
      </c>
      <c r="F22" s="90"/>
      <c r="G22" s="90"/>
      <c r="H22" s="90"/>
    </row>
    <row r="23" spans="1:26" ht="12" customHeight="1" x14ac:dyDescent="0.5">
      <c r="A23" s="96" t="s">
        <v>145</v>
      </c>
      <c r="C23" s="86" t="s">
        <v>176</v>
      </c>
      <c r="D23" s="86" t="s">
        <v>148</v>
      </c>
      <c r="E23" s="86" t="s">
        <v>2252</v>
      </c>
      <c r="F23" s="89">
        <f>VLOOKUP(C23,'WSS-26'!$C$1:$AU$617,17,)</f>
        <v>0</v>
      </c>
      <c r="G23" s="89">
        <f t="shared" ref="G23:W23" si="12">IF(VLOOKUP($E23,$D$5:$W$978,3,)=0,0,(VLOOKUP($E23,$D$5:$W$978,G$1,)/VLOOKUP($E23,$D$5:$W$978,3,))*$F23)</f>
        <v>0</v>
      </c>
      <c r="H23" s="89">
        <f t="shared" si="12"/>
        <v>0</v>
      </c>
      <c r="I23" s="89">
        <f t="shared" si="12"/>
        <v>0</v>
      </c>
      <c r="J23" s="89">
        <f t="shared" si="12"/>
        <v>0</v>
      </c>
      <c r="K23" s="89">
        <f t="shared" si="12"/>
        <v>0</v>
      </c>
      <c r="L23" s="89">
        <f t="shared" si="12"/>
        <v>0</v>
      </c>
      <c r="M23" s="89">
        <f t="shared" si="12"/>
        <v>0</v>
      </c>
      <c r="N23" s="89">
        <f t="shared" si="12"/>
        <v>0</v>
      </c>
      <c r="O23" s="89">
        <f t="shared" si="12"/>
        <v>0</v>
      </c>
      <c r="P23" s="89">
        <f t="shared" si="12"/>
        <v>0</v>
      </c>
      <c r="Q23" s="89">
        <f t="shared" si="12"/>
        <v>0</v>
      </c>
      <c r="R23" s="89">
        <f t="shared" si="12"/>
        <v>0</v>
      </c>
      <c r="S23" s="89">
        <f t="shared" si="12"/>
        <v>0</v>
      </c>
      <c r="T23" s="89">
        <f t="shared" si="12"/>
        <v>0</v>
      </c>
      <c r="U23" s="89">
        <f t="shared" si="12"/>
        <v>0</v>
      </c>
      <c r="V23" s="89">
        <f t="shared" si="12"/>
        <v>0</v>
      </c>
      <c r="W23" s="89">
        <f t="shared" si="12"/>
        <v>0</v>
      </c>
      <c r="X23" s="91">
        <f>SUM(G23:W23)</f>
        <v>0</v>
      </c>
      <c r="Y23" s="87" t="str">
        <f>IF(ABS(F23-X23)&lt;0.01,"ok","err")</f>
        <v>ok</v>
      </c>
      <c r="Z23" s="203" t="str">
        <f>IF(Y23="err",X23-F23,"")</f>
        <v/>
      </c>
    </row>
    <row r="24" spans="1:26" ht="12" customHeight="1" x14ac:dyDescent="0.5">
      <c r="F24" s="90"/>
    </row>
    <row r="25" spans="1:26" ht="12" customHeight="1" x14ac:dyDescent="0.5">
      <c r="A25" s="23" t="s">
        <v>1628</v>
      </c>
      <c r="F25" s="90"/>
      <c r="G25" s="90"/>
      <c r="H25" s="90"/>
    </row>
    <row r="26" spans="1:26" ht="12" customHeight="1" x14ac:dyDescent="0.5">
      <c r="A26" s="96" t="s">
        <v>147</v>
      </c>
      <c r="C26" s="86" t="s">
        <v>176</v>
      </c>
      <c r="D26" s="86" t="s">
        <v>149</v>
      </c>
      <c r="E26" s="86" t="s">
        <v>2252</v>
      </c>
      <c r="F26" s="89">
        <f>VLOOKUP(C26,'WSS-26'!$C$1:$AU$617,18,)</f>
        <v>354760183.45902979</v>
      </c>
      <c r="G26" s="89">
        <f t="shared" ref="G26:W26" si="13">IF(VLOOKUP($E26,$D$5:$W$978,3,)=0,0,(VLOOKUP($E26,$D$5:$W$978,G$1,)/VLOOKUP($E26,$D$5:$W$978,3,))*$F26)</f>
        <v>170856051.3130374</v>
      </c>
      <c r="H26" s="89">
        <f t="shared" si="13"/>
        <v>548917.33983836556</v>
      </c>
      <c r="I26" s="89">
        <f t="shared" si="13"/>
        <v>43959026.041295707</v>
      </c>
      <c r="J26" s="89">
        <f t="shared" si="13"/>
        <v>4498955.3843484083</v>
      </c>
      <c r="K26" s="89">
        <f t="shared" si="13"/>
        <v>39215291.639871046</v>
      </c>
      <c r="L26" s="89">
        <f t="shared" si="13"/>
        <v>1685113.0899431126</v>
      </c>
      <c r="M26" s="89">
        <f t="shared" si="13"/>
        <v>34692390.497084379</v>
      </c>
      <c r="N26" s="89">
        <f t="shared" si="13"/>
        <v>56501236.406600229</v>
      </c>
      <c r="O26" s="89">
        <f t="shared" si="13"/>
        <v>0</v>
      </c>
      <c r="P26" s="89">
        <f t="shared" si="13"/>
        <v>0</v>
      </c>
      <c r="Q26" s="89">
        <f t="shared" si="13"/>
        <v>2644342.3386916937</v>
      </c>
      <c r="R26" s="89">
        <f t="shared" si="13"/>
        <v>96209.313901342088</v>
      </c>
      <c r="S26" s="89">
        <f t="shared" si="13"/>
        <v>25921.139062555307</v>
      </c>
      <c r="T26" s="89">
        <f t="shared" si="13"/>
        <v>36501.189068588064</v>
      </c>
      <c r="U26" s="89">
        <f t="shared" si="13"/>
        <v>227.76628689826438</v>
      </c>
      <c r="V26" s="89">
        <f t="shared" si="13"/>
        <v>0</v>
      </c>
      <c r="W26" s="89">
        <f t="shared" si="13"/>
        <v>0</v>
      </c>
      <c r="X26" s="91">
        <f>SUM(G26:W26)</f>
        <v>354760183.45902985</v>
      </c>
      <c r="Y26" s="87" t="str">
        <f>IF(ABS(F26-X26)&lt;0.01,"ok","err")</f>
        <v>ok</v>
      </c>
      <c r="Z26" s="203" t="str">
        <f>IF(Y26="err",X26-F26,"")</f>
        <v/>
      </c>
    </row>
    <row r="27" spans="1:26" ht="12" customHeight="1" x14ac:dyDescent="0.5">
      <c r="F27" s="90"/>
    </row>
    <row r="28" spans="1:26" ht="12" customHeight="1" x14ac:dyDescent="0.5">
      <c r="A28" s="23" t="s">
        <v>146</v>
      </c>
      <c r="F28" s="90"/>
    </row>
    <row r="29" spans="1:26" ht="12" customHeight="1" x14ac:dyDescent="0.5">
      <c r="A29" s="96" t="s">
        <v>791</v>
      </c>
      <c r="C29" s="86" t="s">
        <v>176</v>
      </c>
      <c r="D29" s="86" t="s">
        <v>152</v>
      </c>
      <c r="E29" s="86" t="s">
        <v>2252</v>
      </c>
      <c r="F29" s="89">
        <f>VLOOKUP(C29,'WSS-26'!$C$1:$AU$617,19,)</f>
        <v>0</v>
      </c>
      <c r="G29" s="89">
        <f t="shared" ref="G29:P33" si="14">IF(VLOOKUP($E29,$D$5:$W$978,3,)=0,0,(VLOOKUP($E29,$D$5:$W$978,G$1,)/VLOOKUP($E29,$D$5:$W$978,3,))*$F29)</f>
        <v>0</v>
      </c>
      <c r="H29" s="89">
        <f t="shared" si="14"/>
        <v>0</v>
      </c>
      <c r="I29" s="89">
        <f t="shared" si="14"/>
        <v>0</v>
      </c>
      <c r="J29" s="89">
        <f t="shared" si="14"/>
        <v>0</v>
      </c>
      <c r="K29" s="89">
        <f t="shared" si="14"/>
        <v>0</v>
      </c>
      <c r="L29" s="89">
        <f t="shared" si="14"/>
        <v>0</v>
      </c>
      <c r="M29" s="89">
        <f t="shared" si="14"/>
        <v>0</v>
      </c>
      <c r="N29" s="89">
        <f t="shared" si="14"/>
        <v>0</v>
      </c>
      <c r="O29" s="89">
        <f t="shared" si="14"/>
        <v>0</v>
      </c>
      <c r="P29" s="89">
        <f t="shared" si="14"/>
        <v>0</v>
      </c>
      <c r="Q29" s="89">
        <f t="shared" ref="Q29:W33" si="15">IF(VLOOKUP($E29,$D$5:$W$978,3,)=0,0,(VLOOKUP($E29,$D$5:$W$978,Q$1,)/VLOOKUP($E29,$D$5:$W$978,3,))*$F29)</f>
        <v>0</v>
      </c>
      <c r="R29" s="89">
        <f t="shared" si="15"/>
        <v>0</v>
      </c>
      <c r="S29" s="89">
        <f t="shared" si="15"/>
        <v>0</v>
      </c>
      <c r="T29" s="89">
        <f t="shared" si="15"/>
        <v>0</v>
      </c>
      <c r="U29" s="89">
        <f t="shared" si="15"/>
        <v>0</v>
      </c>
      <c r="V29" s="89">
        <f t="shared" si="15"/>
        <v>0</v>
      </c>
      <c r="W29" s="89">
        <f t="shared" si="15"/>
        <v>0</v>
      </c>
      <c r="X29" s="91">
        <f t="shared" ref="X29:X34" si="16">SUM(G29:W29)</f>
        <v>0</v>
      </c>
      <c r="Y29" s="87" t="str">
        <f t="shared" ref="Y29:Y34" si="17">IF(ABS(F29-X29)&lt;0.01,"ok","err")</f>
        <v>ok</v>
      </c>
      <c r="Z29" s="203" t="str">
        <f t="shared" ref="Z29:Z34" si="18">IF(Y29="err",X29-F29,"")</f>
        <v/>
      </c>
    </row>
    <row r="30" spans="1:26" ht="12" customHeight="1" x14ac:dyDescent="0.5">
      <c r="A30" s="96" t="s">
        <v>792</v>
      </c>
      <c r="C30" s="86" t="s">
        <v>176</v>
      </c>
      <c r="D30" s="86" t="s">
        <v>153</v>
      </c>
      <c r="E30" s="86" t="s">
        <v>2252</v>
      </c>
      <c r="F30" s="90">
        <f>VLOOKUP(C30,'WSS-26'!$C$1:$AU$617,20,)</f>
        <v>282159692.10574192</v>
      </c>
      <c r="G30" s="89">
        <f t="shared" si="14"/>
        <v>135890928.80389988</v>
      </c>
      <c r="H30" s="89">
        <f t="shared" si="14"/>
        <v>436583.23234062438</v>
      </c>
      <c r="I30" s="89">
        <f t="shared" si="14"/>
        <v>34962957.601787142</v>
      </c>
      <c r="J30" s="89">
        <f t="shared" si="14"/>
        <v>3578259.1317546172</v>
      </c>
      <c r="K30" s="89">
        <f t="shared" si="14"/>
        <v>31190012.664487053</v>
      </c>
      <c r="L30" s="89">
        <f t="shared" si="14"/>
        <v>1340260.3020037471</v>
      </c>
      <c r="M30" s="89">
        <f t="shared" si="14"/>
        <v>27592708.194097474</v>
      </c>
      <c r="N30" s="89">
        <f t="shared" si="14"/>
        <v>44938446.340388693</v>
      </c>
      <c r="O30" s="89">
        <f t="shared" si="14"/>
        <v>0</v>
      </c>
      <c r="P30" s="89">
        <f t="shared" si="14"/>
        <v>0</v>
      </c>
      <c r="Q30" s="89">
        <f t="shared" si="15"/>
        <v>2103186.4760933463</v>
      </c>
      <c r="R30" s="89">
        <f t="shared" si="15"/>
        <v>76520.397873913083</v>
      </c>
      <c r="S30" s="89">
        <f t="shared" si="15"/>
        <v>20616.46418605313</v>
      </c>
      <c r="T30" s="89">
        <f t="shared" si="15"/>
        <v>29031.342155328715</v>
      </c>
      <c r="U30" s="89">
        <f t="shared" si="15"/>
        <v>181.15467400163948</v>
      </c>
      <c r="V30" s="89">
        <f t="shared" si="15"/>
        <v>0</v>
      </c>
      <c r="W30" s="89">
        <f t="shared" si="15"/>
        <v>0</v>
      </c>
      <c r="X30" s="91">
        <f t="shared" si="16"/>
        <v>282159692.10574198</v>
      </c>
      <c r="Y30" s="87" t="str">
        <f t="shared" si="17"/>
        <v>ok</v>
      </c>
      <c r="Z30" s="203" t="str">
        <f t="shared" si="18"/>
        <v/>
      </c>
    </row>
    <row r="31" spans="1:26" ht="12" customHeight="1" x14ac:dyDescent="0.5">
      <c r="A31" s="96" t="s">
        <v>793</v>
      </c>
      <c r="C31" s="86" t="s">
        <v>176</v>
      </c>
      <c r="D31" s="86" t="s">
        <v>154</v>
      </c>
      <c r="E31" s="86" t="s">
        <v>2451</v>
      </c>
      <c r="F31" s="90">
        <f>VLOOKUP(C31,'WSS-26'!$C$1:$AU$617,21,)</f>
        <v>548452177.96348798</v>
      </c>
      <c r="G31" s="89">
        <f t="shared" si="14"/>
        <v>432873166.46938014</v>
      </c>
      <c r="H31" s="89">
        <f t="shared" si="14"/>
        <v>7725697.4004810937</v>
      </c>
      <c r="I31" s="89">
        <f t="shared" si="14"/>
        <v>82429963.888774082</v>
      </c>
      <c r="J31" s="89">
        <f t="shared" si="14"/>
        <v>422397.89784706431</v>
      </c>
      <c r="K31" s="89">
        <f t="shared" si="14"/>
        <v>4425215.7128223106</v>
      </c>
      <c r="L31" s="89">
        <f t="shared" si="14"/>
        <v>203229.17726604038</v>
      </c>
      <c r="M31" s="89">
        <f t="shared" si="14"/>
        <v>762109.41474765143</v>
      </c>
      <c r="N31" s="89">
        <f t="shared" si="14"/>
        <v>255032.69303973697</v>
      </c>
      <c r="O31" s="89">
        <f t="shared" si="14"/>
        <v>0</v>
      </c>
      <c r="P31" s="89">
        <f t="shared" si="14"/>
        <v>0</v>
      </c>
      <c r="Q31" s="89">
        <f t="shared" si="15"/>
        <v>19182022.775579486</v>
      </c>
      <c r="R31" s="89">
        <f t="shared" si="15"/>
        <v>11954.657486237669</v>
      </c>
      <c r="S31" s="89">
        <f t="shared" si="15"/>
        <v>147440.77566359792</v>
      </c>
      <c r="T31" s="89">
        <f t="shared" si="15"/>
        <v>3984.8858287458902</v>
      </c>
      <c r="U31" s="89">
        <f t="shared" si="15"/>
        <v>9962.2145718647243</v>
      </c>
      <c r="V31" s="89">
        <f t="shared" si="15"/>
        <v>0</v>
      </c>
      <c r="W31" s="89">
        <f t="shared" si="15"/>
        <v>0</v>
      </c>
      <c r="X31" s="91">
        <f t="shared" si="16"/>
        <v>548452177.96348798</v>
      </c>
      <c r="Y31" s="87" t="str">
        <f t="shared" si="17"/>
        <v>ok</v>
      </c>
      <c r="Z31" s="203" t="str">
        <f t="shared" si="18"/>
        <v/>
      </c>
    </row>
    <row r="32" spans="1:26" ht="12" customHeight="1" x14ac:dyDescent="0.5">
      <c r="A32" s="96" t="s">
        <v>794</v>
      </c>
      <c r="C32" s="86" t="s">
        <v>176</v>
      </c>
      <c r="D32" s="86" t="s">
        <v>155</v>
      </c>
      <c r="E32" s="86" t="s">
        <v>733</v>
      </c>
      <c r="F32" s="90">
        <f>VLOOKUP(C32,'WSS-26'!$C$1:$AU$617,22,)</f>
        <v>127023976.71572234</v>
      </c>
      <c r="G32" s="89">
        <f t="shared" si="14"/>
        <v>104906605.6271107</v>
      </c>
      <c r="H32" s="89">
        <f t="shared" si="14"/>
        <v>315462.46996801725</v>
      </c>
      <c r="I32" s="89">
        <f t="shared" si="14"/>
        <v>19615485.52695765</v>
      </c>
      <c r="J32" s="89">
        <f t="shared" si="14"/>
        <v>1421833.8695068713</v>
      </c>
      <c r="K32" s="89">
        <f t="shared" si="14"/>
        <v>0</v>
      </c>
      <c r="L32" s="89">
        <f t="shared" si="14"/>
        <v>0</v>
      </c>
      <c r="M32" s="89">
        <f t="shared" si="14"/>
        <v>0</v>
      </c>
      <c r="N32" s="89">
        <f t="shared" si="14"/>
        <v>0</v>
      </c>
      <c r="O32" s="89">
        <f t="shared" si="14"/>
        <v>0</v>
      </c>
      <c r="P32" s="89">
        <f t="shared" si="14"/>
        <v>0</v>
      </c>
      <c r="Q32" s="89">
        <f t="shared" si="15"/>
        <v>730775.01868114946</v>
      </c>
      <c r="R32" s="89">
        <f t="shared" si="15"/>
        <v>26587.844597435469</v>
      </c>
      <c r="S32" s="89">
        <f t="shared" si="15"/>
        <v>7163.414738519622</v>
      </c>
      <c r="T32" s="89">
        <f t="shared" si="15"/>
        <v>0</v>
      </c>
      <c r="U32" s="89">
        <f t="shared" si="15"/>
        <v>62.944162004895865</v>
      </c>
      <c r="V32" s="89">
        <f t="shared" si="15"/>
        <v>0</v>
      </c>
      <c r="W32" s="89">
        <f t="shared" si="15"/>
        <v>0</v>
      </c>
      <c r="X32" s="91">
        <f t="shared" si="16"/>
        <v>127023976.71572235</v>
      </c>
      <c r="Y32" s="87" t="str">
        <f t="shared" si="17"/>
        <v>ok</v>
      </c>
      <c r="Z32" s="203" t="str">
        <f t="shared" si="18"/>
        <v/>
      </c>
    </row>
    <row r="33" spans="1:26" ht="12" customHeight="1" x14ac:dyDescent="0.5">
      <c r="A33" s="96" t="s">
        <v>795</v>
      </c>
      <c r="C33" s="86" t="s">
        <v>176</v>
      </c>
      <c r="D33" s="86" t="s">
        <v>156</v>
      </c>
      <c r="E33" s="86" t="s">
        <v>2450</v>
      </c>
      <c r="F33" s="90">
        <f>VLOOKUP(C33,'WSS-26'!$C$1:$AU$617,23,)</f>
        <v>256429859.49944761</v>
      </c>
      <c r="G33" s="89">
        <f t="shared" si="14"/>
        <v>204493432.43399331</v>
      </c>
      <c r="H33" s="89">
        <f t="shared" si="14"/>
        <v>3649693.4939544508</v>
      </c>
      <c r="I33" s="89">
        <f t="shared" si="14"/>
        <v>38940704.937916011</v>
      </c>
      <c r="J33" s="89">
        <f t="shared" si="14"/>
        <v>199544.81514335101</v>
      </c>
      <c r="K33" s="89">
        <f t="shared" si="14"/>
        <v>0</v>
      </c>
      <c r="L33" s="89">
        <f t="shared" si="14"/>
        <v>0</v>
      </c>
      <c r="M33" s="89">
        <f t="shared" si="14"/>
        <v>0</v>
      </c>
      <c r="N33" s="89">
        <f t="shared" si="14"/>
        <v>0</v>
      </c>
      <c r="O33" s="89">
        <f t="shared" si="14"/>
        <v>0</v>
      </c>
      <c r="P33" s="89">
        <f t="shared" si="14"/>
        <v>0</v>
      </c>
      <c r="Q33" s="89">
        <f t="shared" si="15"/>
        <v>9061771.3969173804</v>
      </c>
      <c r="R33" s="89">
        <f t="shared" si="15"/>
        <v>5647.4947682080474</v>
      </c>
      <c r="S33" s="89">
        <f t="shared" si="15"/>
        <v>69652.435474565922</v>
      </c>
      <c r="T33" s="89">
        <f t="shared" si="15"/>
        <v>0</v>
      </c>
      <c r="U33" s="89">
        <f t="shared" si="15"/>
        <v>9412.491280346745</v>
      </c>
      <c r="V33" s="89">
        <f t="shared" si="15"/>
        <v>0</v>
      </c>
      <c r="W33" s="89">
        <f t="shared" si="15"/>
        <v>0</v>
      </c>
      <c r="X33" s="91">
        <f t="shared" si="16"/>
        <v>256429859.49944761</v>
      </c>
      <c r="Y33" s="87" t="str">
        <f t="shared" si="17"/>
        <v>ok</v>
      </c>
      <c r="Z33" s="203" t="str">
        <f t="shared" si="18"/>
        <v/>
      </c>
    </row>
    <row r="34" spans="1:26" ht="12" customHeight="1" x14ac:dyDescent="0.5">
      <c r="A34" s="86" t="s">
        <v>151</v>
      </c>
      <c r="D34" s="86" t="s">
        <v>157</v>
      </c>
      <c r="F34" s="89">
        <f>SUM(F29:F33)</f>
        <v>1214065706.2843997</v>
      </c>
      <c r="G34" s="89">
        <f t="shared" ref="G34:U34" si="19">SUM(G29:G33)</f>
        <v>878164133.33438408</v>
      </c>
      <c r="H34" s="89">
        <f t="shared" ref="H34" si="20">SUM(H29:H33)</f>
        <v>12127436.596744187</v>
      </c>
      <c r="I34" s="89">
        <f t="shared" si="19"/>
        <v>175949111.95543489</v>
      </c>
      <c r="J34" s="89">
        <f>SUM(J29:J33)</f>
        <v>5622035.7142519047</v>
      </c>
      <c r="K34" s="89">
        <f>SUM(K29:K33)</f>
        <v>35615228.377309367</v>
      </c>
      <c r="L34" s="89">
        <f>SUM(L29:L33)</f>
        <v>1543489.4792697874</v>
      </c>
      <c r="M34" s="89">
        <f t="shared" si="19"/>
        <v>28354817.608845126</v>
      </c>
      <c r="N34" s="89">
        <f t="shared" si="19"/>
        <v>45193479.033428431</v>
      </c>
      <c r="O34" s="89">
        <f t="shared" si="19"/>
        <v>0</v>
      </c>
      <c r="P34" s="89">
        <f t="shared" si="19"/>
        <v>0</v>
      </c>
      <c r="Q34" s="89">
        <f>SUM(Q29:Q33)</f>
        <v>31077755.667271364</v>
      </c>
      <c r="R34" s="89">
        <f t="shared" si="19"/>
        <v>120710.39472579428</v>
      </c>
      <c r="S34" s="89">
        <f t="shared" si="19"/>
        <v>244873.09006273659</v>
      </c>
      <c r="T34" s="89">
        <f t="shared" si="19"/>
        <v>33016.227984074605</v>
      </c>
      <c r="U34" s="89">
        <f t="shared" si="19"/>
        <v>19618.804688218006</v>
      </c>
      <c r="V34" s="89">
        <f>SUM(V29:V33)</f>
        <v>0</v>
      </c>
      <c r="W34" s="89">
        <f>SUM(W29:W33)</f>
        <v>0</v>
      </c>
      <c r="X34" s="91">
        <f t="shared" si="16"/>
        <v>1214065706.2844</v>
      </c>
      <c r="Y34" s="87" t="str">
        <f t="shared" si="17"/>
        <v>ok</v>
      </c>
      <c r="Z34" s="91" t="str">
        <f t="shared" si="18"/>
        <v/>
      </c>
    </row>
    <row r="35" spans="1:26" ht="12" customHeight="1" x14ac:dyDescent="0.5">
      <c r="F35" s="90"/>
    </row>
    <row r="36" spans="1:26" ht="12" customHeight="1" x14ac:dyDescent="0.5">
      <c r="A36" s="23" t="s">
        <v>790</v>
      </c>
      <c r="F36" s="90"/>
    </row>
    <row r="37" spans="1:26" ht="12" customHeight="1" x14ac:dyDescent="0.5">
      <c r="A37" s="96" t="s">
        <v>389</v>
      </c>
      <c r="C37" s="86" t="s">
        <v>176</v>
      </c>
      <c r="D37" s="86" t="s">
        <v>158</v>
      </c>
      <c r="E37" s="86" t="s">
        <v>2177</v>
      </c>
      <c r="F37" s="89">
        <f>VLOOKUP(C37,'WSS-26'!$C$1:$AU$617,24,)</f>
        <v>185167207.95059004</v>
      </c>
      <c r="G37" s="89">
        <f t="shared" ref="G37:P38" si="21">IF(VLOOKUP($E37,$D$5:$W$978,3,)=0,0,(VLOOKUP($E37,$D$5:$W$978,G$1,)/VLOOKUP($E37,$D$5:$W$978,3,))*$F37)</f>
        <v>126218348.08650382</v>
      </c>
      <c r="H37" s="89">
        <f t="shared" si="21"/>
        <v>379548.56707671075</v>
      </c>
      <c r="I37" s="89">
        <f t="shared" si="21"/>
        <v>23600364.965840589</v>
      </c>
      <c r="J37" s="89">
        <f t="shared" si="21"/>
        <v>1710678.9528630143</v>
      </c>
      <c r="K37" s="89">
        <f t="shared" si="21"/>
        <v>17436531.757574417</v>
      </c>
      <c r="L37" s="89">
        <f t="shared" si="21"/>
        <v>0</v>
      </c>
      <c r="M37" s="89">
        <f t="shared" si="21"/>
        <v>14881152.858844066</v>
      </c>
      <c r="N37" s="89">
        <f t="shared" si="21"/>
        <v>0</v>
      </c>
      <c r="O37" s="89">
        <f t="shared" si="21"/>
        <v>0</v>
      </c>
      <c r="P37" s="89">
        <f t="shared" si="21"/>
        <v>0</v>
      </c>
      <c r="Q37" s="89">
        <f t="shared" ref="Q37:W38" si="22">IF(VLOOKUP($E37,$D$5:$W$978,3,)=0,0,(VLOOKUP($E37,$D$5:$W$978,Q$1,)/VLOOKUP($E37,$D$5:$W$978,3,))*$F37)</f>
        <v>879231.72358349629</v>
      </c>
      <c r="R37" s="89">
        <f t="shared" si="22"/>
        <v>31989.156490272828</v>
      </c>
      <c r="S37" s="89">
        <f t="shared" si="22"/>
        <v>8618.6600886532124</v>
      </c>
      <c r="T37" s="89">
        <f t="shared" si="22"/>
        <v>20667.49047715362</v>
      </c>
      <c r="U37" s="89">
        <f t="shared" si="22"/>
        <v>75.731247831872537</v>
      </c>
      <c r="V37" s="89">
        <f t="shared" si="22"/>
        <v>0</v>
      </c>
      <c r="W37" s="89">
        <f t="shared" si="22"/>
        <v>0</v>
      </c>
      <c r="X37" s="91">
        <f>SUM(G37:W37)</f>
        <v>185167207.95059001</v>
      </c>
      <c r="Y37" s="87" t="str">
        <f>IF(ABS(F37-X37)&lt;0.01,"ok","err")</f>
        <v>ok</v>
      </c>
      <c r="Z37" s="203" t="str">
        <f>IF(Y37="err",X37-F37,"")</f>
        <v/>
      </c>
    </row>
    <row r="38" spans="1:26" ht="12" customHeight="1" x14ac:dyDescent="0.5">
      <c r="A38" s="96" t="s">
        <v>392</v>
      </c>
      <c r="C38" s="86" t="s">
        <v>176</v>
      </c>
      <c r="D38" s="86" t="s">
        <v>159</v>
      </c>
      <c r="E38" s="86" t="s">
        <v>2452</v>
      </c>
      <c r="F38" s="90">
        <f>VLOOKUP(C38,'WSS-26'!$C$1:$AU$617,25,)</f>
        <v>153841916.13285938</v>
      </c>
      <c r="G38" s="89">
        <f t="shared" si="21"/>
        <v>121523315.16181256</v>
      </c>
      <c r="H38" s="89">
        <f t="shared" si="21"/>
        <v>2168885.5599458162</v>
      </c>
      <c r="I38" s="89">
        <f t="shared" si="21"/>
        <v>23141102.882709868</v>
      </c>
      <c r="J38" s="89">
        <f t="shared" si="21"/>
        <v>118582.52448962297</v>
      </c>
      <c r="K38" s="89">
        <f t="shared" si="21"/>
        <v>1242319.749487984</v>
      </c>
      <c r="L38" s="89">
        <f t="shared" si="21"/>
        <v>0</v>
      </c>
      <c r="M38" s="89">
        <f t="shared" si="21"/>
        <v>213951.96045887165</v>
      </c>
      <c r="N38" s="89">
        <f t="shared" si="21"/>
        <v>0</v>
      </c>
      <c r="O38" s="89">
        <f t="shared" si="21"/>
        <v>0</v>
      </c>
      <c r="P38" s="89">
        <f t="shared" si="21"/>
        <v>0</v>
      </c>
      <c r="Q38" s="89">
        <f t="shared" si="22"/>
        <v>5385094.7107914658</v>
      </c>
      <c r="R38" s="89">
        <f t="shared" si="22"/>
        <v>3356.1091836685746</v>
      </c>
      <c r="S38" s="89">
        <f t="shared" si="22"/>
        <v>41392.013265245754</v>
      </c>
      <c r="T38" s="89">
        <f t="shared" si="22"/>
        <v>1118.7030612228582</v>
      </c>
      <c r="U38" s="89">
        <f t="shared" si="22"/>
        <v>2796.7576530571459</v>
      </c>
      <c r="V38" s="89">
        <f t="shared" si="22"/>
        <v>0</v>
      </c>
      <c r="W38" s="89">
        <f t="shared" si="22"/>
        <v>0</v>
      </c>
      <c r="X38" s="91">
        <f>SUM(G38:W38)</f>
        <v>153841916.13285941</v>
      </c>
      <c r="Y38" s="87" t="str">
        <f>IF(ABS(F38-X38)&lt;0.01,"ok","err")</f>
        <v>ok</v>
      </c>
      <c r="Z38" s="203" t="str">
        <f>IF(Y38="err",X38-F38,"")</f>
        <v/>
      </c>
    </row>
    <row r="39" spans="1:26" ht="12" customHeight="1" x14ac:dyDescent="0.5">
      <c r="A39" s="86" t="s">
        <v>1468</v>
      </c>
      <c r="D39" s="86" t="s">
        <v>162</v>
      </c>
      <c r="F39" s="89">
        <f t="shared" ref="F39:P39" si="23">F37+F38</f>
        <v>339009124.08344942</v>
      </c>
      <c r="G39" s="89">
        <f t="shared" si="23"/>
        <v>247741663.24831638</v>
      </c>
      <c r="H39" s="89">
        <f t="shared" ref="H39" si="24">H37+H38</f>
        <v>2548434.1270225272</v>
      </c>
      <c r="I39" s="89">
        <f t="shared" si="23"/>
        <v>46741467.848550454</v>
      </c>
      <c r="J39" s="89">
        <f>J37+J38</f>
        <v>1829261.4773526373</v>
      </c>
      <c r="K39" s="89">
        <f>K37+K38</f>
        <v>18678851.507062402</v>
      </c>
      <c r="L39" s="89">
        <f>L37+L38</f>
        <v>0</v>
      </c>
      <c r="M39" s="89">
        <f t="shared" si="23"/>
        <v>15095104.819302937</v>
      </c>
      <c r="N39" s="89">
        <f t="shared" si="23"/>
        <v>0</v>
      </c>
      <c r="O39" s="89">
        <f t="shared" si="23"/>
        <v>0</v>
      </c>
      <c r="P39" s="89">
        <f t="shared" si="23"/>
        <v>0</v>
      </c>
      <c r="Q39" s="89">
        <f t="shared" ref="Q39:W39" si="25">Q37+Q38</f>
        <v>6264326.434374962</v>
      </c>
      <c r="R39" s="89">
        <f t="shared" si="25"/>
        <v>35345.265673941401</v>
      </c>
      <c r="S39" s="89">
        <f t="shared" si="25"/>
        <v>50010.673353898965</v>
      </c>
      <c r="T39" s="89">
        <f t="shared" si="25"/>
        <v>21786.193538376479</v>
      </c>
      <c r="U39" s="89">
        <f t="shared" si="25"/>
        <v>2872.4889008890186</v>
      </c>
      <c r="V39" s="89">
        <f t="shared" si="25"/>
        <v>0</v>
      </c>
      <c r="W39" s="89">
        <f t="shared" si="25"/>
        <v>0</v>
      </c>
      <c r="X39" s="91">
        <f>SUM(G39:W39)</f>
        <v>339009124.08344936</v>
      </c>
      <c r="Y39" s="87" t="str">
        <f>IF(ABS(F39-X39)&lt;0.01,"ok","err")</f>
        <v>ok</v>
      </c>
      <c r="Z39" s="91" t="str">
        <f>IF(Y39="err",X39-F39,"")</f>
        <v/>
      </c>
    </row>
    <row r="40" spans="1:26" ht="12" customHeight="1" x14ac:dyDescent="0.5">
      <c r="F40" s="90"/>
    </row>
    <row r="41" spans="1:26" ht="12" customHeight="1" x14ac:dyDescent="0.5">
      <c r="A41" s="23" t="s">
        <v>128</v>
      </c>
      <c r="F41" s="90"/>
    </row>
    <row r="42" spans="1:26" ht="12" customHeight="1" x14ac:dyDescent="0.5">
      <c r="A42" s="96" t="s">
        <v>392</v>
      </c>
      <c r="C42" s="86" t="s">
        <v>176</v>
      </c>
      <c r="D42" s="86" t="s">
        <v>150</v>
      </c>
      <c r="E42" s="86" t="s">
        <v>393</v>
      </c>
      <c r="F42" s="89">
        <f>VLOOKUP(C42,'WSS-26'!$C$1:$AU$617,26,)</f>
        <v>129708296.27767788</v>
      </c>
      <c r="G42" s="89">
        <f t="shared" ref="G42:W42" si="26">IF(VLOOKUP($E42,$D$5:$W$978,3,)=0,0,(VLOOKUP($E42,$D$5:$W$978,G$1,)/VLOOKUP($E42,$D$5:$W$978,3,))*$F42)</f>
        <v>102431696.72676603</v>
      </c>
      <c r="H42" s="89">
        <f t="shared" si="26"/>
        <v>149868.93417262478</v>
      </c>
      <c r="I42" s="89">
        <f t="shared" si="26"/>
        <v>23061068.440535262</v>
      </c>
      <c r="J42" s="89">
        <f t="shared" si="26"/>
        <v>208650.37402228883</v>
      </c>
      <c r="K42" s="89">
        <f t="shared" si="26"/>
        <v>2996909.6050665663</v>
      </c>
      <c r="L42" s="89">
        <f t="shared" si="26"/>
        <v>0</v>
      </c>
      <c r="M42" s="89">
        <f t="shared" si="26"/>
        <v>857402.70498046023</v>
      </c>
      <c r="N42" s="89">
        <f t="shared" si="26"/>
        <v>0</v>
      </c>
      <c r="O42" s="89">
        <f t="shared" si="26"/>
        <v>0</v>
      </c>
      <c r="P42" s="89">
        <f t="shared" si="26"/>
        <v>0</v>
      </c>
      <c r="Q42" s="89">
        <f t="shared" si="26"/>
        <v>0</v>
      </c>
      <c r="R42" s="89">
        <f t="shared" si="26"/>
        <v>0</v>
      </c>
      <c r="S42" s="89">
        <f t="shared" si="26"/>
        <v>0</v>
      </c>
      <c r="T42" s="89">
        <f t="shared" si="26"/>
        <v>2699.4921346481037</v>
      </c>
      <c r="U42" s="89">
        <f t="shared" si="26"/>
        <v>0</v>
      </c>
      <c r="V42" s="89">
        <f t="shared" si="26"/>
        <v>0</v>
      </c>
      <c r="W42" s="89">
        <f t="shared" si="26"/>
        <v>0</v>
      </c>
      <c r="X42" s="91">
        <f>SUM(G42:W42)</f>
        <v>129708296.27767789</v>
      </c>
      <c r="Y42" s="87" t="str">
        <f>IF(ABS(F42-X42)&lt;0.01,"ok","err")</f>
        <v>ok</v>
      </c>
      <c r="Z42" s="203" t="str">
        <f>IF(Y42="err",X42-F42,"")</f>
        <v/>
      </c>
    </row>
    <row r="43" spans="1:26" ht="12" customHeight="1" x14ac:dyDescent="0.5">
      <c r="F43" s="90"/>
    </row>
    <row r="44" spans="1:26" ht="12" customHeight="1" x14ac:dyDescent="0.5">
      <c r="A44" s="23" t="s">
        <v>127</v>
      </c>
      <c r="F44" s="90"/>
    </row>
    <row r="45" spans="1:26" ht="12" customHeight="1" x14ac:dyDescent="0.5">
      <c r="A45" s="96" t="s">
        <v>392</v>
      </c>
      <c r="C45" s="86" t="s">
        <v>176</v>
      </c>
      <c r="D45" s="86" t="s">
        <v>161</v>
      </c>
      <c r="E45" s="86" t="s">
        <v>2419</v>
      </c>
      <c r="F45" s="89">
        <f>VLOOKUP(C45,'WSS-26'!$C$1:$AU$617,27,)</f>
        <v>77142556.667383939</v>
      </c>
      <c r="G45" s="89">
        <f t="shared" ref="G45:W45" si="27">IF(VLOOKUP($E45,$D$5:$W$978,3,)=0,0,(VLOOKUP($E45,$D$5:$W$978,G$1,)/VLOOKUP($E45,$D$5:$W$978,3,))*$F45)</f>
        <v>46440362.497754768</v>
      </c>
      <c r="H45" s="89">
        <f t="shared" si="27"/>
        <v>67947.401561592589</v>
      </c>
      <c r="I45" s="89">
        <f t="shared" si="27"/>
        <v>18767489.723527826</v>
      </c>
      <c r="J45" s="89">
        <f t="shared" si="27"/>
        <v>383083.96700659761</v>
      </c>
      <c r="K45" s="89">
        <f t="shared" si="27"/>
        <v>5867892.3989152601</v>
      </c>
      <c r="L45" s="89">
        <f t="shared" si="27"/>
        <v>1147530.8324648004</v>
      </c>
      <c r="M45" s="89">
        <f t="shared" si="27"/>
        <v>1049542.8076051779</v>
      </c>
      <c r="N45" s="89">
        <f t="shared" si="27"/>
        <v>2032818.334973142</v>
      </c>
      <c r="O45" s="89">
        <f t="shared" si="27"/>
        <v>1007856.8126575488</v>
      </c>
      <c r="P45" s="89">
        <f t="shared" si="27"/>
        <v>62214.559812965686</v>
      </c>
      <c r="Q45" s="89">
        <f t="shared" si="27"/>
        <v>0</v>
      </c>
      <c r="R45" s="89">
        <f t="shared" si="27"/>
        <v>11355.233065612381</v>
      </c>
      <c r="S45" s="89">
        <f t="shared" si="27"/>
        <v>139942.7334289822</v>
      </c>
      <c r="T45" s="89">
        <f t="shared" si="27"/>
        <v>5285.5546096730868</v>
      </c>
      <c r="U45" s="89">
        <f t="shared" si="27"/>
        <v>159233.81</v>
      </c>
      <c r="V45" s="89">
        <f t="shared" si="27"/>
        <v>0</v>
      </c>
      <c r="W45" s="89">
        <f t="shared" si="27"/>
        <v>0</v>
      </c>
      <c r="X45" s="91">
        <f>SUM(G45:W45)</f>
        <v>77142556.667383939</v>
      </c>
      <c r="Y45" s="87" t="str">
        <f>IF(ABS(F45-X45)&lt;0.01,"ok","err")</f>
        <v>ok</v>
      </c>
      <c r="Z45" s="203" t="str">
        <f>IF(Y45="err",X45-F45,"")</f>
        <v/>
      </c>
    </row>
    <row r="46" spans="1:26" ht="12" customHeight="1" x14ac:dyDescent="0.5">
      <c r="F46" s="90"/>
    </row>
    <row r="47" spans="1:26" ht="12" customHeight="1" x14ac:dyDescent="0.5">
      <c r="A47" s="23" t="s">
        <v>144</v>
      </c>
      <c r="F47" s="90"/>
    </row>
    <row r="48" spans="1:26" ht="12" customHeight="1" x14ac:dyDescent="0.5">
      <c r="A48" s="96" t="s">
        <v>392</v>
      </c>
      <c r="C48" s="86" t="s">
        <v>176</v>
      </c>
      <c r="D48" s="86" t="s">
        <v>163</v>
      </c>
      <c r="E48" s="86" t="s">
        <v>2447</v>
      </c>
      <c r="F48" s="89">
        <f>VLOOKUP(C48,'WSS-26'!$C$1:$AU$617,28,)</f>
        <v>148542745.59654084</v>
      </c>
      <c r="G48" s="89">
        <f t="shared" ref="G48:W48" si="28">IF(VLOOKUP($E48,$D$5:$W$978,3,)=0,0,(VLOOKUP($E48,$D$5:$W$978,G$1,)/VLOOKUP($E48,$D$5:$W$978,3,))*$F48)</f>
        <v>0</v>
      </c>
      <c r="H48" s="89">
        <f t="shared" si="28"/>
        <v>0</v>
      </c>
      <c r="I48" s="89">
        <f t="shared" si="28"/>
        <v>0</v>
      </c>
      <c r="J48" s="89">
        <f t="shared" si="28"/>
        <v>0</v>
      </c>
      <c r="K48" s="89">
        <f t="shared" si="28"/>
        <v>0</v>
      </c>
      <c r="L48" s="89">
        <f t="shared" si="28"/>
        <v>0</v>
      </c>
      <c r="M48" s="89">
        <f t="shared" si="28"/>
        <v>0</v>
      </c>
      <c r="N48" s="89">
        <f t="shared" si="28"/>
        <v>0</v>
      </c>
      <c r="O48" s="89">
        <f t="shared" si="28"/>
        <v>0</v>
      </c>
      <c r="P48" s="89">
        <f t="shared" si="28"/>
        <v>0</v>
      </c>
      <c r="Q48" s="89">
        <f t="shared" si="28"/>
        <v>148542745.59654084</v>
      </c>
      <c r="R48" s="89">
        <f t="shared" si="28"/>
        <v>0</v>
      </c>
      <c r="S48" s="89">
        <f t="shared" si="28"/>
        <v>0</v>
      </c>
      <c r="T48" s="89">
        <f t="shared" si="28"/>
        <v>0</v>
      </c>
      <c r="U48" s="89">
        <f t="shared" si="28"/>
        <v>0</v>
      </c>
      <c r="V48" s="89">
        <f t="shared" si="28"/>
        <v>0</v>
      </c>
      <c r="W48" s="89">
        <f t="shared" si="28"/>
        <v>0</v>
      </c>
      <c r="X48" s="91">
        <f>SUM(G48:W48)</f>
        <v>148542745.59654084</v>
      </c>
      <c r="Y48" s="87" t="str">
        <f>IF(ABS(F48-X48)&lt;0.01,"ok","err")</f>
        <v>ok</v>
      </c>
      <c r="Z48" s="203" t="str">
        <f>IF(Y48="err",X48-F48,"")</f>
        <v/>
      </c>
    </row>
    <row r="49" spans="1:26" ht="12" customHeight="1" x14ac:dyDescent="0.5">
      <c r="F49" s="90"/>
    </row>
    <row r="50" spans="1:26" ht="12" customHeight="1" x14ac:dyDescent="0.5">
      <c r="A50" s="23" t="s">
        <v>292</v>
      </c>
      <c r="F50" s="90"/>
    </row>
    <row r="51" spans="1:26" ht="12" customHeight="1" x14ac:dyDescent="0.5">
      <c r="A51" s="96" t="s">
        <v>392</v>
      </c>
      <c r="C51" s="86" t="s">
        <v>176</v>
      </c>
      <c r="D51" s="86" t="s">
        <v>164</v>
      </c>
      <c r="E51" s="86" t="s">
        <v>2446</v>
      </c>
      <c r="F51" s="89">
        <f>VLOOKUP(C51,'WSS-26'!$C$1:$AU$617,30,)</f>
        <v>0</v>
      </c>
      <c r="G51" s="89">
        <f t="shared" ref="G51:W51" si="29">IF(VLOOKUP($E51,$D$5:$W$978,3,)=0,0,(VLOOKUP($E51,$D$5:$W$978,G$1,)/VLOOKUP($E51,$D$5:$W$978,3,))*$F51)</f>
        <v>0</v>
      </c>
      <c r="H51" s="89">
        <f t="shared" si="29"/>
        <v>0</v>
      </c>
      <c r="I51" s="89">
        <f t="shared" si="29"/>
        <v>0</v>
      </c>
      <c r="J51" s="89">
        <f t="shared" si="29"/>
        <v>0</v>
      </c>
      <c r="K51" s="89">
        <f t="shared" si="29"/>
        <v>0</v>
      </c>
      <c r="L51" s="89">
        <f t="shared" si="29"/>
        <v>0</v>
      </c>
      <c r="M51" s="89">
        <f t="shared" si="29"/>
        <v>0</v>
      </c>
      <c r="N51" s="89">
        <f t="shared" si="29"/>
        <v>0</v>
      </c>
      <c r="O51" s="89">
        <f t="shared" si="29"/>
        <v>0</v>
      </c>
      <c r="P51" s="89">
        <f t="shared" si="29"/>
        <v>0</v>
      </c>
      <c r="Q51" s="89">
        <f t="shared" si="29"/>
        <v>0</v>
      </c>
      <c r="R51" s="89">
        <f t="shared" si="29"/>
        <v>0</v>
      </c>
      <c r="S51" s="89">
        <f t="shared" si="29"/>
        <v>0</v>
      </c>
      <c r="T51" s="89">
        <f t="shared" si="29"/>
        <v>0</v>
      </c>
      <c r="U51" s="89">
        <f t="shared" si="29"/>
        <v>0</v>
      </c>
      <c r="V51" s="89">
        <f t="shared" si="29"/>
        <v>0</v>
      </c>
      <c r="W51" s="89">
        <f t="shared" si="29"/>
        <v>0</v>
      </c>
      <c r="X51" s="91">
        <f>SUM(G51:W51)</f>
        <v>0</v>
      </c>
      <c r="Y51" s="87" t="str">
        <f>IF(ABS(F51-X51)&lt;0.01,"ok","err")</f>
        <v>ok</v>
      </c>
      <c r="Z51" s="203" t="str">
        <f>IF(Y51="err",X51-F51,"")</f>
        <v/>
      </c>
    </row>
    <row r="52" spans="1:26" ht="12" customHeight="1" x14ac:dyDescent="0.5">
      <c r="F52" s="90"/>
    </row>
    <row r="53" spans="1:26" ht="12" customHeight="1" x14ac:dyDescent="0.5">
      <c r="A53" s="23" t="s">
        <v>1630</v>
      </c>
      <c r="F53" s="90"/>
    </row>
    <row r="54" spans="1:26" ht="12" customHeight="1" x14ac:dyDescent="0.5">
      <c r="A54" s="96" t="s">
        <v>392</v>
      </c>
      <c r="C54" s="86" t="s">
        <v>176</v>
      </c>
      <c r="D54" s="86" t="s">
        <v>210</v>
      </c>
      <c r="E54" s="86" t="s">
        <v>2446</v>
      </c>
      <c r="F54" s="89">
        <f>VLOOKUP(C54,'WSS-26'!$C$1:$AU$617,32,)</f>
        <v>0</v>
      </c>
      <c r="G54" s="89">
        <f t="shared" ref="G54:W54" si="30">IF(VLOOKUP($E54,$D$5:$W$978,3,)=0,0,(VLOOKUP($E54,$D$5:$W$978,G$1,)/VLOOKUP($E54,$D$5:$W$978,3,))*$F54)</f>
        <v>0</v>
      </c>
      <c r="H54" s="89">
        <f t="shared" si="30"/>
        <v>0</v>
      </c>
      <c r="I54" s="89">
        <f t="shared" si="30"/>
        <v>0</v>
      </c>
      <c r="J54" s="89">
        <f t="shared" si="30"/>
        <v>0</v>
      </c>
      <c r="K54" s="89">
        <f t="shared" si="30"/>
        <v>0</v>
      </c>
      <c r="L54" s="89">
        <f t="shared" si="30"/>
        <v>0</v>
      </c>
      <c r="M54" s="89">
        <f t="shared" si="30"/>
        <v>0</v>
      </c>
      <c r="N54" s="89">
        <f t="shared" si="30"/>
        <v>0</v>
      </c>
      <c r="O54" s="89">
        <f t="shared" si="30"/>
        <v>0</v>
      </c>
      <c r="P54" s="89">
        <f t="shared" si="30"/>
        <v>0</v>
      </c>
      <c r="Q54" s="89">
        <f t="shared" si="30"/>
        <v>0</v>
      </c>
      <c r="R54" s="89">
        <f t="shared" si="30"/>
        <v>0</v>
      </c>
      <c r="S54" s="89">
        <f t="shared" si="30"/>
        <v>0</v>
      </c>
      <c r="T54" s="89">
        <f t="shared" si="30"/>
        <v>0</v>
      </c>
      <c r="U54" s="89">
        <f t="shared" si="30"/>
        <v>0</v>
      </c>
      <c r="V54" s="89">
        <f t="shared" si="30"/>
        <v>0</v>
      </c>
      <c r="W54" s="89">
        <f t="shared" si="30"/>
        <v>0</v>
      </c>
      <c r="X54" s="91">
        <f>SUM(G54:W54)</f>
        <v>0</v>
      </c>
      <c r="Y54" s="87" t="str">
        <f>IF(ABS(F54-X54)&lt;0.01,"ok","err")</f>
        <v>ok</v>
      </c>
      <c r="Z54" s="203" t="str">
        <f>IF(Y54="err",X54-F54,"")</f>
        <v/>
      </c>
    </row>
    <row r="55" spans="1:26" ht="12" customHeight="1" x14ac:dyDescent="0.5">
      <c r="F55" s="90"/>
    </row>
    <row r="56" spans="1:26" ht="12" customHeight="1" x14ac:dyDescent="0.5">
      <c r="A56" s="23" t="s">
        <v>1629</v>
      </c>
      <c r="F56" s="90"/>
    </row>
    <row r="57" spans="1:26" ht="12" customHeight="1" x14ac:dyDescent="0.5">
      <c r="A57" s="96" t="s">
        <v>392</v>
      </c>
      <c r="C57" s="86" t="s">
        <v>176</v>
      </c>
      <c r="D57" s="86" t="s">
        <v>211</v>
      </c>
      <c r="E57" s="86" t="s">
        <v>2449</v>
      </c>
      <c r="F57" s="89">
        <f>VLOOKUP(C57,'WSS-26'!$C$1:$AU$617,34,)</f>
        <v>0</v>
      </c>
      <c r="G57" s="89">
        <f t="shared" ref="G57:W57" si="31">IF(VLOOKUP($E57,$D$5:$W$978,3,)=0,0,(VLOOKUP($E57,$D$5:$W$978,G$1,)/VLOOKUP($E57,$D$5:$W$978,3,))*$F57)</f>
        <v>0</v>
      </c>
      <c r="H57" s="89">
        <f t="shared" si="31"/>
        <v>0</v>
      </c>
      <c r="I57" s="89">
        <f t="shared" si="31"/>
        <v>0</v>
      </c>
      <c r="J57" s="89">
        <f t="shared" si="31"/>
        <v>0</v>
      </c>
      <c r="K57" s="89">
        <f t="shared" si="31"/>
        <v>0</v>
      </c>
      <c r="L57" s="89">
        <f t="shared" si="31"/>
        <v>0</v>
      </c>
      <c r="M57" s="89">
        <f t="shared" si="31"/>
        <v>0</v>
      </c>
      <c r="N57" s="89">
        <f t="shared" si="31"/>
        <v>0</v>
      </c>
      <c r="O57" s="89">
        <f t="shared" si="31"/>
        <v>0</v>
      </c>
      <c r="P57" s="89">
        <f t="shared" si="31"/>
        <v>0</v>
      </c>
      <c r="Q57" s="89">
        <f t="shared" si="31"/>
        <v>0</v>
      </c>
      <c r="R57" s="89">
        <f t="shared" si="31"/>
        <v>0</v>
      </c>
      <c r="S57" s="89">
        <f t="shared" si="31"/>
        <v>0</v>
      </c>
      <c r="T57" s="89">
        <f t="shared" si="31"/>
        <v>0</v>
      </c>
      <c r="U57" s="89">
        <f t="shared" si="31"/>
        <v>0</v>
      </c>
      <c r="V57" s="89">
        <f t="shared" si="31"/>
        <v>0</v>
      </c>
      <c r="W57" s="89">
        <f t="shared" si="31"/>
        <v>0</v>
      </c>
      <c r="X57" s="91">
        <f>SUM(G57:W57)</f>
        <v>0</v>
      </c>
      <c r="Y57" s="87" t="str">
        <f>IF(ABS(F57-X57)&lt;0.01,"ok","err")</f>
        <v>ok</v>
      </c>
      <c r="Z57" s="203" t="str">
        <f>IF(Y57="err",X57-F57,"")</f>
        <v/>
      </c>
    </row>
    <row r="58" spans="1:26" ht="12" customHeight="1" x14ac:dyDescent="0.5">
      <c r="F58" s="90"/>
    </row>
    <row r="59" spans="1:26" ht="12" customHeight="1" x14ac:dyDescent="0.5">
      <c r="A59" s="86" t="s">
        <v>62</v>
      </c>
      <c r="D59" s="86" t="s">
        <v>398</v>
      </c>
      <c r="F59" s="89">
        <f>F14+F20+F23+F26+F34+F39+F42+F45+F48+F51+F54+F57</f>
        <v>9650773037.9999981</v>
      </c>
      <c r="G59" s="89">
        <f>G14+G20+G23+G26+G34+G39+G42+G45+G48+G51+G54+G57</f>
        <v>4513510045.3516665</v>
      </c>
      <c r="H59" s="89">
        <f>H14+H20+H23+H26+H34+H39+H42+H45+H48+H51+H54+H57</f>
        <v>19845947.745869599</v>
      </c>
      <c r="I59" s="89">
        <f t="shared" ref="I59:U59" si="32">I14+I20+I23+I26+I34+I39+I42+I45+I48+I51+I54+I57</f>
        <v>1128486342.1503797</v>
      </c>
      <c r="J59" s="89">
        <f>J14+J20+J23+J26+J34+J39+J42+J45+J48+J51+J54+J57</f>
        <v>70853029.006842926</v>
      </c>
      <c r="K59" s="89">
        <f>K14+K20+K23+K26+K34+K39+K42+K45+K48+K51+K54+K57</f>
        <v>861031898.47436261</v>
      </c>
      <c r="L59" s="89">
        <f>L14+L20+L23+L26+L34+L39+L42+L45+L48+L51+L54+L57</f>
        <v>37273047.711964659</v>
      </c>
      <c r="M59" s="89">
        <f t="shared" si="32"/>
        <v>799418410.3913697</v>
      </c>
      <c r="N59" s="89">
        <f t="shared" si="32"/>
        <v>1396841137.3988183</v>
      </c>
      <c r="O59" s="89">
        <f t="shared" si="32"/>
        <v>426011550.9229179</v>
      </c>
      <c r="P59" s="89">
        <f>P14+P20+P23+P26+P34+P39+P42+P45+P48+P51+P54+P57</f>
        <v>193070624.30031919</v>
      </c>
      <c r="Q59" s="89">
        <f>Q14+Q20+Q23+Q26+Q34+Q39+Q42+Q45+Q48+Q51+Q54+Q57</f>
        <v>198467793.455531</v>
      </c>
      <c r="R59" s="89">
        <f t="shared" si="32"/>
        <v>625217.91967553284</v>
      </c>
      <c r="S59" s="89">
        <f t="shared" si="32"/>
        <v>1124428.576598143</v>
      </c>
      <c r="T59" s="89">
        <f t="shared" si="32"/>
        <v>297226.58198722551</v>
      </c>
      <c r="U59" s="89">
        <f t="shared" si="32"/>
        <v>187736.86169630851</v>
      </c>
      <c r="V59" s="89">
        <f>V14+V20+V23+V26+V34+V39+V42+V45+V48+V51+V54+V57</f>
        <v>3325057.92</v>
      </c>
      <c r="W59" s="89">
        <f>W14+W20+W23+W26+W34+W39+W42+W45+W48+W51+W54+W57</f>
        <v>403543.23</v>
      </c>
      <c r="X59" s="91">
        <f>SUM(G59:W59)</f>
        <v>9650773037.9999981</v>
      </c>
      <c r="Y59" s="87" t="str">
        <f>IF(ABS(F59-X59)&lt;0.01,"ok","err")</f>
        <v>ok</v>
      </c>
      <c r="Z59" s="203" t="str">
        <f>IF(Y59="err",X59-F59,"")</f>
        <v/>
      </c>
    </row>
    <row r="63" spans="1:26" ht="12" customHeight="1" x14ac:dyDescent="0.5">
      <c r="A63" s="22" t="s">
        <v>190</v>
      </c>
    </row>
    <row r="65" spans="1:26" ht="12" customHeight="1" x14ac:dyDescent="0.5">
      <c r="A65" s="23" t="s">
        <v>137</v>
      </c>
    </row>
    <row r="66" spans="1:26" ht="12" customHeight="1" x14ac:dyDescent="0.5">
      <c r="A66" s="96" t="s">
        <v>2273</v>
      </c>
      <c r="C66" s="86" t="s">
        <v>191</v>
      </c>
      <c r="D66" s="86" t="s">
        <v>212</v>
      </c>
      <c r="E66" s="86" t="s">
        <v>2377</v>
      </c>
      <c r="F66" s="89">
        <f>VLOOKUP(C66,'WSS-26'!$C$1:$AU$617,6,)</f>
        <v>3680027941.1597633</v>
      </c>
      <c r="G66" s="89">
        <f t="shared" ref="G66:P71" si="33">IF(VLOOKUP($E66,$D$5:$W$978,3,)=0,0,(VLOOKUP($E66,$D$5:$W$978,G$1,)/VLOOKUP($E66,$D$5:$W$978,3,))*$F66)</f>
        <v>1507275250.1284583</v>
      </c>
      <c r="H66" s="89">
        <f t="shared" si="33"/>
        <v>1539319.1199130428</v>
      </c>
      <c r="I66" s="89">
        <f t="shared" si="33"/>
        <v>406389132.93413788</v>
      </c>
      <c r="J66" s="89">
        <f t="shared" si="33"/>
        <v>26076880.560074221</v>
      </c>
      <c r="K66" s="89">
        <f t="shared" si="33"/>
        <v>378974133.54397547</v>
      </c>
      <c r="L66" s="89">
        <f t="shared" si="33"/>
        <v>16464600.063611977</v>
      </c>
      <c r="M66" s="89">
        <f t="shared" si="33"/>
        <v>364469463.35422486</v>
      </c>
      <c r="N66" s="89">
        <f t="shared" si="33"/>
        <v>667201689.75514746</v>
      </c>
      <c r="O66" s="89">
        <f t="shared" si="33"/>
        <v>217184194.05520666</v>
      </c>
      <c r="P66" s="89">
        <f t="shared" si="33"/>
        <v>89935675.936149001</v>
      </c>
      <c r="Q66" s="89">
        <f t="shared" ref="Q66:W71" si="34">IF(VLOOKUP($E66,$D$5:$W$978,3,)=0,0,(VLOOKUP($E66,$D$5:$W$978,Q$1,)/VLOOKUP($E66,$D$5:$W$978,3,))*$F66)</f>
        <v>586205.93836051854</v>
      </c>
      <c r="R66" s="89">
        <f t="shared" si="34"/>
        <v>21327.97645348038</v>
      </c>
      <c r="S66" s="89">
        <f t="shared" si="34"/>
        <v>348761.0555870012</v>
      </c>
      <c r="T66" s="89">
        <f t="shared" si="34"/>
        <v>44891.518000073098</v>
      </c>
      <c r="U66" s="89">
        <f t="shared" si="34"/>
        <v>3035.6304626292631</v>
      </c>
      <c r="V66" s="89">
        <f t="shared" si="34"/>
        <v>3141952.7900000005</v>
      </c>
      <c r="W66" s="89">
        <f t="shared" si="34"/>
        <v>371426.8</v>
      </c>
      <c r="X66" s="91">
        <f t="shared" ref="X66:X71" si="35">SUM(G66:W66)</f>
        <v>3680027941.1597629</v>
      </c>
      <c r="Y66" s="87" t="str">
        <f t="shared" ref="Y66:Y71" si="36">IF(ABS(F66-X66)&lt;0.01,"ok","err")</f>
        <v>ok</v>
      </c>
      <c r="Z66" s="203" t="str">
        <f t="shared" ref="Z66:Z71" si="37">IF(Y66="err",X66-F66,"")</f>
        <v/>
      </c>
    </row>
    <row r="67" spans="1:26" ht="12" hidden="1" customHeight="1" x14ac:dyDescent="0.5">
      <c r="A67" s="96" t="s">
        <v>2274</v>
      </c>
      <c r="C67" s="86" t="s">
        <v>191</v>
      </c>
      <c r="D67" s="86" t="s">
        <v>213</v>
      </c>
      <c r="E67" s="86" t="s">
        <v>2272</v>
      </c>
      <c r="F67" s="90">
        <f>VLOOKUP(C67,'WSS-26'!$C$1:$AU$617,7,)</f>
        <v>0</v>
      </c>
      <c r="G67" s="89">
        <f t="shared" si="33"/>
        <v>0</v>
      </c>
      <c r="H67" s="89">
        <f t="shared" si="33"/>
        <v>0</v>
      </c>
      <c r="I67" s="89">
        <f t="shared" si="33"/>
        <v>0</v>
      </c>
      <c r="J67" s="89">
        <f t="shared" si="33"/>
        <v>0</v>
      </c>
      <c r="K67" s="89">
        <f t="shared" si="33"/>
        <v>0</v>
      </c>
      <c r="L67" s="89">
        <f t="shared" si="33"/>
        <v>0</v>
      </c>
      <c r="M67" s="89">
        <f t="shared" si="33"/>
        <v>0</v>
      </c>
      <c r="N67" s="89">
        <f t="shared" si="33"/>
        <v>0</v>
      </c>
      <c r="O67" s="89">
        <f t="shared" si="33"/>
        <v>0</v>
      </c>
      <c r="P67" s="89">
        <f t="shared" si="33"/>
        <v>0</v>
      </c>
      <c r="Q67" s="89">
        <f t="shared" si="34"/>
        <v>0</v>
      </c>
      <c r="R67" s="89">
        <f t="shared" si="34"/>
        <v>0</v>
      </c>
      <c r="S67" s="89">
        <f t="shared" si="34"/>
        <v>0</v>
      </c>
      <c r="T67" s="89">
        <f t="shared" si="34"/>
        <v>0</v>
      </c>
      <c r="U67" s="89">
        <f t="shared" si="34"/>
        <v>0</v>
      </c>
      <c r="V67" s="89">
        <f t="shared" si="34"/>
        <v>0</v>
      </c>
      <c r="W67" s="89">
        <f t="shared" si="34"/>
        <v>0</v>
      </c>
      <c r="X67" s="91">
        <f t="shared" si="35"/>
        <v>0</v>
      </c>
      <c r="Y67" s="87" t="str">
        <f t="shared" si="36"/>
        <v>ok</v>
      </c>
      <c r="Z67" s="203" t="str">
        <f t="shared" si="37"/>
        <v/>
      </c>
    </row>
    <row r="68" spans="1:26" ht="12" hidden="1" customHeight="1" x14ac:dyDescent="0.5">
      <c r="A68" s="96" t="s">
        <v>2274</v>
      </c>
      <c r="C68" s="86" t="s">
        <v>191</v>
      </c>
      <c r="D68" s="86" t="s">
        <v>214</v>
      </c>
      <c r="E68" s="86" t="s">
        <v>2272</v>
      </c>
      <c r="F68" s="90">
        <f>VLOOKUP(C68,'WSS-26'!$C$1:$AU$617,8,)</f>
        <v>0</v>
      </c>
      <c r="G68" s="89">
        <f t="shared" si="33"/>
        <v>0</v>
      </c>
      <c r="H68" s="89">
        <f t="shared" si="33"/>
        <v>0</v>
      </c>
      <c r="I68" s="89">
        <f t="shared" si="33"/>
        <v>0</v>
      </c>
      <c r="J68" s="89">
        <f t="shared" si="33"/>
        <v>0</v>
      </c>
      <c r="K68" s="89">
        <f t="shared" si="33"/>
        <v>0</v>
      </c>
      <c r="L68" s="89">
        <f t="shared" si="33"/>
        <v>0</v>
      </c>
      <c r="M68" s="89">
        <f t="shared" si="33"/>
        <v>0</v>
      </c>
      <c r="N68" s="89">
        <f t="shared" si="33"/>
        <v>0</v>
      </c>
      <c r="O68" s="89">
        <f t="shared" si="33"/>
        <v>0</v>
      </c>
      <c r="P68" s="89">
        <f t="shared" si="33"/>
        <v>0</v>
      </c>
      <c r="Q68" s="89">
        <f t="shared" si="34"/>
        <v>0</v>
      </c>
      <c r="R68" s="89">
        <f t="shared" si="34"/>
        <v>0</v>
      </c>
      <c r="S68" s="89">
        <f t="shared" si="34"/>
        <v>0</v>
      </c>
      <c r="T68" s="89">
        <f t="shared" si="34"/>
        <v>0</v>
      </c>
      <c r="U68" s="89">
        <f t="shared" si="34"/>
        <v>0</v>
      </c>
      <c r="V68" s="89">
        <f t="shared" si="34"/>
        <v>0</v>
      </c>
      <c r="W68" s="89">
        <f t="shared" si="34"/>
        <v>0</v>
      </c>
      <c r="X68" s="91">
        <f t="shared" si="35"/>
        <v>0</v>
      </c>
      <c r="Y68" s="87" t="str">
        <f t="shared" si="36"/>
        <v>ok</v>
      </c>
      <c r="Z68" s="203" t="str">
        <f t="shared" si="37"/>
        <v/>
      </c>
    </row>
    <row r="69" spans="1:26" ht="12" customHeight="1" x14ac:dyDescent="0.5">
      <c r="A69" s="96" t="s">
        <v>2276</v>
      </c>
      <c r="C69" s="86" t="s">
        <v>191</v>
      </c>
      <c r="D69" s="86" t="s">
        <v>215</v>
      </c>
      <c r="E69" s="86" t="s">
        <v>390</v>
      </c>
      <c r="F69" s="90">
        <f>VLOOKUP(C69,'WSS-26'!$C$1:$AU$617,9,)</f>
        <v>0</v>
      </c>
      <c r="G69" s="89">
        <f t="shared" si="33"/>
        <v>0</v>
      </c>
      <c r="H69" s="89">
        <f t="shared" si="33"/>
        <v>0</v>
      </c>
      <c r="I69" s="89">
        <f t="shared" si="33"/>
        <v>0</v>
      </c>
      <c r="J69" s="89">
        <f t="shared" si="33"/>
        <v>0</v>
      </c>
      <c r="K69" s="89">
        <f t="shared" si="33"/>
        <v>0</v>
      </c>
      <c r="L69" s="89">
        <f t="shared" si="33"/>
        <v>0</v>
      </c>
      <c r="M69" s="89">
        <f t="shared" si="33"/>
        <v>0</v>
      </c>
      <c r="N69" s="89">
        <f t="shared" si="33"/>
        <v>0</v>
      </c>
      <c r="O69" s="89">
        <f t="shared" si="33"/>
        <v>0</v>
      </c>
      <c r="P69" s="89">
        <f t="shared" si="33"/>
        <v>0</v>
      </c>
      <c r="Q69" s="89">
        <f t="shared" si="34"/>
        <v>0</v>
      </c>
      <c r="R69" s="89">
        <f t="shared" si="34"/>
        <v>0</v>
      </c>
      <c r="S69" s="89">
        <f t="shared" si="34"/>
        <v>0</v>
      </c>
      <c r="T69" s="89">
        <f t="shared" si="34"/>
        <v>0</v>
      </c>
      <c r="U69" s="89">
        <f t="shared" si="34"/>
        <v>0</v>
      </c>
      <c r="V69" s="89">
        <f t="shared" si="34"/>
        <v>0</v>
      </c>
      <c r="W69" s="89">
        <f t="shared" si="34"/>
        <v>0</v>
      </c>
      <c r="X69" s="91">
        <f t="shared" si="35"/>
        <v>0</v>
      </c>
      <c r="Y69" s="87" t="str">
        <f t="shared" si="36"/>
        <v>ok</v>
      </c>
      <c r="Z69" s="203" t="str">
        <f t="shared" si="37"/>
        <v/>
      </c>
    </row>
    <row r="70" spans="1:26" ht="12" hidden="1" customHeight="1" x14ac:dyDescent="0.5">
      <c r="A70" s="96" t="s">
        <v>2275</v>
      </c>
      <c r="C70" s="86" t="s">
        <v>191</v>
      </c>
      <c r="D70" s="86" t="s">
        <v>216</v>
      </c>
      <c r="E70" s="86" t="s">
        <v>390</v>
      </c>
      <c r="F70" s="90">
        <f>VLOOKUP(C70,'WSS-26'!$C$1:$AU$617,10,)</f>
        <v>0</v>
      </c>
      <c r="G70" s="89">
        <f t="shared" si="33"/>
        <v>0</v>
      </c>
      <c r="H70" s="89">
        <f t="shared" si="33"/>
        <v>0</v>
      </c>
      <c r="I70" s="89">
        <f t="shared" si="33"/>
        <v>0</v>
      </c>
      <c r="J70" s="89">
        <f t="shared" si="33"/>
        <v>0</v>
      </c>
      <c r="K70" s="89">
        <f t="shared" si="33"/>
        <v>0</v>
      </c>
      <c r="L70" s="89">
        <f t="shared" si="33"/>
        <v>0</v>
      </c>
      <c r="M70" s="89">
        <f t="shared" si="33"/>
        <v>0</v>
      </c>
      <c r="N70" s="89">
        <f t="shared" si="33"/>
        <v>0</v>
      </c>
      <c r="O70" s="89">
        <f t="shared" si="33"/>
        <v>0</v>
      </c>
      <c r="P70" s="89">
        <f t="shared" si="33"/>
        <v>0</v>
      </c>
      <c r="Q70" s="89">
        <f t="shared" si="34"/>
        <v>0</v>
      </c>
      <c r="R70" s="89">
        <f t="shared" si="34"/>
        <v>0</v>
      </c>
      <c r="S70" s="89">
        <f t="shared" si="34"/>
        <v>0</v>
      </c>
      <c r="T70" s="89">
        <f t="shared" si="34"/>
        <v>0</v>
      </c>
      <c r="U70" s="89">
        <f t="shared" si="34"/>
        <v>0</v>
      </c>
      <c r="V70" s="89">
        <f t="shared" si="34"/>
        <v>0</v>
      </c>
      <c r="W70" s="89">
        <f t="shared" si="34"/>
        <v>0</v>
      </c>
      <c r="X70" s="91">
        <f t="shared" si="35"/>
        <v>0</v>
      </c>
      <c r="Y70" s="87" t="str">
        <f t="shared" si="36"/>
        <v>ok</v>
      </c>
      <c r="Z70" s="203" t="str">
        <f t="shared" si="37"/>
        <v/>
      </c>
    </row>
    <row r="71" spans="1:26" ht="12" hidden="1" customHeight="1" x14ac:dyDescent="0.5">
      <c r="A71" s="96" t="s">
        <v>2275</v>
      </c>
      <c r="C71" s="86" t="s">
        <v>191</v>
      </c>
      <c r="D71" s="86" t="s">
        <v>217</v>
      </c>
      <c r="E71" s="86" t="s">
        <v>390</v>
      </c>
      <c r="F71" s="90">
        <f>VLOOKUP(C71,'WSS-26'!$C$1:$AU$617,11,)</f>
        <v>0</v>
      </c>
      <c r="G71" s="89">
        <f t="shared" si="33"/>
        <v>0</v>
      </c>
      <c r="H71" s="89">
        <f t="shared" si="33"/>
        <v>0</v>
      </c>
      <c r="I71" s="89">
        <f t="shared" si="33"/>
        <v>0</v>
      </c>
      <c r="J71" s="89">
        <f t="shared" si="33"/>
        <v>0</v>
      </c>
      <c r="K71" s="89">
        <f t="shared" si="33"/>
        <v>0</v>
      </c>
      <c r="L71" s="89">
        <f t="shared" si="33"/>
        <v>0</v>
      </c>
      <c r="M71" s="89">
        <f t="shared" si="33"/>
        <v>0</v>
      </c>
      <c r="N71" s="89">
        <f t="shared" si="33"/>
        <v>0</v>
      </c>
      <c r="O71" s="89">
        <f t="shared" si="33"/>
        <v>0</v>
      </c>
      <c r="P71" s="89">
        <f t="shared" si="33"/>
        <v>0</v>
      </c>
      <c r="Q71" s="89">
        <f t="shared" si="34"/>
        <v>0</v>
      </c>
      <c r="R71" s="89">
        <f t="shared" si="34"/>
        <v>0</v>
      </c>
      <c r="S71" s="89">
        <f t="shared" si="34"/>
        <v>0</v>
      </c>
      <c r="T71" s="89">
        <f t="shared" si="34"/>
        <v>0</v>
      </c>
      <c r="U71" s="89">
        <f t="shared" si="34"/>
        <v>0</v>
      </c>
      <c r="V71" s="89">
        <f t="shared" si="34"/>
        <v>0</v>
      </c>
      <c r="W71" s="89">
        <f t="shared" si="34"/>
        <v>0</v>
      </c>
      <c r="X71" s="91">
        <f t="shared" si="35"/>
        <v>0</v>
      </c>
      <c r="Y71" s="87" t="str">
        <f t="shared" si="36"/>
        <v>ok</v>
      </c>
      <c r="Z71" s="203" t="str">
        <f t="shared" si="37"/>
        <v/>
      </c>
    </row>
    <row r="72" spans="1:26" ht="12" customHeight="1" x14ac:dyDescent="0.5">
      <c r="A72" s="86" t="s">
        <v>160</v>
      </c>
      <c r="D72" s="86" t="s">
        <v>218</v>
      </c>
      <c r="F72" s="89">
        <f t="shared" ref="F72:U72" si="38">SUM(F66:F71)</f>
        <v>3680027941.1597633</v>
      </c>
      <c r="G72" s="89">
        <f t="shared" si="38"/>
        <v>1507275250.1284583</v>
      </c>
      <c r="H72" s="89">
        <f t="shared" ref="H72" si="39">SUM(H66:H71)</f>
        <v>1539319.1199130428</v>
      </c>
      <c r="I72" s="89">
        <f t="shared" si="38"/>
        <v>406389132.93413788</v>
      </c>
      <c r="J72" s="89">
        <f>SUM(J66:J71)</f>
        <v>26076880.560074221</v>
      </c>
      <c r="K72" s="89">
        <f>SUM(K66:K71)</f>
        <v>378974133.54397547</v>
      </c>
      <c r="L72" s="89">
        <f>SUM(L66:L71)</f>
        <v>16464600.063611977</v>
      </c>
      <c r="M72" s="89">
        <f t="shared" si="38"/>
        <v>364469463.35422486</v>
      </c>
      <c r="N72" s="89">
        <f t="shared" si="38"/>
        <v>667201689.75514746</v>
      </c>
      <c r="O72" s="89">
        <f t="shared" si="38"/>
        <v>217184194.05520666</v>
      </c>
      <c r="P72" s="89">
        <f t="shared" si="38"/>
        <v>89935675.936149001</v>
      </c>
      <c r="Q72" s="89">
        <f>SUM(Q66:Q71)</f>
        <v>586205.93836051854</v>
      </c>
      <c r="R72" s="89">
        <f t="shared" si="38"/>
        <v>21327.97645348038</v>
      </c>
      <c r="S72" s="89">
        <f t="shared" si="38"/>
        <v>348761.0555870012</v>
      </c>
      <c r="T72" s="89">
        <f t="shared" si="38"/>
        <v>44891.518000073098</v>
      </c>
      <c r="U72" s="89">
        <f t="shared" si="38"/>
        <v>3035.6304626292631</v>
      </c>
      <c r="V72" s="89">
        <f>SUM(V66:V71)</f>
        <v>3141952.7900000005</v>
      </c>
      <c r="W72" s="89">
        <f>SUM(W66:W71)</f>
        <v>371426.8</v>
      </c>
      <c r="X72" s="91">
        <f>SUM(G72:W72)</f>
        <v>3680027941.1597629</v>
      </c>
      <c r="Y72" s="87" t="str">
        <f>IF(ABS(F72-X72)&lt;0.01,"ok","err")</f>
        <v>ok</v>
      </c>
      <c r="Z72" s="203" t="str">
        <f>IF(Y72="err",X72-F72,"")</f>
        <v/>
      </c>
    </row>
    <row r="73" spans="1:26" ht="12" customHeight="1" x14ac:dyDescent="0.5">
      <c r="F73" s="90"/>
      <c r="G73" s="90"/>
      <c r="H73" s="90"/>
    </row>
    <row r="74" spans="1:26" ht="12" customHeight="1" x14ac:dyDescent="0.5">
      <c r="A74" s="23" t="s">
        <v>441</v>
      </c>
      <c r="F74" s="90"/>
      <c r="G74" s="90"/>
      <c r="H74" s="90"/>
    </row>
    <row r="75" spans="1:26" ht="12" customHeight="1" x14ac:dyDescent="0.5">
      <c r="A75" s="96" t="s">
        <v>2247</v>
      </c>
      <c r="C75" s="86" t="s">
        <v>191</v>
      </c>
      <c r="D75" s="86" t="s">
        <v>219</v>
      </c>
      <c r="E75" s="86" t="s">
        <v>2248</v>
      </c>
      <c r="F75" s="89">
        <f>VLOOKUP(C75,'WSS-26'!$C$1:$AU$617,13,)</f>
        <v>1036890044.1655744</v>
      </c>
      <c r="G75" s="89">
        <f t="shared" ref="G75:P77" si="40">IF(VLOOKUP($E75,$D$5:$W$978,3,)=0,0,(VLOOKUP($E75,$D$5:$W$978,G$1,)/VLOOKUP($E75,$D$5:$W$978,3,))*$F75)</f>
        <v>457204797.2692166</v>
      </c>
      <c r="H75" s="89">
        <f t="shared" si="40"/>
        <v>1468883.5376309974</v>
      </c>
      <c r="I75" s="89">
        <f t="shared" si="40"/>
        <v>117632810.98273394</v>
      </c>
      <c r="J75" s="89">
        <f t="shared" si="40"/>
        <v>12039046.72159134</v>
      </c>
      <c r="K75" s="89">
        <f t="shared" si="40"/>
        <v>104938744.20175318</v>
      </c>
      <c r="L75" s="89">
        <f t="shared" si="40"/>
        <v>4509303.491109971</v>
      </c>
      <c r="M75" s="89">
        <f t="shared" si="40"/>
        <v>92835619.470936596</v>
      </c>
      <c r="N75" s="89">
        <f t="shared" si="40"/>
        <v>151195325.76232815</v>
      </c>
      <c r="O75" s="89">
        <f t="shared" si="40"/>
        <v>52431270.403886661</v>
      </c>
      <c r="P75" s="89">
        <f t="shared" si="40"/>
        <v>35132972.825311884</v>
      </c>
      <c r="Q75" s="89">
        <f t="shared" ref="Q75:W77" si="41">IF(VLOOKUP($E75,$D$5:$W$978,3,)=0,0,(VLOOKUP($E75,$D$5:$W$978,Q$1,)/VLOOKUP($E75,$D$5:$W$978,3,))*$F75)</f>
        <v>7076167.297445246</v>
      </c>
      <c r="R75" s="89">
        <f t="shared" si="41"/>
        <v>257452.74761782473</v>
      </c>
      <c r="S75" s="89">
        <f t="shared" si="41"/>
        <v>69364.058451574689</v>
      </c>
      <c r="T75" s="89">
        <f t="shared" si="41"/>
        <v>97675.900970068324</v>
      </c>
      <c r="U75" s="89">
        <f t="shared" si="41"/>
        <v>609.49459048007952</v>
      </c>
      <c r="V75" s="89">
        <f t="shared" si="41"/>
        <v>0</v>
      </c>
      <c r="W75" s="89">
        <f t="shared" si="41"/>
        <v>0</v>
      </c>
      <c r="X75" s="91">
        <f>SUM(G75:W75)</f>
        <v>1036890044.1655746</v>
      </c>
      <c r="Y75" s="87" t="str">
        <f>IF(ABS(F75-X75)&lt;0.01,"ok","err")</f>
        <v>ok</v>
      </c>
      <c r="Z75" s="203" t="str">
        <f>IF(Y75="err",X75-F75,"")</f>
        <v/>
      </c>
    </row>
    <row r="76" spans="1:26" ht="12" hidden="1" customHeight="1" x14ac:dyDescent="0.5">
      <c r="A76" s="96" t="s">
        <v>2246</v>
      </c>
      <c r="C76" s="86" t="s">
        <v>191</v>
      </c>
      <c r="D76" s="86" t="s">
        <v>220</v>
      </c>
      <c r="E76" s="86" t="s">
        <v>2248</v>
      </c>
      <c r="F76" s="90">
        <f>VLOOKUP(C76,'WSS-26'!$C$1:$AU$617,14,)</f>
        <v>0</v>
      </c>
      <c r="G76" s="89">
        <f t="shared" si="40"/>
        <v>0</v>
      </c>
      <c r="H76" s="89">
        <f t="shared" si="40"/>
        <v>0</v>
      </c>
      <c r="I76" s="89">
        <f t="shared" si="40"/>
        <v>0</v>
      </c>
      <c r="J76" s="89">
        <f t="shared" si="40"/>
        <v>0</v>
      </c>
      <c r="K76" s="89">
        <f t="shared" si="40"/>
        <v>0</v>
      </c>
      <c r="L76" s="89">
        <f t="shared" si="40"/>
        <v>0</v>
      </c>
      <c r="M76" s="89">
        <f t="shared" si="40"/>
        <v>0</v>
      </c>
      <c r="N76" s="89">
        <f t="shared" si="40"/>
        <v>0</v>
      </c>
      <c r="O76" s="89">
        <f t="shared" si="40"/>
        <v>0</v>
      </c>
      <c r="P76" s="89">
        <f t="shared" si="40"/>
        <v>0</v>
      </c>
      <c r="Q76" s="89">
        <f t="shared" si="41"/>
        <v>0</v>
      </c>
      <c r="R76" s="89">
        <f t="shared" si="41"/>
        <v>0</v>
      </c>
      <c r="S76" s="89">
        <f t="shared" si="41"/>
        <v>0</v>
      </c>
      <c r="T76" s="89">
        <f t="shared" si="41"/>
        <v>0</v>
      </c>
      <c r="U76" s="89">
        <f t="shared" si="41"/>
        <v>0</v>
      </c>
      <c r="V76" s="89">
        <f t="shared" si="41"/>
        <v>0</v>
      </c>
      <c r="W76" s="89">
        <f t="shared" si="41"/>
        <v>0</v>
      </c>
      <c r="X76" s="91">
        <f>SUM(G76:W76)</f>
        <v>0</v>
      </c>
      <c r="Y76" s="87" t="str">
        <f>IF(ABS(F76-X76)&lt;0.01,"ok","err")</f>
        <v>ok</v>
      </c>
      <c r="Z76" s="203" t="str">
        <f>IF(Y76="err",X76-F76,"")</f>
        <v/>
      </c>
    </row>
    <row r="77" spans="1:26" ht="12" hidden="1" customHeight="1" x14ac:dyDescent="0.5">
      <c r="A77" s="96" t="s">
        <v>2246</v>
      </c>
      <c r="C77" s="86" t="s">
        <v>191</v>
      </c>
      <c r="D77" s="86" t="s">
        <v>221</v>
      </c>
      <c r="E77" s="86" t="s">
        <v>2248</v>
      </c>
      <c r="F77" s="90">
        <f>VLOOKUP(C77,'WSS-26'!$C$1:$AU$617,15,)</f>
        <v>0</v>
      </c>
      <c r="G77" s="89">
        <f t="shared" si="40"/>
        <v>0</v>
      </c>
      <c r="H77" s="89">
        <f t="shared" si="40"/>
        <v>0</v>
      </c>
      <c r="I77" s="89">
        <f t="shared" si="40"/>
        <v>0</v>
      </c>
      <c r="J77" s="89">
        <f t="shared" si="40"/>
        <v>0</v>
      </c>
      <c r="K77" s="89">
        <f t="shared" si="40"/>
        <v>0</v>
      </c>
      <c r="L77" s="89">
        <f t="shared" si="40"/>
        <v>0</v>
      </c>
      <c r="M77" s="89">
        <f t="shared" si="40"/>
        <v>0</v>
      </c>
      <c r="N77" s="89">
        <f t="shared" si="40"/>
        <v>0</v>
      </c>
      <c r="O77" s="89">
        <f t="shared" si="40"/>
        <v>0</v>
      </c>
      <c r="P77" s="89">
        <f t="shared" si="40"/>
        <v>0</v>
      </c>
      <c r="Q77" s="89">
        <f t="shared" si="41"/>
        <v>0</v>
      </c>
      <c r="R77" s="89">
        <f t="shared" si="41"/>
        <v>0</v>
      </c>
      <c r="S77" s="89">
        <f t="shared" si="41"/>
        <v>0</v>
      </c>
      <c r="T77" s="89">
        <f t="shared" si="41"/>
        <v>0</v>
      </c>
      <c r="U77" s="89">
        <f t="shared" si="41"/>
        <v>0</v>
      </c>
      <c r="V77" s="89">
        <f t="shared" si="41"/>
        <v>0</v>
      </c>
      <c r="W77" s="89">
        <f t="shared" si="41"/>
        <v>0</v>
      </c>
      <c r="X77" s="91">
        <f>SUM(G77:W77)</f>
        <v>0</v>
      </c>
      <c r="Y77" s="87" t="str">
        <f>IF(ABS(F77-X77)&lt;0.01,"ok","err")</f>
        <v>ok</v>
      </c>
      <c r="Z77" s="203" t="str">
        <f>IF(Y77="err",X77-F77,"")</f>
        <v/>
      </c>
    </row>
    <row r="78" spans="1:26" ht="12" hidden="1" customHeight="1" x14ac:dyDescent="0.5">
      <c r="A78" s="86" t="s">
        <v>443</v>
      </c>
      <c r="D78" s="86" t="s">
        <v>222</v>
      </c>
      <c r="F78" s="89">
        <f t="shared" ref="F78:U78" si="42">SUM(F75:F77)</f>
        <v>1036890044.1655744</v>
      </c>
      <c r="G78" s="89">
        <f t="shared" si="42"/>
        <v>457204797.2692166</v>
      </c>
      <c r="H78" s="89">
        <f t="shared" ref="H78" si="43">SUM(H75:H77)</f>
        <v>1468883.5376309974</v>
      </c>
      <c r="I78" s="89">
        <f t="shared" si="42"/>
        <v>117632810.98273394</v>
      </c>
      <c r="J78" s="89">
        <f>SUM(J75:J77)</f>
        <v>12039046.72159134</v>
      </c>
      <c r="K78" s="89">
        <f>SUM(K75:K77)</f>
        <v>104938744.20175318</v>
      </c>
      <c r="L78" s="89">
        <f>SUM(L75:L77)</f>
        <v>4509303.491109971</v>
      </c>
      <c r="M78" s="89">
        <f t="shared" si="42"/>
        <v>92835619.470936596</v>
      </c>
      <c r="N78" s="89">
        <f t="shared" si="42"/>
        <v>151195325.76232815</v>
      </c>
      <c r="O78" s="89">
        <f t="shared" si="42"/>
        <v>52431270.403886661</v>
      </c>
      <c r="P78" s="89">
        <f t="shared" si="42"/>
        <v>35132972.825311884</v>
      </c>
      <c r="Q78" s="89">
        <f>SUM(Q75:Q77)</f>
        <v>7076167.297445246</v>
      </c>
      <c r="R78" s="89">
        <f t="shared" si="42"/>
        <v>257452.74761782473</v>
      </c>
      <c r="S78" s="89">
        <f t="shared" si="42"/>
        <v>69364.058451574689</v>
      </c>
      <c r="T78" s="89">
        <f t="shared" si="42"/>
        <v>97675.900970068324</v>
      </c>
      <c r="U78" s="89">
        <f t="shared" si="42"/>
        <v>609.49459048007952</v>
      </c>
      <c r="V78" s="89">
        <f>SUM(V75:V77)</f>
        <v>0</v>
      </c>
      <c r="W78" s="89">
        <f>SUM(W75:W77)</f>
        <v>0</v>
      </c>
      <c r="X78" s="91">
        <f>SUM(G78:W78)</f>
        <v>1036890044.1655746</v>
      </c>
      <c r="Y78" s="87" t="str">
        <f>IF(ABS(F78-X78)&lt;0.01,"ok","err")</f>
        <v>ok</v>
      </c>
      <c r="Z78" s="203" t="str">
        <f>IF(Y78="err",X78-F78,"")</f>
        <v/>
      </c>
    </row>
    <row r="79" spans="1:26" ht="12" customHeight="1" x14ac:dyDescent="0.5">
      <c r="F79" s="90"/>
      <c r="G79" s="90"/>
      <c r="H79" s="90"/>
    </row>
    <row r="80" spans="1:26" ht="12" customHeight="1" x14ac:dyDescent="0.5">
      <c r="A80" s="23" t="s">
        <v>1627</v>
      </c>
      <c r="F80" s="90"/>
      <c r="G80" s="90"/>
      <c r="H80" s="90"/>
    </row>
    <row r="81" spans="1:26" ht="12" customHeight="1" x14ac:dyDescent="0.5">
      <c r="A81" s="96" t="s">
        <v>145</v>
      </c>
      <c r="C81" s="86" t="s">
        <v>191</v>
      </c>
      <c r="D81" s="86" t="s">
        <v>223</v>
      </c>
      <c r="E81" s="86" t="s">
        <v>2252</v>
      </c>
      <c r="F81" s="89">
        <f>VLOOKUP(C81,'WSS-26'!$C$1:$AU$617,17,)</f>
        <v>0</v>
      </c>
      <c r="G81" s="89">
        <f t="shared" ref="G81:W81" si="44">IF(VLOOKUP($E81,$D$5:$W$978,3,)=0,0,(VLOOKUP($E81,$D$5:$W$978,G$1,)/VLOOKUP($E81,$D$5:$W$978,3,))*$F81)</f>
        <v>0</v>
      </c>
      <c r="H81" s="89">
        <f t="shared" si="44"/>
        <v>0</v>
      </c>
      <c r="I81" s="89">
        <f t="shared" si="44"/>
        <v>0</v>
      </c>
      <c r="J81" s="89">
        <f t="shared" si="44"/>
        <v>0</v>
      </c>
      <c r="K81" s="89">
        <f t="shared" si="44"/>
        <v>0</v>
      </c>
      <c r="L81" s="89">
        <f t="shared" si="44"/>
        <v>0</v>
      </c>
      <c r="M81" s="89">
        <f t="shared" si="44"/>
        <v>0</v>
      </c>
      <c r="N81" s="89">
        <f t="shared" si="44"/>
        <v>0</v>
      </c>
      <c r="O81" s="89">
        <f t="shared" si="44"/>
        <v>0</v>
      </c>
      <c r="P81" s="89">
        <f t="shared" si="44"/>
        <v>0</v>
      </c>
      <c r="Q81" s="89">
        <f t="shared" si="44"/>
        <v>0</v>
      </c>
      <c r="R81" s="89">
        <f t="shared" si="44"/>
        <v>0</v>
      </c>
      <c r="S81" s="89">
        <f t="shared" si="44"/>
        <v>0</v>
      </c>
      <c r="T81" s="89">
        <f t="shared" si="44"/>
        <v>0</v>
      </c>
      <c r="U81" s="89">
        <f t="shared" si="44"/>
        <v>0</v>
      </c>
      <c r="V81" s="89">
        <f t="shared" si="44"/>
        <v>0</v>
      </c>
      <c r="W81" s="89">
        <f t="shared" si="44"/>
        <v>0</v>
      </c>
      <c r="X81" s="91">
        <f>SUM(G81:W81)</f>
        <v>0</v>
      </c>
      <c r="Y81" s="87" t="str">
        <f>IF(ABS(F81-X81)&lt;0.01,"ok","err")</f>
        <v>ok</v>
      </c>
      <c r="Z81" s="203" t="str">
        <f>IF(Y81="err",X81-F81,"")</f>
        <v/>
      </c>
    </row>
    <row r="82" spans="1:26" ht="12" customHeight="1" x14ac:dyDescent="0.5">
      <c r="F82" s="90"/>
    </row>
    <row r="83" spans="1:26" ht="12" customHeight="1" x14ac:dyDescent="0.5">
      <c r="A83" s="23" t="s">
        <v>1628</v>
      </c>
      <c r="F83" s="90"/>
      <c r="G83" s="90"/>
      <c r="H83" s="90"/>
    </row>
    <row r="84" spans="1:26" ht="12" customHeight="1" x14ac:dyDescent="0.5">
      <c r="A84" s="96" t="s">
        <v>147</v>
      </c>
      <c r="C84" s="86" t="s">
        <v>191</v>
      </c>
      <c r="D84" s="86" t="s">
        <v>224</v>
      </c>
      <c r="E84" s="86" t="s">
        <v>2252</v>
      </c>
      <c r="F84" s="89">
        <f>VLOOKUP(C84,'WSS-26'!$C$1:$AU$617,18,)</f>
        <v>246738026.82718259</v>
      </c>
      <c r="G84" s="89">
        <f t="shared" ref="G84:W84" si="45">IF(VLOOKUP($E84,$D$5:$W$978,3,)=0,0,(VLOOKUP($E84,$D$5:$W$978,G$1,)/VLOOKUP($E84,$D$5:$W$978,3,))*$F84)</f>
        <v>118831500.65326105</v>
      </c>
      <c r="H84" s="89">
        <f t="shared" si="45"/>
        <v>381775.59838415682</v>
      </c>
      <c r="I84" s="89">
        <f t="shared" si="45"/>
        <v>30573789.992209353</v>
      </c>
      <c r="J84" s="89">
        <f t="shared" si="45"/>
        <v>3129052.8815668318</v>
      </c>
      <c r="K84" s="89">
        <f t="shared" si="45"/>
        <v>27274491.704032317</v>
      </c>
      <c r="L84" s="89">
        <f t="shared" si="45"/>
        <v>1172007.1704192183</v>
      </c>
      <c r="M84" s="89">
        <f t="shared" si="45"/>
        <v>24128784.390927177</v>
      </c>
      <c r="N84" s="89">
        <f t="shared" si="45"/>
        <v>39296979.295509696</v>
      </c>
      <c r="O84" s="89">
        <f t="shared" si="45"/>
        <v>0</v>
      </c>
      <c r="P84" s="89">
        <f t="shared" si="45"/>
        <v>0</v>
      </c>
      <c r="Q84" s="89">
        <f t="shared" si="45"/>
        <v>1839157.3838491843</v>
      </c>
      <c r="R84" s="89">
        <f t="shared" si="45"/>
        <v>66914.206783173751</v>
      </c>
      <c r="S84" s="89">
        <f t="shared" si="45"/>
        <v>18028.321676484098</v>
      </c>
      <c r="T84" s="89">
        <f t="shared" si="45"/>
        <v>25386.815622360984</v>
      </c>
      <c r="U84" s="89">
        <f t="shared" si="45"/>
        <v>158.41294155132246</v>
      </c>
      <c r="V84" s="89">
        <f t="shared" si="45"/>
        <v>0</v>
      </c>
      <c r="W84" s="89">
        <f t="shared" si="45"/>
        <v>0</v>
      </c>
      <c r="X84" s="91">
        <f>SUM(G84:W84)</f>
        <v>246738026.82718253</v>
      </c>
      <c r="Y84" s="87" t="str">
        <f>IF(ABS(F84-X84)&lt;0.01,"ok","err")</f>
        <v>ok</v>
      </c>
      <c r="Z84" s="203" t="str">
        <f>IF(Y84="err",X84-F84,"")</f>
        <v/>
      </c>
    </row>
    <row r="85" spans="1:26" ht="12" customHeight="1" x14ac:dyDescent="0.5">
      <c r="F85" s="90"/>
    </row>
    <row r="86" spans="1:26" ht="12" customHeight="1" x14ac:dyDescent="0.5">
      <c r="A86" s="23" t="s">
        <v>146</v>
      </c>
      <c r="F86" s="90"/>
    </row>
    <row r="87" spans="1:26" ht="12" customHeight="1" x14ac:dyDescent="0.5">
      <c r="A87" s="96" t="s">
        <v>791</v>
      </c>
      <c r="C87" s="86" t="s">
        <v>191</v>
      </c>
      <c r="D87" s="86" t="s">
        <v>225</v>
      </c>
      <c r="E87" s="86" t="s">
        <v>2252</v>
      </c>
      <c r="F87" s="89">
        <f>VLOOKUP(C87,'WSS-26'!$C$1:$AU$617,19,)</f>
        <v>0</v>
      </c>
      <c r="G87" s="89">
        <f t="shared" ref="G87:P91" si="46">IF(VLOOKUP($E87,$D$5:$W$978,3,)=0,0,(VLOOKUP($E87,$D$5:$W$978,G$1,)/VLOOKUP($E87,$D$5:$W$978,3,))*$F87)</f>
        <v>0</v>
      </c>
      <c r="H87" s="89">
        <f t="shared" si="46"/>
        <v>0</v>
      </c>
      <c r="I87" s="89">
        <f t="shared" si="46"/>
        <v>0</v>
      </c>
      <c r="J87" s="89">
        <f t="shared" si="46"/>
        <v>0</v>
      </c>
      <c r="K87" s="89">
        <f t="shared" si="46"/>
        <v>0</v>
      </c>
      <c r="L87" s="89">
        <f t="shared" si="46"/>
        <v>0</v>
      </c>
      <c r="M87" s="89">
        <f t="shared" si="46"/>
        <v>0</v>
      </c>
      <c r="N87" s="89">
        <f t="shared" si="46"/>
        <v>0</v>
      </c>
      <c r="O87" s="89">
        <f t="shared" si="46"/>
        <v>0</v>
      </c>
      <c r="P87" s="89">
        <f t="shared" si="46"/>
        <v>0</v>
      </c>
      <c r="Q87" s="89">
        <f t="shared" ref="Q87:W91" si="47">IF(VLOOKUP($E87,$D$5:$W$978,3,)=0,0,(VLOOKUP($E87,$D$5:$W$978,Q$1,)/VLOOKUP($E87,$D$5:$W$978,3,))*$F87)</f>
        <v>0</v>
      </c>
      <c r="R87" s="89">
        <f t="shared" si="47"/>
        <v>0</v>
      </c>
      <c r="S87" s="89">
        <f t="shared" si="47"/>
        <v>0</v>
      </c>
      <c r="T87" s="89">
        <f t="shared" si="47"/>
        <v>0</v>
      </c>
      <c r="U87" s="89">
        <f t="shared" si="47"/>
        <v>0</v>
      </c>
      <c r="V87" s="89">
        <f t="shared" si="47"/>
        <v>0</v>
      </c>
      <c r="W87" s="89">
        <f t="shared" si="47"/>
        <v>0</v>
      </c>
      <c r="X87" s="91">
        <f t="shared" ref="X87:X92" si="48">SUM(G87:W87)</f>
        <v>0</v>
      </c>
      <c r="Y87" s="87" t="str">
        <f t="shared" ref="Y87:Y92" si="49">IF(ABS(F87-X87)&lt;0.01,"ok","err")</f>
        <v>ok</v>
      </c>
      <c r="Z87" s="203" t="str">
        <f t="shared" ref="Z87:Z92" si="50">IF(Y87="err",X87-F87,"")</f>
        <v/>
      </c>
    </row>
    <row r="88" spans="1:26" ht="12" customHeight="1" x14ac:dyDescent="0.5">
      <c r="A88" s="96" t="s">
        <v>792</v>
      </c>
      <c r="C88" s="86" t="s">
        <v>191</v>
      </c>
      <c r="D88" s="86" t="s">
        <v>226</v>
      </c>
      <c r="E88" s="86" t="s">
        <v>2252</v>
      </c>
      <c r="F88" s="90">
        <f>VLOOKUP(C88,'WSS-26'!$C$1:$AU$617,20,)</f>
        <v>196243910.46797469</v>
      </c>
      <c r="G88" s="89">
        <f t="shared" si="46"/>
        <v>94513029.364975557</v>
      </c>
      <c r="H88" s="89">
        <f t="shared" si="46"/>
        <v>303646.49223945255</v>
      </c>
      <c r="I88" s="89">
        <f t="shared" si="46"/>
        <v>24316965.58107027</v>
      </c>
      <c r="J88" s="89">
        <f t="shared" si="46"/>
        <v>2488702.6188705429</v>
      </c>
      <c r="K88" s="89">
        <f t="shared" si="46"/>
        <v>21692857.711691681</v>
      </c>
      <c r="L88" s="89">
        <f t="shared" si="46"/>
        <v>932159.8019451896</v>
      </c>
      <c r="M88" s="89">
        <f t="shared" si="46"/>
        <v>19190908.935292333</v>
      </c>
      <c r="N88" s="89">
        <f t="shared" si="46"/>
        <v>31254983.213152081</v>
      </c>
      <c r="O88" s="89">
        <f t="shared" si="46"/>
        <v>0</v>
      </c>
      <c r="P88" s="89">
        <f t="shared" si="46"/>
        <v>0</v>
      </c>
      <c r="Q88" s="89">
        <f t="shared" si="47"/>
        <v>1462779.9436258269</v>
      </c>
      <c r="R88" s="89">
        <f t="shared" si="47"/>
        <v>53220.436970544921</v>
      </c>
      <c r="S88" s="89">
        <f t="shared" si="47"/>
        <v>14338.88562076328</v>
      </c>
      <c r="T88" s="89">
        <f t="shared" si="47"/>
        <v>20191.488260344362</v>
      </c>
      <c r="U88" s="89">
        <f t="shared" si="47"/>
        <v>125.99426006004431</v>
      </c>
      <c r="V88" s="89">
        <f t="shared" si="47"/>
        <v>0</v>
      </c>
      <c r="W88" s="89">
        <f t="shared" si="47"/>
        <v>0</v>
      </c>
      <c r="X88" s="91">
        <f t="shared" si="48"/>
        <v>196243910.46797466</v>
      </c>
      <c r="Y88" s="87" t="str">
        <f t="shared" si="49"/>
        <v>ok</v>
      </c>
      <c r="Z88" s="203" t="str">
        <f t="shared" si="50"/>
        <v/>
      </c>
    </row>
    <row r="89" spans="1:26" ht="12" customHeight="1" x14ac:dyDescent="0.5">
      <c r="A89" s="96" t="s">
        <v>793</v>
      </c>
      <c r="C89" s="86" t="s">
        <v>191</v>
      </c>
      <c r="D89" s="86" t="s">
        <v>227</v>
      </c>
      <c r="E89" s="86" t="s">
        <v>2451</v>
      </c>
      <c r="F89" s="90">
        <f>VLOOKUP(C89,'WSS-26'!$C$1:$AU$617,21,)</f>
        <v>381452075.25920105</v>
      </c>
      <c r="G89" s="89">
        <f t="shared" si="46"/>
        <v>301066117.17158532</v>
      </c>
      <c r="H89" s="89">
        <f t="shared" si="46"/>
        <v>5373273.0484923283</v>
      </c>
      <c r="I89" s="89">
        <f t="shared" si="46"/>
        <v>57330578.767447487</v>
      </c>
      <c r="J89" s="89">
        <f t="shared" si="46"/>
        <v>293780.49936308799</v>
      </c>
      <c r="K89" s="89">
        <f t="shared" si="46"/>
        <v>3077766.4579500868</v>
      </c>
      <c r="L89" s="89">
        <f t="shared" si="46"/>
        <v>141347.22139167442</v>
      </c>
      <c r="M89" s="89">
        <f t="shared" si="46"/>
        <v>530052.08021877904</v>
      </c>
      <c r="N89" s="89">
        <f t="shared" si="46"/>
        <v>177376.90527582672</v>
      </c>
      <c r="O89" s="89">
        <f t="shared" si="46"/>
        <v>0</v>
      </c>
      <c r="P89" s="89">
        <f t="shared" si="46"/>
        <v>0</v>
      </c>
      <c r="Q89" s="89">
        <f t="shared" si="47"/>
        <v>13341222.242171803</v>
      </c>
      <c r="R89" s="89">
        <f t="shared" si="47"/>
        <v>8314.5424348043762</v>
      </c>
      <c r="S89" s="89">
        <f t="shared" si="47"/>
        <v>102546.02336258731</v>
      </c>
      <c r="T89" s="89">
        <f t="shared" si="47"/>
        <v>2771.5141449347925</v>
      </c>
      <c r="U89" s="89">
        <f t="shared" si="47"/>
        <v>6928.7853623369801</v>
      </c>
      <c r="V89" s="89">
        <f t="shared" si="47"/>
        <v>0</v>
      </c>
      <c r="W89" s="89">
        <f t="shared" si="47"/>
        <v>0</v>
      </c>
      <c r="X89" s="91">
        <f t="shared" si="48"/>
        <v>381452075.25920111</v>
      </c>
      <c r="Y89" s="87" t="str">
        <f t="shared" si="49"/>
        <v>ok</v>
      </c>
      <c r="Z89" s="203" t="str">
        <f t="shared" si="50"/>
        <v/>
      </c>
    </row>
    <row r="90" spans="1:26" ht="12" customHeight="1" x14ac:dyDescent="0.5">
      <c r="A90" s="96" t="s">
        <v>794</v>
      </c>
      <c r="C90" s="86" t="s">
        <v>191</v>
      </c>
      <c r="D90" s="86" t="s">
        <v>228</v>
      </c>
      <c r="E90" s="86" t="s">
        <v>733</v>
      </c>
      <c r="F90" s="90">
        <f>VLOOKUP(C90,'WSS-26'!$C$1:$AU$617,22,)</f>
        <v>88346006.220280528</v>
      </c>
      <c r="G90" s="89">
        <f t="shared" si="46"/>
        <v>72963230.036665082</v>
      </c>
      <c r="H90" s="89">
        <f t="shared" si="46"/>
        <v>219406.21018685156</v>
      </c>
      <c r="I90" s="89">
        <f t="shared" si="46"/>
        <v>13642698.419501837</v>
      </c>
      <c r="J90" s="89">
        <f t="shared" si="46"/>
        <v>988894.75142775825</v>
      </c>
      <c r="K90" s="89">
        <f t="shared" si="46"/>
        <v>0</v>
      </c>
      <c r="L90" s="89">
        <f t="shared" si="46"/>
        <v>0</v>
      </c>
      <c r="M90" s="89">
        <f t="shared" si="46"/>
        <v>0</v>
      </c>
      <c r="N90" s="89">
        <f t="shared" si="46"/>
        <v>0</v>
      </c>
      <c r="O90" s="89">
        <f t="shared" si="46"/>
        <v>0</v>
      </c>
      <c r="P90" s="89">
        <f t="shared" si="46"/>
        <v>0</v>
      </c>
      <c r="Q90" s="89">
        <f t="shared" si="47"/>
        <v>508258.80290708481</v>
      </c>
      <c r="R90" s="89">
        <f t="shared" si="47"/>
        <v>18492.019734555739</v>
      </c>
      <c r="S90" s="89">
        <f t="shared" si="47"/>
        <v>4982.2017811962578</v>
      </c>
      <c r="T90" s="89">
        <f t="shared" si="47"/>
        <v>0</v>
      </c>
      <c r="U90" s="89">
        <f t="shared" si="47"/>
        <v>43.778076169509355</v>
      </c>
      <c r="V90" s="89">
        <f t="shared" si="47"/>
        <v>0</v>
      </c>
      <c r="W90" s="89">
        <f t="shared" si="47"/>
        <v>0</v>
      </c>
      <c r="X90" s="91">
        <f t="shared" si="48"/>
        <v>88346006.220280543</v>
      </c>
      <c r="Y90" s="87" t="str">
        <f t="shared" si="49"/>
        <v>ok</v>
      </c>
      <c r="Z90" s="203" t="str">
        <f t="shared" si="50"/>
        <v/>
      </c>
    </row>
    <row r="91" spans="1:26" ht="12" customHeight="1" x14ac:dyDescent="0.5">
      <c r="A91" s="96" t="s">
        <v>795</v>
      </c>
      <c r="C91" s="86" t="s">
        <v>191</v>
      </c>
      <c r="D91" s="86" t="s">
        <v>229</v>
      </c>
      <c r="E91" s="86" t="s">
        <v>2450</v>
      </c>
      <c r="F91" s="90">
        <f>VLOOKUP(C91,'WSS-26'!$C$1:$AU$617,23,)</f>
        <v>178348643.68247896</v>
      </c>
      <c r="G91" s="89">
        <f t="shared" si="46"/>
        <v>142226519.12600654</v>
      </c>
      <c r="H91" s="89">
        <f t="shared" si="46"/>
        <v>2538385.6847799979</v>
      </c>
      <c r="I91" s="89">
        <f t="shared" si="46"/>
        <v>27083514.857722305</v>
      </c>
      <c r="J91" s="89">
        <f t="shared" si="46"/>
        <v>138784.72344896445</v>
      </c>
      <c r="K91" s="89">
        <f t="shared" si="46"/>
        <v>0</v>
      </c>
      <c r="L91" s="89">
        <f t="shared" si="46"/>
        <v>0</v>
      </c>
      <c r="M91" s="89">
        <f t="shared" si="46"/>
        <v>0</v>
      </c>
      <c r="N91" s="89">
        <f t="shared" si="46"/>
        <v>0</v>
      </c>
      <c r="O91" s="89">
        <f t="shared" si="46"/>
        <v>0</v>
      </c>
      <c r="P91" s="89">
        <f t="shared" si="46"/>
        <v>0</v>
      </c>
      <c r="Q91" s="89">
        <f t="shared" si="47"/>
        <v>6302521.2475475352</v>
      </c>
      <c r="R91" s="89">
        <f t="shared" si="47"/>
        <v>3927.8695315744653</v>
      </c>
      <c r="S91" s="89">
        <f t="shared" si="47"/>
        <v>48443.724222751742</v>
      </c>
      <c r="T91" s="89">
        <f t="shared" si="47"/>
        <v>0</v>
      </c>
      <c r="U91" s="89">
        <f t="shared" si="47"/>
        <v>6546.4492192907746</v>
      </c>
      <c r="V91" s="89">
        <f t="shared" si="47"/>
        <v>0</v>
      </c>
      <c r="W91" s="89">
        <f t="shared" si="47"/>
        <v>0</v>
      </c>
      <c r="X91" s="91">
        <f t="shared" si="48"/>
        <v>178348643.68247896</v>
      </c>
      <c r="Y91" s="87" t="str">
        <f t="shared" si="49"/>
        <v>ok</v>
      </c>
      <c r="Z91" s="203" t="str">
        <f t="shared" si="50"/>
        <v/>
      </c>
    </row>
    <row r="92" spans="1:26" ht="12" customHeight="1" x14ac:dyDescent="0.5">
      <c r="A92" s="86" t="s">
        <v>151</v>
      </c>
      <c r="D92" s="86" t="s">
        <v>230</v>
      </c>
      <c r="F92" s="89">
        <f>SUM(F87:F91)</f>
        <v>844390635.62993526</v>
      </c>
      <c r="G92" s="89">
        <f t="shared" ref="G92:U92" si="51">SUM(G87:G91)</f>
        <v>610768895.69923258</v>
      </c>
      <c r="H92" s="89">
        <f t="shared" ref="H92" si="52">SUM(H87:H91)</f>
        <v>8434711.4356986303</v>
      </c>
      <c r="I92" s="89">
        <f t="shared" si="51"/>
        <v>122373757.6257419</v>
      </c>
      <c r="J92" s="89">
        <f>SUM(J87:J91)</f>
        <v>3910162.5931103532</v>
      </c>
      <c r="K92" s="89">
        <f>SUM(K87:K91)</f>
        <v>24770624.169641767</v>
      </c>
      <c r="L92" s="89">
        <f>SUM(L87:L91)</f>
        <v>1073507.0233368641</v>
      </c>
      <c r="M92" s="89">
        <f t="shared" si="51"/>
        <v>19720961.015511114</v>
      </c>
      <c r="N92" s="89">
        <f t="shared" si="51"/>
        <v>31432360.118427906</v>
      </c>
      <c r="O92" s="89">
        <f t="shared" si="51"/>
        <v>0</v>
      </c>
      <c r="P92" s="89">
        <f t="shared" si="51"/>
        <v>0</v>
      </c>
      <c r="Q92" s="89">
        <f>SUM(Q87:Q91)</f>
        <v>21614782.236252248</v>
      </c>
      <c r="R92" s="89">
        <f t="shared" si="51"/>
        <v>83954.868671479504</v>
      </c>
      <c r="S92" s="89">
        <f t="shared" si="51"/>
        <v>170310.83498729859</v>
      </c>
      <c r="T92" s="89">
        <f t="shared" si="51"/>
        <v>22963.002405279156</v>
      </c>
      <c r="U92" s="89">
        <f t="shared" si="51"/>
        <v>13645.006917857309</v>
      </c>
      <c r="V92" s="89">
        <f>SUM(V87:V91)</f>
        <v>0</v>
      </c>
      <c r="W92" s="89">
        <f>SUM(W87:W91)</f>
        <v>0</v>
      </c>
      <c r="X92" s="91">
        <f t="shared" si="48"/>
        <v>844390635.62993526</v>
      </c>
      <c r="Y92" s="87" t="str">
        <f t="shared" si="49"/>
        <v>ok</v>
      </c>
      <c r="Z92" s="91" t="str">
        <f t="shared" si="50"/>
        <v/>
      </c>
    </row>
    <row r="93" spans="1:26" ht="12" customHeight="1" x14ac:dyDescent="0.5">
      <c r="F93" s="90"/>
    </row>
    <row r="94" spans="1:26" ht="12" customHeight="1" x14ac:dyDescent="0.5">
      <c r="A94" s="23" t="s">
        <v>790</v>
      </c>
      <c r="F94" s="90"/>
    </row>
    <row r="95" spans="1:26" ht="12" customHeight="1" x14ac:dyDescent="0.5">
      <c r="A95" s="96" t="s">
        <v>389</v>
      </c>
      <c r="C95" s="86" t="s">
        <v>191</v>
      </c>
      <c r="D95" s="86" t="s">
        <v>231</v>
      </c>
      <c r="E95" s="86" t="s">
        <v>2177</v>
      </c>
      <c r="F95" s="89">
        <f>VLOOKUP(C95,'WSS-26'!$C$1:$AU$617,24,)</f>
        <v>128785003.65333001</v>
      </c>
      <c r="G95" s="89">
        <f t="shared" ref="G95:P96" si="53">IF(VLOOKUP($E95,$D$5:$W$978,3,)=0,0,(VLOOKUP($E95,$D$5:$W$978,G$1,)/VLOOKUP($E95,$D$5:$W$978,3,))*$F95)</f>
        <v>87785686.241892025</v>
      </c>
      <c r="H95" s="89">
        <f t="shared" si="53"/>
        <v>263978.50968641019</v>
      </c>
      <c r="I95" s="89">
        <f t="shared" si="53"/>
        <v>16414208.120245175</v>
      </c>
      <c r="J95" s="89">
        <f t="shared" si="53"/>
        <v>1189788.3952158822</v>
      </c>
      <c r="K95" s="89">
        <f t="shared" si="53"/>
        <v>12127221.828067049</v>
      </c>
      <c r="L95" s="89">
        <f t="shared" si="53"/>
        <v>0</v>
      </c>
      <c r="M95" s="89">
        <f t="shared" si="53"/>
        <v>10349939.09830614</v>
      </c>
      <c r="N95" s="89">
        <f t="shared" si="53"/>
        <v>0</v>
      </c>
      <c r="O95" s="89">
        <f t="shared" si="53"/>
        <v>0</v>
      </c>
      <c r="P95" s="89">
        <f t="shared" si="53"/>
        <v>0</v>
      </c>
      <c r="Q95" s="89">
        <f t="shared" ref="Q95:W96" si="54">IF(VLOOKUP($E95,$D$5:$W$978,3,)=0,0,(VLOOKUP($E95,$D$5:$W$978,Q$1,)/VLOOKUP($E95,$D$5:$W$978,3,))*$F95)</f>
        <v>611511.41169682145</v>
      </c>
      <c r="R95" s="89">
        <f t="shared" si="54"/>
        <v>22248.667466898551</v>
      </c>
      <c r="S95" s="89">
        <f t="shared" si="54"/>
        <v>5994.3344358262038</v>
      </c>
      <c r="T95" s="89">
        <f t="shared" si="54"/>
        <v>14374.37473980614</v>
      </c>
      <c r="U95" s="89">
        <f t="shared" si="54"/>
        <v>52.671577957266848</v>
      </c>
      <c r="V95" s="89">
        <f t="shared" si="54"/>
        <v>0</v>
      </c>
      <c r="W95" s="89">
        <f t="shared" si="54"/>
        <v>0</v>
      </c>
      <c r="X95" s="91">
        <f>SUM(G95:W95)</f>
        <v>128785003.65332998</v>
      </c>
      <c r="Y95" s="87" t="str">
        <f>IF(ABS(F95-X95)&lt;0.01,"ok","err")</f>
        <v>ok</v>
      </c>
      <c r="Z95" s="203" t="str">
        <f>IF(Y95="err",X95-F95,"")</f>
        <v/>
      </c>
    </row>
    <row r="96" spans="1:26" ht="12" customHeight="1" x14ac:dyDescent="0.5">
      <c r="A96" s="96" t="s">
        <v>392</v>
      </c>
      <c r="C96" s="86" t="s">
        <v>191</v>
      </c>
      <c r="D96" s="86" t="s">
        <v>232</v>
      </c>
      <c r="E96" s="86" t="s">
        <v>2452</v>
      </c>
      <c r="F96" s="90">
        <f>VLOOKUP(C96,'WSS-26'!$C$1:$AU$617,25,)</f>
        <v>106998058.40617499</v>
      </c>
      <c r="G96" s="89">
        <f t="shared" si="53"/>
        <v>84520260.149167165</v>
      </c>
      <c r="H96" s="89">
        <f t="shared" si="53"/>
        <v>1508474.0859505225</v>
      </c>
      <c r="I96" s="89">
        <f t="shared" si="53"/>
        <v>16094788.339019071</v>
      </c>
      <c r="J96" s="89">
        <f t="shared" si="53"/>
        <v>82474.921011350307</v>
      </c>
      <c r="K96" s="89">
        <f t="shared" si="53"/>
        <v>864041.50738777837</v>
      </c>
      <c r="L96" s="89">
        <f t="shared" si="53"/>
        <v>0</v>
      </c>
      <c r="M96" s="89">
        <f t="shared" si="53"/>
        <v>148804.9872020825</v>
      </c>
      <c r="N96" s="89">
        <f t="shared" si="53"/>
        <v>0</v>
      </c>
      <c r="O96" s="89">
        <f t="shared" si="53"/>
        <v>0</v>
      </c>
      <c r="P96" s="89">
        <f t="shared" si="53"/>
        <v>0</v>
      </c>
      <c r="Q96" s="89">
        <f t="shared" si="54"/>
        <v>3745368.576210673</v>
      </c>
      <c r="R96" s="89">
        <f t="shared" si="54"/>
        <v>2334.1958776797255</v>
      </c>
      <c r="S96" s="89">
        <f t="shared" si="54"/>
        <v>28788.415824716612</v>
      </c>
      <c r="T96" s="89">
        <f t="shared" si="54"/>
        <v>778.06529255990847</v>
      </c>
      <c r="U96" s="89">
        <f t="shared" si="54"/>
        <v>1945.1632313997713</v>
      </c>
      <c r="V96" s="89">
        <f t="shared" si="54"/>
        <v>0</v>
      </c>
      <c r="W96" s="89">
        <f t="shared" si="54"/>
        <v>0</v>
      </c>
      <c r="X96" s="91">
        <f>SUM(G96:W96)</f>
        <v>106998058.406175</v>
      </c>
      <c r="Y96" s="87" t="str">
        <f>IF(ABS(F96-X96)&lt;0.01,"ok","err")</f>
        <v>ok</v>
      </c>
      <c r="Z96" s="203" t="str">
        <f>IF(Y96="err",X96-F96,"")</f>
        <v/>
      </c>
    </row>
    <row r="97" spans="1:26" ht="12" customHeight="1" x14ac:dyDescent="0.5">
      <c r="A97" s="86" t="s">
        <v>1468</v>
      </c>
      <c r="D97" s="86" t="s">
        <v>233</v>
      </c>
      <c r="F97" s="89">
        <f t="shared" ref="F97:U97" si="55">F95+F96</f>
        <v>235783062.05950499</v>
      </c>
      <c r="G97" s="89">
        <f t="shared" si="55"/>
        <v>172305946.39105919</v>
      </c>
      <c r="H97" s="89">
        <f t="shared" ref="H97" si="56">H95+H96</f>
        <v>1772452.5956369326</v>
      </c>
      <c r="I97" s="89">
        <f t="shared" si="55"/>
        <v>32508996.459264249</v>
      </c>
      <c r="J97" s="89">
        <f>J95+J96</f>
        <v>1272263.3162272326</v>
      </c>
      <c r="K97" s="89">
        <f>K95+K96</f>
        <v>12991263.335454827</v>
      </c>
      <c r="L97" s="89">
        <f>L95+L96</f>
        <v>0</v>
      </c>
      <c r="M97" s="89">
        <f t="shared" si="55"/>
        <v>10498744.085508222</v>
      </c>
      <c r="N97" s="89">
        <f t="shared" si="55"/>
        <v>0</v>
      </c>
      <c r="O97" s="89">
        <f t="shared" si="55"/>
        <v>0</v>
      </c>
      <c r="P97" s="89">
        <f t="shared" si="55"/>
        <v>0</v>
      </c>
      <c r="Q97" s="89">
        <f>Q95+Q96</f>
        <v>4356879.9879074944</v>
      </c>
      <c r="R97" s="89">
        <f t="shared" si="55"/>
        <v>24582.863344578276</v>
      </c>
      <c r="S97" s="89">
        <f t="shared" si="55"/>
        <v>34782.750260542816</v>
      </c>
      <c r="T97" s="89">
        <f t="shared" si="55"/>
        <v>15152.440032366048</v>
      </c>
      <c r="U97" s="89">
        <f t="shared" si="55"/>
        <v>1997.8348093570382</v>
      </c>
      <c r="V97" s="89">
        <f>V95+V96</f>
        <v>0</v>
      </c>
      <c r="W97" s="89">
        <f>W95+W96</f>
        <v>0</v>
      </c>
      <c r="X97" s="91">
        <f>SUM(G97:W97)</f>
        <v>235783062.05950499</v>
      </c>
      <c r="Y97" s="87" t="str">
        <f>IF(ABS(F97-X97)&lt;0.01,"ok","err")</f>
        <v>ok</v>
      </c>
      <c r="Z97" s="91" t="str">
        <f>IF(Y97="err",X97-F97,"")</f>
        <v/>
      </c>
    </row>
    <row r="98" spans="1:26" ht="12" customHeight="1" x14ac:dyDescent="0.5">
      <c r="F98" s="90"/>
    </row>
    <row r="99" spans="1:26" ht="12" customHeight="1" x14ac:dyDescent="0.5">
      <c r="A99" s="23" t="s">
        <v>128</v>
      </c>
      <c r="F99" s="90"/>
    </row>
    <row r="100" spans="1:26" ht="12" customHeight="1" x14ac:dyDescent="0.5">
      <c r="A100" s="96" t="s">
        <v>392</v>
      </c>
      <c r="C100" s="86" t="s">
        <v>191</v>
      </c>
      <c r="D100" s="86" t="s">
        <v>234</v>
      </c>
      <c r="E100" s="86" t="s">
        <v>393</v>
      </c>
      <c r="F100" s="89">
        <f>VLOOKUP(C100,'WSS-26'!$C$1:$AU$617,26,)</f>
        <v>90212968.024259329</v>
      </c>
      <c r="G100" s="89">
        <f t="shared" ref="G100:W100" si="57">IF(VLOOKUP($E100,$D$5:$W$978,3,)=0,0,(VLOOKUP($E100,$D$5:$W$978,G$1,)/VLOOKUP($E100,$D$5:$W$978,3,))*$F100)</f>
        <v>71241914.716851026</v>
      </c>
      <c r="H100" s="89">
        <f t="shared" si="57"/>
        <v>104234.8234796109</v>
      </c>
      <c r="I100" s="89">
        <f t="shared" si="57"/>
        <v>16039123.861264462</v>
      </c>
      <c r="J100" s="89">
        <f t="shared" si="57"/>
        <v>145117.69917651618</v>
      </c>
      <c r="K100" s="89">
        <f t="shared" si="57"/>
        <v>2084370.2225082219</v>
      </c>
      <c r="L100" s="89">
        <f t="shared" si="57"/>
        <v>0</v>
      </c>
      <c r="M100" s="89">
        <f t="shared" si="57"/>
        <v>596329.18655201746</v>
      </c>
      <c r="N100" s="89">
        <f t="shared" si="57"/>
        <v>0</v>
      </c>
      <c r="O100" s="89">
        <f t="shared" si="57"/>
        <v>0</v>
      </c>
      <c r="P100" s="89">
        <f t="shared" si="57"/>
        <v>0</v>
      </c>
      <c r="Q100" s="89">
        <f t="shared" si="57"/>
        <v>0</v>
      </c>
      <c r="R100" s="89">
        <f t="shared" si="57"/>
        <v>0</v>
      </c>
      <c r="S100" s="89">
        <f t="shared" si="57"/>
        <v>0</v>
      </c>
      <c r="T100" s="89">
        <f t="shared" si="57"/>
        <v>1877.5144274765951</v>
      </c>
      <c r="U100" s="89">
        <f t="shared" si="57"/>
        <v>0</v>
      </c>
      <c r="V100" s="89">
        <f t="shared" si="57"/>
        <v>0</v>
      </c>
      <c r="W100" s="89">
        <f t="shared" si="57"/>
        <v>0</v>
      </c>
      <c r="X100" s="91">
        <f>SUM(G100:W100)</f>
        <v>90212968.024259344</v>
      </c>
      <c r="Y100" s="87" t="str">
        <f>IF(ABS(F100-X100)&lt;0.01,"ok","err")</f>
        <v>ok</v>
      </c>
      <c r="Z100" s="203" t="str">
        <f>IF(Y100="err",X100-F100,"")</f>
        <v/>
      </c>
    </row>
    <row r="101" spans="1:26" ht="12" customHeight="1" x14ac:dyDescent="0.5">
      <c r="F101" s="90"/>
    </row>
    <row r="102" spans="1:26" ht="12" customHeight="1" x14ac:dyDescent="0.5">
      <c r="A102" s="23" t="s">
        <v>127</v>
      </c>
      <c r="F102" s="90"/>
    </row>
    <row r="103" spans="1:26" ht="12" customHeight="1" x14ac:dyDescent="0.5">
      <c r="A103" s="96" t="s">
        <v>392</v>
      </c>
      <c r="C103" s="86" t="s">
        <v>191</v>
      </c>
      <c r="D103" s="86" t="s">
        <v>235</v>
      </c>
      <c r="E103" s="86" t="s">
        <v>2432</v>
      </c>
      <c r="F103" s="89">
        <f>VLOOKUP(C103,'WSS-26'!$C$1:$AU$617,27,)</f>
        <v>53653152.478743747</v>
      </c>
      <c r="G103" s="89">
        <f t="shared" ref="G103:W103" si="58">IF(VLOOKUP($E103,$D$5:$W$978,3,)=0,0,(VLOOKUP($E103,$D$5:$W$978,G$1,)/VLOOKUP($E103,$D$5:$W$978,3,))*$F103)</f>
        <v>32293986.789848406</v>
      </c>
      <c r="H103" s="89">
        <f t="shared" si="58"/>
        <v>47249.684765933569</v>
      </c>
      <c r="I103" s="89">
        <f t="shared" si="58"/>
        <v>13050653.195041815</v>
      </c>
      <c r="J103" s="89">
        <f t="shared" si="58"/>
        <v>266391.30068185611</v>
      </c>
      <c r="K103" s="89">
        <f t="shared" si="58"/>
        <v>4080451.3449692144</v>
      </c>
      <c r="L103" s="89">
        <f t="shared" si="58"/>
        <v>797977.0947385187</v>
      </c>
      <c r="M103" s="89">
        <f t="shared" si="58"/>
        <v>729837.57535959536</v>
      </c>
      <c r="N103" s="89">
        <f t="shared" si="58"/>
        <v>1413593.799121575</v>
      </c>
      <c r="O103" s="89">
        <f t="shared" si="58"/>
        <v>700849.71011143958</v>
      </c>
      <c r="P103" s="89">
        <f t="shared" si="58"/>
        <v>43263.145778271719</v>
      </c>
      <c r="Q103" s="89">
        <f t="shared" si="58"/>
        <v>0</v>
      </c>
      <c r="R103" s="89">
        <f t="shared" si="58"/>
        <v>7896.2722703610452</v>
      </c>
      <c r="S103" s="89">
        <f t="shared" si="58"/>
        <v>97314.244368986605</v>
      </c>
      <c r="T103" s="89">
        <f t="shared" si="58"/>
        <v>3675.5016877841413</v>
      </c>
      <c r="U103" s="89">
        <f t="shared" si="58"/>
        <v>120012.82</v>
      </c>
      <c r="V103" s="89">
        <f t="shared" si="58"/>
        <v>0</v>
      </c>
      <c r="W103" s="89">
        <f t="shared" si="58"/>
        <v>0</v>
      </c>
      <c r="X103" s="91">
        <f>SUM(G103:W103)</f>
        <v>53653152.478743762</v>
      </c>
      <c r="Y103" s="87" t="str">
        <f>IF(ABS(F103-X103)&lt;0.01,"ok","err")</f>
        <v>ok</v>
      </c>
      <c r="Z103" s="203" t="str">
        <f>IF(Y103="err",X103-F103,"")</f>
        <v/>
      </c>
    </row>
    <row r="104" spans="1:26" ht="12" customHeight="1" x14ac:dyDescent="0.5">
      <c r="F104" s="90"/>
    </row>
    <row r="105" spans="1:26" ht="12" customHeight="1" x14ac:dyDescent="0.5">
      <c r="A105" s="23" t="s">
        <v>144</v>
      </c>
      <c r="F105" s="90"/>
    </row>
    <row r="106" spans="1:26" ht="12" customHeight="1" x14ac:dyDescent="0.5">
      <c r="A106" s="96" t="s">
        <v>392</v>
      </c>
      <c r="C106" s="86" t="s">
        <v>191</v>
      </c>
      <c r="D106" s="86" t="s">
        <v>236</v>
      </c>
      <c r="E106" s="86" t="s">
        <v>2447</v>
      </c>
      <c r="F106" s="89">
        <f>VLOOKUP(C106,'WSS-26'!$C$1:$AU$617,28,)</f>
        <v>103312450.6550363</v>
      </c>
      <c r="G106" s="89">
        <f t="shared" ref="G106:W106" si="59">IF(VLOOKUP($E106,$D$5:$W$978,3,)=0,0,(VLOOKUP($E106,$D$5:$W$978,G$1,)/VLOOKUP($E106,$D$5:$W$978,3,))*$F106)</f>
        <v>0</v>
      </c>
      <c r="H106" s="89">
        <f t="shared" si="59"/>
        <v>0</v>
      </c>
      <c r="I106" s="89">
        <f t="shared" si="59"/>
        <v>0</v>
      </c>
      <c r="J106" s="89">
        <f t="shared" si="59"/>
        <v>0</v>
      </c>
      <c r="K106" s="89">
        <f t="shared" si="59"/>
        <v>0</v>
      </c>
      <c r="L106" s="89">
        <f t="shared" si="59"/>
        <v>0</v>
      </c>
      <c r="M106" s="89">
        <f t="shared" si="59"/>
        <v>0</v>
      </c>
      <c r="N106" s="89">
        <f t="shared" si="59"/>
        <v>0</v>
      </c>
      <c r="O106" s="89">
        <f t="shared" si="59"/>
        <v>0</v>
      </c>
      <c r="P106" s="89">
        <f t="shared" si="59"/>
        <v>0</v>
      </c>
      <c r="Q106" s="89">
        <f t="shared" si="59"/>
        <v>103312450.6550363</v>
      </c>
      <c r="R106" s="89">
        <f t="shared" si="59"/>
        <v>0</v>
      </c>
      <c r="S106" s="89">
        <f t="shared" si="59"/>
        <v>0</v>
      </c>
      <c r="T106" s="89">
        <f t="shared" si="59"/>
        <v>0</v>
      </c>
      <c r="U106" s="89">
        <f t="shared" si="59"/>
        <v>0</v>
      </c>
      <c r="V106" s="89">
        <f t="shared" si="59"/>
        <v>0</v>
      </c>
      <c r="W106" s="89">
        <f t="shared" si="59"/>
        <v>0</v>
      </c>
      <c r="X106" s="91">
        <f>SUM(G106:W106)</f>
        <v>103312450.6550363</v>
      </c>
      <c r="Y106" s="87" t="str">
        <f>IF(ABS(F106-X106)&lt;0.01,"ok","err")</f>
        <v>ok</v>
      </c>
      <c r="Z106" s="203" t="str">
        <f>IF(Y106="err",X106-F106,"")</f>
        <v/>
      </c>
    </row>
    <row r="107" spans="1:26" ht="12" customHeight="1" x14ac:dyDescent="0.5">
      <c r="F107" s="90"/>
    </row>
    <row r="108" spans="1:26" ht="12" customHeight="1" x14ac:dyDescent="0.5">
      <c r="A108" s="23" t="s">
        <v>292</v>
      </c>
      <c r="F108" s="90"/>
    </row>
    <row r="109" spans="1:26" ht="12" customHeight="1" x14ac:dyDescent="0.5">
      <c r="A109" s="96" t="s">
        <v>392</v>
      </c>
      <c r="C109" s="86" t="s">
        <v>191</v>
      </c>
      <c r="D109" s="86" t="s">
        <v>237</v>
      </c>
      <c r="E109" s="86" t="s">
        <v>2446</v>
      </c>
      <c r="F109" s="89">
        <f>VLOOKUP(C109,'WSS-26'!$C$1:$AU$617,30,)</f>
        <v>0</v>
      </c>
      <c r="G109" s="89">
        <f t="shared" ref="G109:W109" si="60">IF(VLOOKUP($E109,$D$5:$W$978,3,)=0,0,(VLOOKUP($E109,$D$5:$W$978,G$1,)/VLOOKUP($E109,$D$5:$W$978,3,))*$F109)</f>
        <v>0</v>
      </c>
      <c r="H109" s="89">
        <f t="shared" si="60"/>
        <v>0</v>
      </c>
      <c r="I109" s="89">
        <f t="shared" si="60"/>
        <v>0</v>
      </c>
      <c r="J109" s="89">
        <f t="shared" si="60"/>
        <v>0</v>
      </c>
      <c r="K109" s="89">
        <f t="shared" si="60"/>
        <v>0</v>
      </c>
      <c r="L109" s="89">
        <f t="shared" si="60"/>
        <v>0</v>
      </c>
      <c r="M109" s="89">
        <f t="shared" si="60"/>
        <v>0</v>
      </c>
      <c r="N109" s="89">
        <f t="shared" si="60"/>
        <v>0</v>
      </c>
      <c r="O109" s="89">
        <f t="shared" si="60"/>
        <v>0</v>
      </c>
      <c r="P109" s="89">
        <f t="shared" si="60"/>
        <v>0</v>
      </c>
      <c r="Q109" s="89">
        <f t="shared" si="60"/>
        <v>0</v>
      </c>
      <c r="R109" s="89">
        <f t="shared" si="60"/>
        <v>0</v>
      </c>
      <c r="S109" s="89">
        <f t="shared" si="60"/>
        <v>0</v>
      </c>
      <c r="T109" s="89">
        <f t="shared" si="60"/>
        <v>0</v>
      </c>
      <c r="U109" s="89">
        <f t="shared" si="60"/>
        <v>0</v>
      </c>
      <c r="V109" s="89">
        <f t="shared" si="60"/>
        <v>0</v>
      </c>
      <c r="W109" s="89">
        <f t="shared" si="60"/>
        <v>0</v>
      </c>
      <c r="X109" s="91">
        <f>SUM(G109:W109)</f>
        <v>0</v>
      </c>
      <c r="Y109" s="87" t="str">
        <f>IF(ABS(F109-X109)&lt;0.01,"ok","err")</f>
        <v>ok</v>
      </c>
      <c r="Z109" s="203" t="str">
        <f>IF(Y109="err",X109-F109,"")</f>
        <v/>
      </c>
    </row>
    <row r="110" spans="1:26" ht="12" customHeight="1" x14ac:dyDescent="0.5">
      <c r="F110" s="90"/>
    </row>
    <row r="111" spans="1:26" ht="12" customHeight="1" x14ac:dyDescent="0.5">
      <c r="A111" s="23" t="s">
        <v>1630</v>
      </c>
      <c r="F111" s="90"/>
    </row>
    <row r="112" spans="1:26" ht="12" customHeight="1" x14ac:dyDescent="0.5">
      <c r="A112" s="96" t="s">
        <v>392</v>
      </c>
      <c r="C112" s="86" t="s">
        <v>191</v>
      </c>
      <c r="D112" s="86" t="s">
        <v>238</v>
      </c>
      <c r="E112" s="86" t="s">
        <v>2446</v>
      </c>
      <c r="F112" s="89">
        <f>VLOOKUP(C112,'WSS-26'!$C$1:$AU$617,32,)</f>
        <v>0</v>
      </c>
      <c r="G112" s="89">
        <f t="shared" ref="G112:W112" si="61">IF(VLOOKUP($E112,$D$5:$W$978,3,)=0,0,(VLOOKUP($E112,$D$5:$W$978,G$1,)/VLOOKUP($E112,$D$5:$W$978,3,))*$F112)</f>
        <v>0</v>
      </c>
      <c r="H112" s="89">
        <f t="shared" si="61"/>
        <v>0</v>
      </c>
      <c r="I112" s="89">
        <f t="shared" si="61"/>
        <v>0</v>
      </c>
      <c r="J112" s="89">
        <f t="shared" si="61"/>
        <v>0</v>
      </c>
      <c r="K112" s="89">
        <f t="shared" si="61"/>
        <v>0</v>
      </c>
      <c r="L112" s="89">
        <f t="shared" si="61"/>
        <v>0</v>
      </c>
      <c r="M112" s="89">
        <f t="shared" si="61"/>
        <v>0</v>
      </c>
      <c r="N112" s="89">
        <f t="shared" si="61"/>
        <v>0</v>
      </c>
      <c r="O112" s="89">
        <f t="shared" si="61"/>
        <v>0</v>
      </c>
      <c r="P112" s="89">
        <f t="shared" si="61"/>
        <v>0</v>
      </c>
      <c r="Q112" s="89">
        <f t="shared" si="61"/>
        <v>0</v>
      </c>
      <c r="R112" s="89">
        <f t="shared" si="61"/>
        <v>0</v>
      </c>
      <c r="S112" s="89">
        <f t="shared" si="61"/>
        <v>0</v>
      </c>
      <c r="T112" s="89">
        <f t="shared" si="61"/>
        <v>0</v>
      </c>
      <c r="U112" s="89">
        <f t="shared" si="61"/>
        <v>0</v>
      </c>
      <c r="V112" s="89">
        <f t="shared" si="61"/>
        <v>0</v>
      </c>
      <c r="W112" s="89">
        <f t="shared" si="61"/>
        <v>0</v>
      </c>
      <c r="X112" s="91">
        <f>SUM(G112:W112)</f>
        <v>0</v>
      </c>
      <c r="Y112" s="87" t="str">
        <f>IF(ABS(F112-X112)&lt;0.01,"ok","err")</f>
        <v>ok</v>
      </c>
      <c r="Z112" s="203" t="str">
        <f>IF(Y112="err",X112-F112,"")</f>
        <v/>
      </c>
    </row>
    <row r="113" spans="1:26" ht="12" customHeight="1" x14ac:dyDescent="0.5">
      <c r="F113" s="90"/>
    </row>
    <row r="114" spans="1:26" ht="12" customHeight="1" x14ac:dyDescent="0.5">
      <c r="A114" s="23" t="s">
        <v>1629</v>
      </c>
      <c r="F114" s="90"/>
    </row>
    <row r="115" spans="1:26" ht="12" customHeight="1" x14ac:dyDescent="0.5">
      <c r="A115" s="96" t="s">
        <v>392</v>
      </c>
      <c r="C115" s="86" t="s">
        <v>191</v>
      </c>
      <c r="D115" s="86" t="s">
        <v>239</v>
      </c>
      <c r="E115" s="86" t="s">
        <v>2449</v>
      </c>
      <c r="F115" s="89">
        <f>VLOOKUP(C115,'WSS-26'!$C$1:$AU$617,34,)</f>
        <v>0</v>
      </c>
      <c r="G115" s="89">
        <f t="shared" ref="G115:W115" si="62">IF(VLOOKUP($E115,$D$5:$W$978,3,)=0,0,(VLOOKUP($E115,$D$5:$W$978,G$1,)/VLOOKUP($E115,$D$5:$W$978,3,))*$F115)</f>
        <v>0</v>
      </c>
      <c r="H115" s="89">
        <f t="shared" si="62"/>
        <v>0</v>
      </c>
      <c r="I115" s="89">
        <f t="shared" si="62"/>
        <v>0</v>
      </c>
      <c r="J115" s="89">
        <f t="shared" si="62"/>
        <v>0</v>
      </c>
      <c r="K115" s="89">
        <f t="shared" si="62"/>
        <v>0</v>
      </c>
      <c r="L115" s="89">
        <f t="shared" si="62"/>
        <v>0</v>
      </c>
      <c r="M115" s="89">
        <f t="shared" si="62"/>
        <v>0</v>
      </c>
      <c r="N115" s="89">
        <f t="shared" si="62"/>
        <v>0</v>
      </c>
      <c r="O115" s="89">
        <f t="shared" si="62"/>
        <v>0</v>
      </c>
      <c r="P115" s="89">
        <f t="shared" si="62"/>
        <v>0</v>
      </c>
      <c r="Q115" s="89">
        <f t="shared" si="62"/>
        <v>0</v>
      </c>
      <c r="R115" s="89">
        <f t="shared" si="62"/>
        <v>0</v>
      </c>
      <c r="S115" s="89">
        <f t="shared" si="62"/>
        <v>0</v>
      </c>
      <c r="T115" s="89">
        <f t="shared" si="62"/>
        <v>0</v>
      </c>
      <c r="U115" s="89">
        <f t="shared" si="62"/>
        <v>0</v>
      </c>
      <c r="V115" s="89">
        <f t="shared" si="62"/>
        <v>0</v>
      </c>
      <c r="W115" s="89">
        <f t="shared" si="62"/>
        <v>0</v>
      </c>
      <c r="X115" s="91">
        <f>SUM(G115:W115)</f>
        <v>0</v>
      </c>
      <c r="Y115" s="87" t="str">
        <f>IF(ABS(F115-X115)&lt;0.01,"ok","err")</f>
        <v>ok</v>
      </c>
      <c r="Z115" s="203" t="str">
        <f>IF(Y115="err",X115-F115,"")</f>
        <v/>
      </c>
    </row>
    <row r="116" spans="1:26" ht="12" customHeight="1" x14ac:dyDescent="0.5">
      <c r="F116" s="90"/>
    </row>
    <row r="117" spans="1:26" ht="12" customHeight="1" x14ac:dyDescent="0.5">
      <c r="A117" s="86" t="s">
        <v>62</v>
      </c>
      <c r="D117" s="86" t="s">
        <v>240</v>
      </c>
      <c r="F117" s="89">
        <f>F72+F78+F81+F84+F92+F97+F100+F103+F106+F109+F112+F115</f>
        <v>6291008281</v>
      </c>
      <c r="G117" s="89">
        <f t="shared" ref="G117:U117" si="63">G72+G78+G81+G84+G92+G97+G100+G103+G106+G109+G112+G115</f>
        <v>2969922291.6479273</v>
      </c>
      <c r="H117" s="89">
        <f t="shared" ref="H117" si="64">H72+H78+H81+H84+H92+H97+H100+H103+H106+H109+H112+H115</f>
        <v>13748626.795509305</v>
      </c>
      <c r="I117" s="89">
        <f t="shared" si="63"/>
        <v>738568265.05039346</v>
      </c>
      <c r="J117" s="89">
        <f>J72+J78+J81+J84+J92+J97+J100+J103+J106+J109+J112+J115</f>
        <v>46838915.072428353</v>
      </c>
      <c r="K117" s="89">
        <f>K72+K78+K81+K84+K92+K97+K100+K103+K106+K109+K112+K115</f>
        <v>555114078.52233505</v>
      </c>
      <c r="L117" s="89">
        <f>L72+L78+L81+L84+L92+L97+L100+L103+L106+L109+L112+L115</f>
        <v>24017394.84321655</v>
      </c>
      <c r="M117" s="89">
        <f t="shared" si="63"/>
        <v>512979739.07901955</v>
      </c>
      <c r="N117" s="89">
        <f t="shared" si="63"/>
        <v>890539948.73053479</v>
      </c>
      <c r="O117" s="89">
        <f t="shared" si="63"/>
        <v>270316314.16920477</v>
      </c>
      <c r="P117" s="89">
        <f>P72+P78+P81+P84+P92+P97+P100+P103+P106+P109+P112+P115</f>
        <v>125111911.90723915</v>
      </c>
      <c r="Q117" s="89">
        <f>Q72+Q78+Q81+Q84+Q92+Q97+Q100+Q103+Q106+Q109+Q112+Q115</f>
        <v>138785643.498851</v>
      </c>
      <c r="R117" s="89">
        <f t="shared" si="63"/>
        <v>462128.93514089769</v>
      </c>
      <c r="S117" s="89">
        <f t="shared" si="63"/>
        <v>738561.26533188799</v>
      </c>
      <c r="T117" s="89">
        <f t="shared" si="63"/>
        <v>211622.69314540835</v>
      </c>
      <c r="U117" s="89">
        <f t="shared" si="63"/>
        <v>139459.19972187502</v>
      </c>
      <c r="V117" s="89">
        <f>V72+V78+V81+V84+V92+V97+V100+V103+V106+V109+V112+V115</f>
        <v>3141952.7900000005</v>
      </c>
      <c r="W117" s="89">
        <f>W72+W78+W81+W84+W92+W97+W100+W103+W106+W109+W112+W115</f>
        <v>371426.8</v>
      </c>
      <c r="X117" s="91">
        <f>SUM(G117:W117)</f>
        <v>6291008281</v>
      </c>
      <c r="Y117" s="87" t="str">
        <f>IF(ABS(F117-X117)&lt;0.01,"ok","err")</f>
        <v>ok</v>
      </c>
      <c r="Z117" s="203" t="str">
        <f>IF(Y117="err",X117-F117,"")</f>
        <v/>
      </c>
    </row>
    <row r="118" spans="1:26" ht="12" customHeight="1" x14ac:dyDescent="0.5">
      <c r="Z118" s="203"/>
    </row>
    <row r="120" spans="1:26" ht="12" customHeight="1" x14ac:dyDescent="0.5">
      <c r="A120" s="22" t="s">
        <v>400</v>
      </c>
    </row>
    <row r="122" spans="1:26" ht="12" customHeight="1" x14ac:dyDescent="0.5">
      <c r="A122" s="23" t="s">
        <v>137</v>
      </c>
    </row>
    <row r="123" spans="1:26" ht="12" customHeight="1" x14ac:dyDescent="0.5">
      <c r="A123" s="96" t="s">
        <v>2273</v>
      </c>
      <c r="C123" s="86" t="s">
        <v>777</v>
      </c>
      <c r="D123" s="86" t="s">
        <v>241</v>
      </c>
      <c r="E123" s="86" t="s">
        <v>2385</v>
      </c>
      <c r="F123" s="89">
        <f>VLOOKUP(C123,'WSS-26'!$C$1:$AU$617,6,)</f>
        <v>2975438420.0715351</v>
      </c>
      <c r="G123" s="89">
        <f t="shared" ref="G123:P128" si="65">IF(VLOOKUP($E123,$D$5:$W$978,3,)=0,0,(VLOOKUP($E123,$D$5:$W$978,G$1,)/VLOOKUP($E123,$D$5:$W$978,3,))*$F123)</f>
        <v>1218676519.1335526</v>
      </c>
      <c r="H123" s="89">
        <f t="shared" si="65"/>
        <v>1244584.9334628652</v>
      </c>
      <c r="I123" s="89">
        <f t="shared" si="65"/>
        <v>328577606.44293022</v>
      </c>
      <c r="J123" s="89">
        <f t="shared" si="65"/>
        <v>21083927.456583828</v>
      </c>
      <c r="K123" s="89">
        <f t="shared" si="65"/>
        <v>306411770.42458898</v>
      </c>
      <c r="L123" s="89">
        <f t="shared" si="65"/>
        <v>13312115.018632902</v>
      </c>
      <c r="M123" s="89">
        <f t="shared" si="65"/>
        <v>294684316.54612917</v>
      </c>
      <c r="N123" s="89">
        <f t="shared" si="65"/>
        <v>539452255.16144478</v>
      </c>
      <c r="O123" s="89">
        <f t="shared" si="65"/>
        <v>175599829.95771211</v>
      </c>
      <c r="P123" s="89">
        <f t="shared" si="65"/>
        <v>72715647.97899279</v>
      </c>
      <c r="Q123" s="89">
        <f t="shared" ref="Q123:W128" si="66">IF(VLOOKUP($E123,$D$5:$W$978,3,)=0,0,(VLOOKUP($E123,$D$5:$W$978,Q$1,)/VLOOKUP($E123,$D$5:$W$978,3,))*$F123)</f>
        <v>473964.79998973641</v>
      </c>
      <c r="R123" s="89">
        <f t="shared" si="66"/>
        <v>17244.298347149714</v>
      </c>
      <c r="S123" s="89">
        <f t="shared" si="66"/>
        <v>281983.60531421646</v>
      </c>
      <c r="T123" s="89">
        <f t="shared" si="66"/>
        <v>36296.117043179584</v>
      </c>
      <c r="U123" s="89">
        <f t="shared" si="66"/>
        <v>2454.3968099108101</v>
      </c>
      <c r="V123" s="89">
        <f t="shared" si="66"/>
        <v>2576969.3631635425</v>
      </c>
      <c r="W123" s="89">
        <f t="shared" si="66"/>
        <v>290934.43683645804</v>
      </c>
      <c r="X123" s="91">
        <f t="shared" ref="X123:X128" si="67">SUM(G123:W123)</f>
        <v>2975438420.0715337</v>
      </c>
      <c r="Y123" s="87" t="str">
        <f t="shared" ref="Y123:Y128" si="68">IF(ABS(F123-X123)&lt;0.01,"ok","err")</f>
        <v>ok</v>
      </c>
      <c r="Z123" s="203" t="str">
        <f t="shared" ref="Z123:Z128" si="69">IF(Y123="err",X123-F123,"")</f>
        <v/>
      </c>
    </row>
    <row r="124" spans="1:26" ht="12" hidden="1" customHeight="1" x14ac:dyDescent="0.5">
      <c r="A124" s="96" t="s">
        <v>2274</v>
      </c>
      <c r="C124" s="86" t="s">
        <v>777</v>
      </c>
      <c r="D124" s="86" t="s">
        <v>242</v>
      </c>
      <c r="E124" s="86" t="s">
        <v>2272</v>
      </c>
      <c r="F124" s="90">
        <f>VLOOKUP(C124,'WSS-26'!$C$1:$AU$617,7,)</f>
        <v>0</v>
      </c>
      <c r="G124" s="89">
        <f t="shared" si="65"/>
        <v>0</v>
      </c>
      <c r="H124" s="89">
        <f t="shared" si="65"/>
        <v>0</v>
      </c>
      <c r="I124" s="89">
        <f t="shared" si="65"/>
        <v>0</v>
      </c>
      <c r="J124" s="89">
        <f t="shared" si="65"/>
        <v>0</v>
      </c>
      <c r="K124" s="89">
        <f t="shared" si="65"/>
        <v>0</v>
      </c>
      <c r="L124" s="89">
        <f t="shared" si="65"/>
        <v>0</v>
      </c>
      <c r="M124" s="89">
        <f t="shared" si="65"/>
        <v>0</v>
      </c>
      <c r="N124" s="89">
        <f t="shared" si="65"/>
        <v>0</v>
      </c>
      <c r="O124" s="89">
        <f t="shared" si="65"/>
        <v>0</v>
      </c>
      <c r="P124" s="89">
        <f t="shared" si="65"/>
        <v>0</v>
      </c>
      <c r="Q124" s="89">
        <f t="shared" si="66"/>
        <v>0</v>
      </c>
      <c r="R124" s="89">
        <f t="shared" si="66"/>
        <v>0</v>
      </c>
      <c r="S124" s="89">
        <f t="shared" si="66"/>
        <v>0</v>
      </c>
      <c r="T124" s="89">
        <f t="shared" si="66"/>
        <v>0</v>
      </c>
      <c r="U124" s="89">
        <f t="shared" si="66"/>
        <v>0</v>
      </c>
      <c r="V124" s="89">
        <f t="shared" si="66"/>
        <v>0</v>
      </c>
      <c r="W124" s="89">
        <f t="shared" si="66"/>
        <v>0</v>
      </c>
      <c r="X124" s="91">
        <f t="shared" si="67"/>
        <v>0</v>
      </c>
      <c r="Y124" s="87" t="str">
        <f t="shared" si="68"/>
        <v>ok</v>
      </c>
      <c r="Z124" s="203" t="str">
        <f t="shared" si="69"/>
        <v/>
      </c>
    </row>
    <row r="125" spans="1:26" ht="12" hidden="1" customHeight="1" x14ac:dyDescent="0.5">
      <c r="A125" s="96" t="s">
        <v>2274</v>
      </c>
      <c r="C125" s="86" t="s">
        <v>777</v>
      </c>
      <c r="D125" s="86" t="s">
        <v>243</v>
      </c>
      <c r="E125" s="86" t="s">
        <v>2272</v>
      </c>
      <c r="F125" s="90">
        <f>VLOOKUP(C125,'WSS-26'!$C$1:$AU$617,8,)</f>
        <v>0</v>
      </c>
      <c r="G125" s="89">
        <f t="shared" si="65"/>
        <v>0</v>
      </c>
      <c r="H125" s="89">
        <f t="shared" si="65"/>
        <v>0</v>
      </c>
      <c r="I125" s="89">
        <f t="shared" si="65"/>
        <v>0</v>
      </c>
      <c r="J125" s="89">
        <f t="shared" si="65"/>
        <v>0</v>
      </c>
      <c r="K125" s="89">
        <f t="shared" si="65"/>
        <v>0</v>
      </c>
      <c r="L125" s="89">
        <f t="shared" si="65"/>
        <v>0</v>
      </c>
      <c r="M125" s="89">
        <f t="shared" si="65"/>
        <v>0</v>
      </c>
      <c r="N125" s="89">
        <f t="shared" si="65"/>
        <v>0</v>
      </c>
      <c r="O125" s="89">
        <f t="shared" si="65"/>
        <v>0</v>
      </c>
      <c r="P125" s="89">
        <f t="shared" si="65"/>
        <v>0</v>
      </c>
      <c r="Q125" s="89">
        <f t="shared" si="66"/>
        <v>0</v>
      </c>
      <c r="R125" s="89">
        <f t="shared" si="66"/>
        <v>0</v>
      </c>
      <c r="S125" s="89">
        <f t="shared" si="66"/>
        <v>0</v>
      </c>
      <c r="T125" s="89">
        <f t="shared" si="66"/>
        <v>0</v>
      </c>
      <c r="U125" s="89">
        <f t="shared" si="66"/>
        <v>0</v>
      </c>
      <c r="V125" s="89">
        <f t="shared" si="66"/>
        <v>0</v>
      </c>
      <c r="W125" s="89">
        <f t="shared" si="66"/>
        <v>0</v>
      </c>
      <c r="X125" s="91">
        <f t="shared" si="67"/>
        <v>0</v>
      </c>
      <c r="Y125" s="87" t="str">
        <f t="shared" si="68"/>
        <v>ok</v>
      </c>
      <c r="Z125" s="203" t="str">
        <f t="shared" si="69"/>
        <v/>
      </c>
    </row>
    <row r="126" spans="1:26" ht="12" customHeight="1" x14ac:dyDescent="0.5">
      <c r="A126" s="96" t="s">
        <v>2276</v>
      </c>
      <c r="C126" s="86" t="s">
        <v>777</v>
      </c>
      <c r="D126" s="86" t="s">
        <v>244</v>
      </c>
      <c r="E126" s="86" t="s">
        <v>390</v>
      </c>
      <c r="F126" s="90">
        <f>VLOOKUP(C126,'WSS-26'!$C$1:$AU$617,9,)</f>
        <v>79624711.105574101</v>
      </c>
      <c r="G126" s="89">
        <f t="shared" si="65"/>
        <v>27448762.011031896</v>
      </c>
      <c r="H126" s="89">
        <f t="shared" si="65"/>
        <v>45133.580634481841</v>
      </c>
      <c r="I126" s="89">
        <f t="shared" si="65"/>
        <v>7762757.2657228718</v>
      </c>
      <c r="J126" s="89">
        <f t="shared" si="65"/>
        <v>594639.77465136524</v>
      </c>
      <c r="K126" s="89">
        <f t="shared" si="65"/>
        <v>7860099.5094042588</v>
      </c>
      <c r="L126" s="89">
        <f t="shared" si="65"/>
        <v>355222.00691100291</v>
      </c>
      <c r="M126" s="89">
        <f t="shared" si="65"/>
        <v>8253333.2471906664</v>
      </c>
      <c r="N126" s="89">
        <f t="shared" si="65"/>
        <v>17832601.081429161</v>
      </c>
      <c r="O126" s="89">
        <f t="shared" si="65"/>
        <v>6206391.0166964289</v>
      </c>
      <c r="P126" s="89">
        <f t="shared" si="65"/>
        <v>2677141.4367464744</v>
      </c>
      <c r="Q126" s="89">
        <f t="shared" si="66"/>
        <v>555780.73225228756</v>
      </c>
      <c r="R126" s="89">
        <f t="shared" si="66"/>
        <v>20221.013672440287</v>
      </c>
      <c r="S126" s="89">
        <f t="shared" si="66"/>
        <v>11067.898205715999</v>
      </c>
      <c r="T126" s="89">
        <f t="shared" si="66"/>
        <v>1509.8787011564273</v>
      </c>
      <c r="U126" s="89">
        <f t="shared" si="66"/>
        <v>50.652323884937054</v>
      </c>
      <c r="V126" s="89">
        <f t="shared" si="66"/>
        <v>0</v>
      </c>
      <c r="W126" s="89">
        <f t="shared" si="66"/>
        <v>0</v>
      </c>
      <c r="X126" s="91">
        <f t="shared" si="67"/>
        <v>79624711.105574086</v>
      </c>
      <c r="Y126" s="87" t="str">
        <f t="shared" si="68"/>
        <v>ok</v>
      </c>
      <c r="Z126" s="203" t="str">
        <f t="shared" si="69"/>
        <v/>
      </c>
    </row>
    <row r="127" spans="1:26" ht="12" hidden="1" customHeight="1" x14ac:dyDescent="0.5">
      <c r="A127" s="96" t="s">
        <v>2275</v>
      </c>
      <c r="C127" s="86" t="s">
        <v>777</v>
      </c>
      <c r="D127" s="86" t="s">
        <v>245</v>
      </c>
      <c r="E127" s="86" t="s">
        <v>390</v>
      </c>
      <c r="F127" s="90">
        <f>VLOOKUP(C127,'WSS-26'!$C$1:$AU$617,10,)</f>
        <v>0</v>
      </c>
      <c r="G127" s="89">
        <f t="shared" si="65"/>
        <v>0</v>
      </c>
      <c r="H127" s="89">
        <f t="shared" si="65"/>
        <v>0</v>
      </c>
      <c r="I127" s="89">
        <f t="shared" si="65"/>
        <v>0</v>
      </c>
      <c r="J127" s="89">
        <f t="shared" si="65"/>
        <v>0</v>
      </c>
      <c r="K127" s="89">
        <f t="shared" si="65"/>
        <v>0</v>
      </c>
      <c r="L127" s="89">
        <f t="shared" si="65"/>
        <v>0</v>
      </c>
      <c r="M127" s="89">
        <f t="shared" si="65"/>
        <v>0</v>
      </c>
      <c r="N127" s="89">
        <f t="shared" si="65"/>
        <v>0</v>
      </c>
      <c r="O127" s="89">
        <f t="shared" si="65"/>
        <v>0</v>
      </c>
      <c r="P127" s="89">
        <f t="shared" si="65"/>
        <v>0</v>
      </c>
      <c r="Q127" s="89">
        <f t="shared" si="66"/>
        <v>0</v>
      </c>
      <c r="R127" s="89">
        <f t="shared" si="66"/>
        <v>0</v>
      </c>
      <c r="S127" s="89">
        <f t="shared" si="66"/>
        <v>0</v>
      </c>
      <c r="T127" s="89">
        <f t="shared" si="66"/>
        <v>0</v>
      </c>
      <c r="U127" s="89">
        <f t="shared" si="66"/>
        <v>0</v>
      </c>
      <c r="V127" s="89">
        <f t="shared" si="66"/>
        <v>0</v>
      </c>
      <c r="W127" s="89">
        <f t="shared" si="66"/>
        <v>0</v>
      </c>
      <c r="X127" s="91">
        <f t="shared" si="67"/>
        <v>0</v>
      </c>
      <c r="Y127" s="87" t="str">
        <f t="shared" si="68"/>
        <v>ok</v>
      </c>
      <c r="Z127" s="203" t="str">
        <f t="shared" si="69"/>
        <v/>
      </c>
    </row>
    <row r="128" spans="1:26" ht="12" hidden="1" customHeight="1" x14ac:dyDescent="0.5">
      <c r="A128" s="96" t="s">
        <v>2275</v>
      </c>
      <c r="C128" s="86" t="s">
        <v>777</v>
      </c>
      <c r="D128" s="86" t="s">
        <v>246</v>
      </c>
      <c r="E128" s="86" t="s">
        <v>390</v>
      </c>
      <c r="F128" s="90">
        <f>VLOOKUP(C128,'WSS-26'!$C$1:$AU$617,11,)</f>
        <v>0</v>
      </c>
      <c r="G128" s="89">
        <f t="shared" si="65"/>
        <v>0</v>
      </c>
      <c r="H128" s="89">
        <f t="shared" si="65"/>
        <v>0</v>
      </c>
      <c r="I128" s="89">
        <f t="shared" si="65"/>
        <v>0</v>
      </c>
      <c r="J128" s="89">
        <f t="shared" si="65"/>
        <v>0</v>
      </c>
      <c r="K128" s="89">
        <f t="shared" si="65"/>
        <v>0</v>
      </c>
      <c r="L128" s="89">
        <f t="shared" si="65"/>
        <v>0</v>
      </c>
      <c r="M128" s="89">
        <f t="shared" si="65"/>
        <v>0</v>
      </c>
      <c r="N128" s="89">
        <f t="shared" si="65"/>
        <v>0</v>
      </c>
      <c r="O128" s="89">
        <f t="shared" si="65"/>
        <v>0</v>
      </c>
      <c r="P128" s="89">
        <f t="shared" si="65"/>
        <v>0</v>
      </c>
      <c r="Q128" s="89">
        <f t="shared" si="66"/>
        <v>0</v>
      </c>
      <c r="R128" s="89">
        <f t="shared" si="66"/>
        <v>0</v>
      </c>
      <c r="S128" s="89">
        <f t="shared" si="66"/>
        <v>0</v>
      </c>
      <c r="T128" s="89">
        <f t="shared" si="66"/>
        <v>0</v>
      </c>
      <c r="U128" s="89">
        <f t="shared" si="66"/>
        <v>0</v>
      </c>
      <c r="V128" s="89">
        <f t="shared" si="66"/>
        <v>0</v>
      </c>
      <c r="W128" s="89">
        <f t="shared" si="66"/>
        <v>0</v>
      </c>
      <c r="X128" s="91">
        <f t="shared" si="67"/>
        <v>0</v>
      </c>
      <c r="Y128" s="87" t="str">
        <f t="shared" si="68"/>
        <v>ok</v>
      </c>
      <c r="Z128" s="203" t="str">
        <f t="shared" si="69"/>
        <v/>
      </c>
    </row>
    <row r="129" spans="1:27" ht="12" customHeight="1" x14ac:dyDescent="0.5">
      <c r="A129" s="86" t="s">
        <v>160</v>
      </c>
      <c r="D129" s="86" t="s">
        <v>401</v>
      </c>
      <c r="F129" s="89">
        <f t="shared" ref="F129:U129" si="70">SUM(F123:F128)</f>
        <v>3055063131.1771092</v>
      </c>
      <c r="G129" s="89">
        <f t="shared" si="70"/>
        <v>1246125281.1445844</v>
      </c>
      <c r="H129" s="89">
        <f t="shared" ref="H129" si="71">SUM(H123:H128)</f>
        <v>1289718.5140973469</v>
      </c>
      <c r="I129" s="89">
        <f t="shared" si="70"/>
        <v>336340363.70865309</v>
      </c>
      <c r="J129" s="89">
        <f>SUM(J123:J128)</f>
        <v>21678567.231235191</v>
      </c>
      <c r="K129" s="89">
        <f>SUM(K123:K128)</f>
        <v>314271869.93399322</v>
      </c>
      <c r="L129" s="89">
        <f>SUM(L123:L128)</f>
        <v>13667337.025543904</v>
      </c>
      <c r="M129" s="89">
        <f t="shared" si="70"/>
        <v>302937649.79331982</v>
      </c>
      <c r="N129" s="89">
        <f t="shared" si="70"/>
        <v>557284856.24287391</v>
      </c>
      <c r="O129" s="89">
        <f t="shared" si="70"/>
        <v>181806220.97440854</v>
      </c>
      <c r="P129" s="89">
        <f t="shared" si="70"/>
        <v>75392789.415739268</v>
      </c>
      <c r="Q129" s="89">
        <f>SUM(Q123:Q128)</f>
        <v>1029745.532242024</v>
      </c>
      <c r="R129" s="89">
        <f t="shared" si="70"/>
        <v>37465.312019589997</v>
      </c>
      <c r="S129" s="89">
        <f t="shared" si="70"/>
        <v>293051.50351993245</v>
      </c>
      <c r="T129" s="89">
        <f t="shared" si="70"/>
        <v>37805.995744336011</v>
      </c>
      <c r="U129" s="89">
        <f t="shared" si="70"/>
        <v>2505.0491337957474</v>
      </c>
      <c r="V129" s="89">
        <f>SUM(V123:V128)</f>
        <v>2576969.3631635425</v>
      </c>
      <c r="W129" s="89">
        <f>SUM(W123:W128)</f>
        <v>290934.43683645804</v>
      </c>
      <c r="X129" s="91">
        <f>SUM(G129:W129)</f>
        <v>3055063131.1771083</v>
      </c>
      <c r="Y129" s="87" t="str">
        <f>IF(ABS(F129-X129)&lt;0.01,"ok","err")</f>
        <v>ok</v>
      </c>
      <c r="Z129" s="203" t="str">
        <f>IF(Y129="err",X129-F129,"")</f>
        <v/>
      </c>
    </row>
    <row r="130" spans="1:27" ht="12" customHeight="1" x14ac:dyDescent="0.5">
      <c r="F130" s="90"/>
      <c r="G130" s="90"/>
      <c r="H130" s="90"/>
    </row>
    <row r="131" spans="1:27" ht="12" customHeight="1" x14ac:dyDescent="0.5">
      <c r="A131" s="23" t="s">
        <v>441</v>
      </c>
      <c r="F131" s="90"/>
      <c r="G131" s="90"/>
      <c r="H131" s="90"/>
    </row>
    <row r="132" spans="1:27" ht="12" customHeight="1" x14ac:dyDescent="0.5">
      <c r="A132" s="96" t="s">
        <v>2247</v>
      </c>
      <c r="C132" s="86" t="s">
        <v>777</v>
      </c>
      <c r="D132" s="86" t="s">
        <v>247</v>
      </c>
      <c r="E132" s="86" t="s">
        <v>2248</v>
      </c>
      <c r="F132" s="89">
        <f>VLOOKUP(C132,'WSS-26'!$C$1:$AU$617,13,)</f>
        <v>853028865.43738949</v>
      </c>
      <c r="G132" s="89">
        <f t="shared" ref="G132:P134" si="72">IF(VLOOKUP($E132,$D$5:$W$978,3,)=0,0,(VLOOKUP($E132,$D$5:$W$978,G$1,)/VLOOKUP($E132,$D$5:$W$978,3,))*$F132)</f>
        <v>376133314.88870335</v>
      </c>
      <c r="H132" s="89">
        <f t="shared" si="72"/>
        <v>1208421.3409275874</v>
      </c>
      <c r="I132" s="89">
        <f t="shared" si="72"/>
        <v>96774179.533726037</v>
      </c>
      <c r="J132" s="89">
        <f t="shared" si="72"/>
        <v>9904284.8599546272</v>
      </c>
      <c r="K132" s="89">
        <f t="shared" si="72"/>
        <v>86331022.667772606</v>
      </c>
      <c r="L132" s="89">
        <f t="shared" si="72"/>
        <v>3709714.5088608493</v>
      </c>
      <c r="M132" s="89">
        <f t="shared" si="72"/>
        <v>76374022.101059631</v>
      </c>
      <c r="N132" s="89">
        <f t="shared" si="72"/>
        <v>124385394.49789551</v>
      </c>
      <c r="O132" s="89">
        <f t="shared" si="72"/>
        <v>43134165.823783822</v>
      </c>
      <c r="P132" s="89">
        <f t="shared" si="72"/>
        <v>28903199.637465902</v>
      </c>
      <c r="Q132" s="89">
        <f t="shared" ref="Q132:W134" si="73">IF(VLOOKUP($E132,$D$5:$W$978,3,)=0,0,(VLOOKUP($E132,$D$5:$W$978,Q$1,)/VLOOKUP($E132,$D$5:$W$978,3,))*$F132)</f>
        <v>5821422.4308059784</v>
      </c>
      <c r="R132" s="89">
        <f t="shared" si="73"/>
        <v>211801.26710629574</v>
      </c>
      <c r="S132" s="89">
        <f t="shared" si="73"/>
        <v>57064.434571455015</v>
      </c>
      <c r="T132" s="89">
        <f t="shared" si="73"/>
        <v>80356.025649878153</v>
      </c>
      <c r="U132" s="89">
        <f t="shared" si="73"/>
        <v>501.41910604016408</v>
      </c>
      <c r="V132" s="89">
        <f t="shared" si="73"/>
        <v>0</v>
      </c>
      <c r="W132" s="89">
        <f t="shared" si="73"/>
        <v>0</v>
      </c>
      <c r="X132" s="91">
        <f>SUM(G132:W132)</f>
        <v>853028865.43738973</v>
      </c>
      <c r="Y132" s="87" t="str">
        <f>IF(ABS(F132-X132)&lt;0.01,"ok","err")</f>
        <v>ok</v>
      </c>
      <c r="Z132" s="203" t="str">
        <f>IF(Y132="err",X132-F132,"")</f>
        <v/>
      </c>
    </row>
    <row r="133" spans="1:27" ht="12" hidden="1" customHeight="1" x14ac:dyDescent="0.5">
      <c r="A133" s="96" t="s">
        <v>2246</v>
      </c>
      <c r="C133" s="86" t="s">
        <v>777</v>
      </c>
      <c r="D133" s="86" t="s">
        <v>248</v>
      </c>
      <c r="E133" s="86" t="s">
        <v>2248</v>
      </c>
      <c r="F133" s="90">
        <f>VLOOKUP(C133,'WSS-26'!$C$1:$AU$617,14,)</f>
        <v>0</v>
      </c>
      <c r="G133" s="89">
        <f t="shared" si="72"/>
        <v>0</v>
      </c>
      <c r="H133" s="89">
        <f t="shared" si="72"/>
        <v>0</v>
      </c>
      <c r="I133" s="89">
        <f t="shared" si="72"/>
        <v>0</v>
      </c>
      <c r="J133" s="89">
        <f t="shared" si="72"/>
        <v>0</v>
      </c>
      <c r="K133" s="89">
        <f t="shared" si="72"/>
        <v>0</v>
      </c>
      <c r="L133" s="89">
        <f t="shared" si="72"/>
        <v>0</v>
      </c>
      <c r="M133" s="89">
        <f t="shared" si="72"/>
        <v>0</v>
      </c>
      <c r="N133" s="89">
        <f t="shared" si="72"/>
        <v>0</v>
      </c>
      <c r="O133" s="89">
        <f t="shared" si="72"/>
        <v>0</v>
      </c>
      <c r="P133" s="89">
        <f t="shared" si="72"/>
        <v>0</v>
      </c>
      <c r="Q133" s="89">
        <f t="shared" si="73"/>
        <v>0</v>
      </c>
      <c r="R133" s="89">
        <f t="shared" si="73"/>
        <v>0</v>
      </c>
      <c r="S133" s="89">
        <f t="shared" si="73"/>
        <v>0</v>
      </c>
      <c r="T133" s="89">
        <f t="shared" si="73"/>
        <v>0</v>
      </c>
      <c r="U133" s="89">
        <f t="shared" si="73"/>
        <v>0</v>
      </c>
      <c r="V133" s="89">
        <f t="shared" si="73"/>
        <v>0</v>
      </c>
      <c r="W133" s="89">
        <f t="shared" si="73"/>
        <v>0</v>
      </c>
      <c r="X133" s="91">
        <f>SUM(G133:W133)</f>
        <v>0</v>
      </c>
      <c r="Y133" s="87" t="str">
        <f>IF(ABS(F133-X133)&lt;0.01,"ok","err")</f>
        <v>ok</v>
      </c>
      <c r="Z133" s="203" t="str">
        <f>IF(Y133="err",X133-F133,"")</f>
        <v/>
      </c>
    </row>
    <row r="134" spans="1:27" ht="12" hidden="1" customHeight="1" x14ac:dyDescent="0.5">
      <c r="A134" s="96" t="s">
        <v>2246</v>
      </c>
      <c r="C134" s="86" t="s">
        <v>777</v>
      </c>
      <c r="D134" s="86" t="s">
        <v>249</v>
      </c>
      <c r="E134" s="86" t="s">
        <v>2248</v>
      </c>
      <c r="F134" s="90">
        <f>VLOOKUP(C134,'WSS-26'!$C$1:$AU$617,15,)</f>
        <v>0</v>
      </c>
      <c r="G134" s="89">
        <f t="shared" si="72"/>
        <v>0</v>
      </c>
      <c r="H134" s="89">
        <f t="shared" si="72"/>
        <v>0</v>
      </c>
      <c r="I134" s="89">
        <f t="shared" si="72"/>
        <v>0</v>
      </c>
      <c r="J134" s="89">
        <f t="shared" si="72"/>
        <v>0</v>
      </c>
      <c r="K134" s="89">
        <f t="shared" si="72"/>
        <v>0</v>
      </c>
      <c r="L134" s="89">
        <f t="shared" si="72"/>
        <v>0</v>
      </c>
      <c r="M134" s="89">
        <f t="shared" si="72"/>
        <v>0</v>
      </c>
      <c r="N134" s="89">
        <f t="shared" si="72"/>
        <v>0</v>
      </c>
      <c r="O134" s="89">
        <f t="shared" si="72"/>
        <v>0</v>
      </c>
      <c r="P134" s="89">
        <f t="shared" si="72"/>
        <v>0</v>
      </c>
      <c r="Q134" s="89">
        <f t="shared" si="73"/>
        <v>0</v>
      </c>
      <c r="R134" s="89">
        <f t="shared" si="73"/>
        <v>0</v>
      </c>
      <c r="S134" s="89">
        <f t="shared" si="73"/>
        <v>0</v>
      </c>
      <c r="T134" s="89">
        <f t="shared" si="73"/>
        <v>0</v>
      </c>
      <c r="U134" s="89">
        <f t="shared" si="73"/>
        <v>0</v>
      </c>
      <c r="V134" s="89">
        <f t="shared" si="73"/>
        <v>0</v>
      </c>
      <c r="W134" s="89">
        <f t="shared" si="73"/>
        <v>0</v>
      </c>
      <c r="X134" s="91">
        <f>SUM(G134:W134)</f>
        <v>0</v>
      </c>
      <c r="Y134" s="87" t="str">
        <f>IF(ABS(F134-X134)&lt;0.01,"ok","err")</f>
        <v>ok</v>
      </c>
      <c r="Z134" s="203" t="str">
        <f>IF(Y134="err",X134-F134,"")</f>
        <v/>
      </c>
    </row>
    <row r="135" spans="1:27" ht="12" hidden="1" customHeight="1" x14ac:dyDescent="0.5">
      <c r="A135" s="86" t="s">
        <v>443</v>
      </c>
      <c r="D135" s="86" t="s">
        <v>623</v>
      </c>
      <c r="F135" s="89">
        <f>SUM(F132:F134)</f>
        <v>853028865.43738949</v>
      </c>
      <c r="G135" s="89">
        <f t="shared" ref="G135:U135" si="74">SUM(G132:G134)</f>
        <v>376133314.88870335</v>
      </c>
      <c r="H135" s="89">
        <f t="shared" ref="H135" si="75">SUM(H132:H134)</f>
        <v>1208421.3409275874</v>
      </c>
      <c r="I135" s="89">
        <f t="shared" si="74"/>
        <v>96774179.533726037</v>
      </c>
      <c r="J135" s="89">
        <f>SUM(J132:J134)</f>
        <v>9904284.8599546272</v>
      </c>
      <c r="K135" s="89">
        <f>SUM(K132:K134)</f>
        <v>86331022.667772606</v>
      </c>
      <c r="L135" s="89">
        <f>SUM(L132:L134)</f>
        <v>3709714.5088608493</v>
      </c>
      <c r="M135" s="89">
        <f t="shared" si="74"/>
        <v>76374022.101059631</v>
      </c>
      <c r="N135" s="89">
        <f t="shared" si="74"/>
        <v>124385394.49789551</v>
      </c>
      <c r="O135" s="89">
        <f t="shared" si="74"/>
        <v>43134165.823783822</v>
      </c>
      <c r="P135" s="89">
        <f t="shared" si="74"/>
        <v>28903199.637465902</v>
      </c>
      <c r="Q135" s="89">
        <f>SUM(Q132:Q134)</f>
        <v>5821422.4308059784</v>
      </c>
      <c r="R135" s="89">
        <f t="shared" si="74"/>
        <v>211801.26710629574</v>
      </c>
      <c r="S135" s="89">
        <f t="shared" si="74"/>
        <v>57064.434571455015</v>
      </c>
      <c r="T135" s="89">
        <f t="shared" si="74"/>
        <v>80356.025649878153</v>
      </c>
      <c r="U135" s="89">
        <f t="shared" si="74"/>
        <v>501.41910604016408</v>
      </c>
      <c r="V135" s="89">
        <f>SUM(V132:V134)</f>
        <v>0</v>
      </c>
      <c r="W135" s="89">
        <f>SUM(W132:W134)</f>
        <v>0</v>
      </c>
      <c r="X135" s="91">
        <f>SUM(G135:W135)</f>
        <v>853028865.43738973</v>
      </c>
      <c r="Y135" s="87" t="str">
        <f>IF(ABS(F135-X135)&lt;0.01,"ok","err")</f>
        <v>ok</v>
      </c>
      <c r="Z135" s="203" t="str">
        <f>IF(Y135="err",X135-F135,"")</f>
        <v/>
      </c>
    </row>
    <row r="136" spans="1:27" ht="12" customHeight="1" x14ac:dyDescent="0.5">
      <c r="F136" s="90"/>
      <c r="G136" s="90"/>
      <c r="H136" s="90"/>
    </row>
    <row r="137" spans="1:27" ht="12" customHeight="1" x14ac:dyDescent="0.5">
      <c r="A137" s="23" t="s">
        <v>1627</v>
      </c>
      <c r="F137" s="90"/>
      <c r="G137" s="90"/>
      <c r="H137" s="90"/>
    </row>
    <row r="138" spans="1:27" ht="12" customHeight="1" x14ac:dyDescent="0.5">
      <c r="A138" s="96" t="s">
        <v>145</v>
      </c>
      <c r="C138" s="86" t="s">
        <v>777</v>
      </c>
      <c r="D138" s="86" t="s">
        <v>624</v>
      </c>
      <c r="E138" s="86" t="s">
        <v>2252</v>
      </c>
      <c r="F138" s="89">
        <f>VLOOKUP(C138,'WSS-26'!$C$1:$AU$617,17,)</f>
        <v>0</v>
      </c>
      <c r="G138" s="89">
        <f t="shared" ref="G138:W138" si="76">IF(VLOOKUP($E138,$D$5:$W$978,3,)=0,0,(VLOOKUP($E138,$D$5:$W$978,G$1,)/VLOOKUP($E138,$D$5:$W$978,3,))*$F138)</f>
        <v>0</v>
      </c>
      <c r="H138" s="89">
        <f t="shared" si="76"/>
        <v>0</v>
      </c>
      <c r="I138" s="89">
        <f t="shared" si="76"/>
        <v>0</v>
      </c>
      <c r="J138" s="89">
        <f t="shared" si="76"/>
        <v>0</v>
      </c>
      <c r="K138" s="89">
        <f t="shared" si="76"/>
        <v>0</v>
      </c>
      <c r="L138" s="89">
        <f t="shared" si="76"/>
        <v>0</v>
      </c>
      <c r="M138" s="89">
        <f t="shared" si="76"/>
        <v>0</v>
      </c>
      <c r="N138" s="89">
        <f t="shared" si="76"/>
        <v>0</v>
      </c>
      <c r="O138" s="89">
        <f t="shared" si="76"/>
        <v>0</v>
      </c>
      <c r="P138" s="89">
        <f t="shared" si="76"/>
        <v>0</v>
      </c>
      <c r="Q138" s="89">
        <f t="shared" si="76"/>
        <v>0</v>
      </c>
      <c r="R138" s="89">
        <f t="shared" si="76"/>
        <v>0</v>
      </c>
      <c r="S138" s="89">
        <f t="shared" si="76"/>
        <v>0</v>
      </c>
      <c r="T138" s="89">
        <f t="shared" si="76"/>
        <v>0</v>
      </c>
      <c r="U138" s="89">
        <f t="shared" si="76"/>
        <v>0</v>
      </c>
      <c r="V138" s="89">
        <f t="shared" si="76"/>
        <v>0</v>
      </c>
      <c r="W138" s="89">
        <f t="shared" si="76"/>
        <v>0</v>
      </c>
      <c r="X138" s="91">
        <f>SUM(G138:W138)</f>
        <v>0</v>
      </c>
      <c r="Y138" s="87" t="str">
        <f>IF(ABS(F138-X138)&lt;0.01,"ok","err")</f>
        <v>ok</v>
      </c>
      <c r="Z138" s="203" t="str">
        <f>IF(Y138="err",X138-F138,"")</f>
        <v/>
      </c>
    </row>
    <row r="139" spans="1:27" ht="12" customHeight="1" x14ac:dyDescent="0.5">
      <c r="F139" s="90"/>
    </row>
    <row r="140" spans="1:27" ht="12" customHeight="1" x14ac:dyDescent="0.5">
      <c r="A140" s="23" t="s">
        <v>1628</v>
      </c>
      <c r="F140" s="90"/>
      <c r="G140" s="90"/>
      <c r="H140" s="90"/>
    </row>
    <row r="141" spans="1:27" ht="12" customHeight="1" x14ac:dyDescent="0.5">
      <c r="A141" s="96" t="s">
        <v>147</v>
      </c>
      <c r="C141" s="86" t="s">
        <v>777</v>
      </c>
      <c r="D141" s="86" t="s">
        <v>625</v>
      </c>
      <c r="E141" s="86" t="s">
        <v>2252</v>
      </c>
      <c r="F141" s="89">
        <f>VLOOKUP(C141,'WSS-26'!$C$1:$AU$617,18,)</f>
        <v>200340313.18001348</v>
      </c>
      <c r="G141" s="89">
        <f t="shared" ref="G141:W141" si="77">IF(VLOOKUP($E141,$D$5:$W$978,3,)=0,0,(VLOOKUP($E141,$D$5:$W$978,G$1,)/VLOOKUP($E141,$D$5:$W$978,3,))*$F141)</f>
        <v>96485897.867699727</v>
      </c>
      <c r="H141" s="89">
        <f t="shared" si="77"/>
        <v>309984.82045225968</v>
      </c>
      <c r="I141" s="89">
        <f t="shared" si="77"/>
        <v>24824558.828255925</v>
      </c>
      <c r="J141" s="89">
        <f t="shared" si="77"/>
        <v>2540651.8902292741</v>
      </c>
      <c r="K141" s="89">
        <f t="shared" si="77"/>
        <v>22145675.233265411</v>
      </c>
      <c r="L141" s="89">
        <f t="shared" si="77"/>
        <v>951617.74044445821</v>
      </c>
      <c r="M141" s="89">
        <f t="shared" si="77"/>
        <v>19591500.684720654</v>
      </c>
      <c r="N141" s="89">
        <f t="shared" si="77"/>
        <v>31907400.899355784</v>
      </c>
      <c r="O141" s="89">
        <f t="shared" si="77"/>
        <v>0</v>
      </c>
      <c r="P141" s="89">
        <f t="shared" si="77"/>
        <v>0</v>
      </c>
      <c r="Q141" s="89">
        <f t="shared" si="77"/>
        <v>1493314.0667682753</v>
      </c>
      <c r="R141" s="89">
        <f t="shared" si="77"/>
        <v>54331.362358355145</v>
      </c>
      <c r="S141" s="89">
        <f t="shared" si="77"/>
        <v>14638.196054419228</v>
      </c>
      <c r="T141" s="89">
        <f t="shared" si="77"/>
        <v>20612.966139951088</v>
      </c>
      <c r="U141" s="89">
        <f t="shared" si="77"/>
        <v>128.62426894735455</v>
      </c>
      <c r="V141" s="89">
        <f t="shared" si="77"/>
        <v>0</v>
      </c>
      <c r="W141" s="89">
        <f t="shared" si="77"/>
        <v>0</v>
      </c>
      <c r="X141" s="91">
        <f>SUM(G141:W141)</f>
        <v>200340313.18001345</v>
      </c>
      <c r="Y141" s="87" t="str">
        <f>IF(ABS(F141-X141)&lt;0.01,"ok","err")</f>
        <v>ok</v>
      </c>
      <c r="Z141" s="203" t="str">
        <f>IF(Y141="err",X141-F141,"")</f>
        <v/>
      </c>
      <c r="AA141" s="91"/>
    </row>
    <row r="142" spans="1:27" ht="12" customHeight="1" x14ac:dyDescent="0.5">
      <c r="F142" s="90"/>
    </row>
    <row r="143" spans="1:27" ht="12" customHeight="1" x14ac:dyDescent="0.5">
      <c r="A143" s="23" t="s">
        <v>146</v>
      </c>
      <c r="F143" s="90"/>
    </row>
    <row r="144" spans="1:27" ht="12" customHeight="1" x14ac:dyDescent="0.5">
      <c r="A144" s="96" t="s">
        <v>791</v>
      </c>
      <c r="C144" s="86" t="s">
        <v>777</v>
      </c>
      <c r="D144" s="86" t="s">
        <v>626</v>
      </c>
      <c r="E144" s="86" t="s">
        <v>2252</v>
      </c>
      <c r="F144" s="89">
        <f>VLOOKUP(C144,'WSS-26'!$C$1:$AU$617,19,)</f>
        <v>0</v>
      </c>
      <c r="G144" s="89">
        <f t="shared" ref="G144:P148" si="78">IF(VLOOKUP($E144,$D$5:$W$978,3,)=0,0,(VLOOKUP($E144,$D$5:$W$978,G$1,)/VLOOKUP($E144,$D$5:$W$978,3,))*$F144)</f>
        <v>0</v>
      </c>
      <c r="H144" s="89">
        <f t="shared" si="78"/>
        <v>0</v>
      </c>
      <c r="I144" s="89">
        <f t="shared" si="78"/>
        <v>0</v>
      </c>
      <c r="J144" s="89">
        <f t="shared" si="78"/>
        <v>0</v>
      </c>
      <c r="K144" s="89">
        <f t="shared" si="78"/>
        <v>0</v>
      </c>
      <c r="L144" s="89">
        <f t="shared" si="78"/>
        <v>0</v>
      </c>
      <c r="M144" s="89">
        <f t="shared" si="78"/>
        <v>0</v>
      </c>
      <c r="N144" s="89">
        <f t="shared" si="78"/>
        <v>0</v>
      </c>
      <c r="O144" s="89">
        <f t="shared" si="78"/>
        <v>0</v>
      </c>
      <c r="P144" s="89">
        <f t="shared" si="78"/>
        <v>0</v>
      </c>
      <c r="Q144" s="89">
        <f t="shared" ref="Q144:W148" si="79">IF(VLOOKUP($E144,$D$5:$W$978,3,)=0,0,(VLOOKUP($E144,$D$5:$W$978,Q$1,)/VLOOKUP($E144,$D$5:$W$978,3,))*$F144)</f>
        <v>0</v>
      </c>
      <c r="R144" s="89">
        <f t="shared" si="79"/>
        <v>0</v>
      </c>
      <c r="S144" s="89">
        <f t="shared" si="79"/>
        <v>0</v>
      </c>
      <c r="T144" s="89">
        <f t="shared" si="79"/>
        <v>0</v>
      </c>
      <c r="U144" s="89">
        <f t="shared" si="79"/>
        <v>0</v>
      </c>
      <c r="V144" s="89">
        <f t="shared" si="79"/>
        <v>0</v>
      </c>
      <c r="W144" s="89">
        <f t="shared" si="79"/>
        <v>0</v>
      </c>
      <c r="X144" s="91">
        <f t="shared" ref="X144:X149" si="80">SUM(G144:W144)</f>
        <v>0</v>
      </c>
      <c r="Y144" s="87" t="str">
        <f t="shared" ref="Y144:Y149" si="81">IF(ABS(F144-X144)&lt;0.01,"ok","err")</f>
        <v>ok</v>
      </c>
      <c r="Z144" s="203" t="str">
        <f t="shared" ref="Z144:Z149" si="82">IF(Y144="err",X144-F144,"")</f>
        <v/>
      </c>
    </row>
    <row r="145" spans="1:26" ht="12" customHeight="1" x14ac:dyDescent="0.5">
      <c r="A145" s="96" t="s">
        <v>792</v>
      </c>
      <c r="C145" s="86" t="s">
        <v>777</v>
      </c>
      <c r="D145" s="86" t="s">
        <v>627</v>
      </c>
      <c r="E145" s="86" t="s">
        <v>2252</v>
      </c>
      <c r="F145" s="90">
        <f>VLOOKUP(C145,'WSS-26'!$C$1:$AU$617,20,)</f>
        <v>159803701.92078391</v>
      </c>
      <c r="G145" s="89">
        <f t="shared" si="78"/>
        <v>76963060.59257628</v>
      </c>
      <c r="H145" s="89">
        <f t="shared" si="78"/>
        <v>247262.87516087675</v>
      </c>
      <c r="I145" s="89">
        <f t="shared" si="78"/>
        <v>19801588.28912792</v>
      </c>
      <c r="J145" s="89">
        <f t="shared" si="78"/>
        <v>2026579.5281345272</v>
      </c>
      <c r="K145" s="89">
        <f t="shared" si="78"/>
        <v>17664746.688457754</v>
      </c>
      <c r="L145" s="89">
        <f t="shared" si="78"/>
        <v>759068.58346514381</v>
      </c>
      <c r="M145" s="89">
        <f t="shared" si="78"/>
        <v>15627380.659971287</v>
      </c>
      <c r="N145" s="89">
        <f t="shared" si="78"/>
        <v>25451296.853100292</v>
      </c>
      <c r="O145" s="89">
        <f t="shared" si="78"/>
        <v>0</v>
      </c>
      <c r="P145" s="89">
        <f t="shared" si="78"/>
        <v>0</v>
      </c>
      <c r="Q145" s="89">
        <f t="shared" si="79"/>
        <v>1191158.7448978699</v>
      </c>
      <c r="R145" s="89">
        <f t="shared" si="79"/>
        <v>43338.021676462376</v>
      </c>
      <c r="S145" s="89">
        <f t="shared" si="79"/>
        <v>11676.321564080366</v>
      </c>
      <c r="T145" s="89">
        <f t="shared" si="79"/>
        <v>16442.164057975413</v>
      </c>
      <c r="U145" s="89">
        <f t="shared" si="79"/>
        <v>102.59859340527564</v>
      </c>
      <c r="V145" s="89">
        <f t="shared" si="79"/>
        <v>0</v>
      </c>
      <c r="W145" s="89">
        <f t="shared" si="79"/>
        <v>0</v>
      </c>
      <c r="X145" s="91">
        <f t="shared" si="80"/>
        <v>159803701.92078385</v>
      </c>
      <c r="Y145" s="87" t="str">
        <f t="shared" si="81"/>
        <v>ok</v>
      </c>
      <c r="Z145" s="203" t="str">
        <f t="shared" si="82"/>
        <v/>
      </c>
    </row>
    <row r="146" spans="1:26" ht="12" customHeight="1" x14ac:dyDescent="0.5">
      <c r="A146" s="96" t="s">
        <v>793</v>
      </c>
      <c r="C146" s="86" t="s">
        <v>777</v>
      </c>
      <c r="D146" s="86" t="s">
        <v>628</v>
      </c>
      <c r="E146" s="86" t="s">
        <v>2451</v>
      </c>
      <c r="F146" s="90">
        <f>VLOOKUP(C146,'WSS-26'!$C$1:$AU$617,21,)</f>
        <v>310404047.83882767</v>
      </c>
      <c r="G146" s="89">
        <f t="shared" si="78"/>
        <v>244990517.80928725</v>
      </c>
      <c r="H146" s="89">
        <f t="shared" si="78"/>
        <v>4372464.6228807345</v>
      </c>
      <c r="I146" s="89">
        <f t="shared" si="78"/>
        <v>46652370.949263036</v>
      </c>
      <c r="J146" s="89">
        <f t="shared" si="78"/>
        <v>239061.89556433677</v>
      </c>
      <c r="K146" s="89">
        <f t="shared" si="78"/>
        <v>2504511.6511716601</v>
      </c>
      <c r="L146" s="89">
        <f t="shared" si="78"/>
        <v>115020.34597906769</v>
      </c>
      <c r="M146" s="89">
        <f t="shared" si="78"/>
        <v>431326.29742150381</v>
      </c>
      <c r="N146" s="89">
        <f t="shared" si="78"/>
        <v>144339.25769922219</v>
      </c>
      <c r="O146" s="89">
        <f t="shared" si="78"/>
        <v>0</v>
      </c>
      <c r="P146" s="89">
        <f t="shared" si="78"/>
        <v>0</v>
      </c>
      <c r="Q146" s="89">
        <f t="shared" si="79"/>
        <v>10856329.420343451</v>
      </c>
      <c r="R146" s="89">
        <f t="shared" si="79"/>
        <v>6765.90270465104</v>
      </c>
      <c r="S146" s="89">
        <f t="shared" si="79"/>
        <v>83446.133357362822</v>
      </c>
      <c r="T146" s="89">
        <f t="shared" si="79"/>
        <v>2255.3009015503467</v>
      </c>
      <c r="U146" s="89">
        <f t="shared" si="79"/>
        <v>5638.2522538758667</v>
      </c>
      <c r="V146" s="89">
        <f t="shared" si="79"/>
        <v>0</v>
      </c>
      <c r="W146" s="89">
        <f t="shared" si="79"/>
        <v>0</v>
      </c>
      <c r="X146" s="91">
        <f t="shared" si="80"/>
        <v>310404047.83882773</v>
      </c>
      <c r="Y146" s="87" t="str">
        <f t="shared" si="81"/>
        <v>ok</v>
      </c>
      <c r="Z146" s="203" t="str">
        <f t="shared" si="82"/>
        <v/>
      </c>
    </row>
    <row r="147" spans="1:26" ht="12" customHeight="1" x14ac:dyDescent="0.5">
      <c r="A147" s="96" t="s">
        <v>794</v>
      </c>
      <c r="C147" s="86" t="s">
        <v>777</v>
      </c>
      <c r="D147" s="86" t="s">
        <v>629</v>
      </c>
      <c r="E147" s="86" t="s">
        <v>733</v>
      </c>
      <c r="F147" s="90">
        <f>VLOOKUP(C147,'WSS-26'!$C$1:$AU$617,22,)</f>
        <v>71898861.194295272</v>
      </c>
      <c r="G147" s="89">
        <f t="shared" si="78"/>
        <v>59379856.239493072</v>
      </c>
      <c r="H147" s="89">
        <f t="shared" si="78"/>
        <v>178559.92960290177</v>
      </c>
      <c r="I147" s="89">
        <f t="shared" si="78"/>
        <v>11102872.9191634</v>
      </c>
      <c r="J147" s="89">
        <f t="shared" si="78"/>
        <v>804794.80069977243</v>
      </c>
      <c r="K147" s="89">
        <f t="shared" si="78"/>
        <v>0</v>
      </c>
      <c r="L147" s="89">
        <f t="shared" si="78"/>
        <v>0</v>
      </c>
      <c r="M147" s="89">
        <f t="shared" si="78"/>
        <v>0</v>
      </c>
      <c r="N147" s="89">
        <f t="shared" si="78"/>
        <v>0</v>
      </c>
      <c r="O147" s="89">
        <f t="shared" si="78"/>
        <v>0</v>
      </c>
      <c r="P147" s="89">
        <f t="shared" si="78"/>
        <v>0</v>
      </c>
      <c r="Q147" s="89">
        <f t="shared" si="79"/>
        <v>413637.59024803975</v>
      </c>
      <c r="R147" s="89">
        <f t="shared" si="79"/>
        <v>15049.408761975048</v>
      </c>
      <c r="S147" s="89">
        <f t="shared" si="79"/>
        <v>4054.6782999452594</v>
      </c>
      <c r="T147" s="89">
        <f t="shared" si="79"/>
        <v>0</v>
      </c>
      <c r="U147" s="89">
        <f t="shared" si="79"/>
        <v>35.628026172645299</v>
      </c>
      <c r="V147" s="89">
        <f t="shared" si="79"/>
        <v>0</v>
      </c>
      <c r="W147" s="89">
        <f t="shared" si="79"/>
        <v>0</v>
      </c>
      <c r="X147" s="91">
        <f t="shared" si="80"/>
        <v>71898861.194295272</v>
      </c>
      <c r="Y147" s="87" t="str">
        <f t="shared" si="81"/>
        <v>ok</v>
      </c>
      <c r="Z147" s="203" t="str">
        <f t="shared" si="82"/>
        <v/>
      </c>
    </row>
    <row r="148" spans="1:26" ht="12" customHeight="1" x14ac:dyDescent="0.5">
      <c r="A148" s="96" t="s">
        <v>795</v>
      </c>
      <c r="C148" s="86" t="s">
        <v>777</v>
      </c>
      <c r="D148" s="86" t="s">
        <v>630</v>
      </c>
      <c r="E148" s="86" t="s">
        <v>2450</v>
      </c>
      <c r="F148" s="90">
        <f>VLOOKUP(C148,'WSS-26'!$C$1:$AU$617,23,)</f>
        <v>145014672.9463568</v>
      </c>
      <c r="G148" s="89">
        <f t="shared" si="78"/>
        <v>115643896.86122857</v>
      </c>
      <c r="H148" s="89">
        <f t="shared" si="78"/>
        <v>2063952.7292701693</v>
      </c>
      <c r="I148" s="89">
        <f t="shared" si="78"/>
        <v>22021513.414605435</v>
      </c>
      <c r="J148" s="89">
        <f t="shared" si="78"/>
        <v>112845.38455326263</v>
      </c>
      <c r="K148" s="89">
        <f t="shared" si="78"/>
        <v>0</v>
      </c>
      <c r="L148" s="89">
        <f t="shared" si="78"/>
        <v>0</v>
      </c>
      <c r="M148" s="89">
        <f t="shared" si="78"/>
        <v>0</v>
      </c>
      <c r="N148" s="89">
        <f t="shared" si="78"/>
        <v>0</v>
      </c>
      <c r="O148" s="89">
        <f t="shared" si="78"/>
        <v>0</v>
      </c>
      <c r="P148" s="89">
        <f t="shared" si="78"/>
        <v>0</v>
      </c>
      <c r="Q148" s="89">
        <f t="shared" si="79"/>
        <v>5124558.4972192198</v>
      </c>
      <c r="R148" s="89">
        <f t="shared" si="79"/>
        <v>3193.7372986772443</v>
      </c>
      <c r="S148" s="89">
        <f t="shared" si="79"/>
        <v>39389.426683686019</v>
      </c>
      <c r="T148" s="89">
        <f t="shared" si="79"/>
        <v>0</v>
      </c>
      <c r="U148" s="89">
        <f t="shared" si="79"/>
        <v>5322.8954977954063</v>
      </c>
      <c r="V148" s="89">
        <f t="shared" si="79"/>
        <v>0</v>
      </c>
      <c r="W148" s="89">
        <f t="shared" si="79"/>
        <v>0</v>
      </c>
      <c r="X148" s="91">
        <f t="shared" si="80"/>
        <v>145014672.9463568</v>
      </c>
      <c r="Y148" s="87" t="str">
        <f t="shared" si="81"/>
        <v>ok</v>
      </c>
      <c r="Z148" s="203" t="str">
        <f t="shared" si="82"/>
        <v/>
      </c>
    </row>
    <row r="149" spans="1:26" ht="12" customHeight="1" x14ac:dyDescent="0.5">
      <c r="A149" s="86" t="s">
        <v>151</v>
      </c>
      <c r="D149" s="86" t="s">
        <v>631</v>
      </c>
      <c r="F149" s="89">
        <f>SUM(F144:F148)</f>
        <v>687121283.90026367</v>
      </c>
      <c r="G149" s="89">
        <f t="shared" ref="G149:U149" si="83">SUM(G144:G148)</f>
        <v>496977331.50258517</v>
      </c>
      <c r="H149" s="89">
        <f t="shared" ref="H149" si="84">SUM(H144:H148)</f>
        <v>6862240.1569146821</v>
      </c>
      <c r="I149" s="89">
        <f t="shared" si="83"/>
        <v>99578345.572159797</v>
      </c>
      <c r="J149" s="89">
        <f>SUM(J144:J148)</f>
        <v>3183281.6089518988</v>
      </c>
      <c r="K149" s="89">
        <f>SUM(K144:K148)</f>
        <v>20169258.339629412</v>
      </c>
      <c r="L149" s="89">
        <f>SUM(L144:L148)</f>
        <v>874088.92944421154</v>
      </c>
      <c r="M149" s="89">
        <f t="shared" si="83"/>
        <v>16058706.957392791</v>
      </c>
      <c r="N149" s="89">
        <f t="shared" si="83"/>
        <v>25595636.110799514</v>
      </c>
      <c r="O149" s="89">
        <f t="shared" si="83"/>
        <v>0</v>
      </c>
      <c r="P149" s="89">
        <f t="shared" si="83"/>
        <v>0</v>
      </c>
      <c r="Q149" s="89">
        <f>SUM(Q144:Q148)</f>
        <v>17585684.25270858</v>
      </c>
      <c r="R149" s="89">
        <f t="shared" si="83"/>
        <v>68347.070441765711</v>
      </c>
      <c r="S149" s="89">
        <f t="shared" si="83"/>
        <v>138566.55990507448</v>
      </c>
      <c r="T149" s="89">
        <f t="shared" si="83"/>
        <v>18697.464959525758</v>
      </c>
      <c r="U149" s="89">
        <f t="shared" si="83"/>
        <v>11099.374371249194</v>
      </c>
      <c r="V149" s="89">
        <f>SUM(V144:V148)</f>
        <v>0</v>
      </c>
      <c r="W149" s="89">
        <f>SUM(W144:W148)</f>
        <v>0</v>
      </c>
      <c r="X149" s="91">
        <f t="shared" si="80"/>
        <v>687121283.90026367</v>
      </c>
      <c r="Y149" s="87" t="str">
        <f t="shared" si="81"/>
        <v>ok</v>
      </c>
      <c r="Z149" s="91" t="str">
        <f t="shared" si="82"/>
        <v/>
      </c>
    </row>
    <row r="150" spans="1:26" ht="12" customHeight="1" x14ac:dyDescent="0.5">
      <c r="F150" s="90"/>
    </row>
    <row r="151" spans="1:26" ht="12" customHeight="1" x14ac:dyDescent="0.5">
      <c r="A151" s="23" t="s">
        <v>790</v>
      </c>
      <c r="F151" s="90"/>
    </row>
    <row r="152" spans="1:26" ht="12" customHeight="1" x14ac:dyDescent="0.5">
      <c r="A152" s="96" t="s">
        <v>389</v>
      </c>
      <c r="C152" s="86" t="s">
        <v>777</v>
      </c>
      <c r="D152" s="86" t="s">
        <v>632</v>
      </c>
      <c r="E152" s="86" t="s">
        <v>2177</v>
      </c>
      <c r="F152" s="89">
        <f>VLOOKUP(C152,'WSS-26'!$C$1:$AU$617,24,)</f>
        <v>104229017.66068386</v>
      </c>
      <c r="G152" s="89">
        <f t="shared" ref="G152:P153" si="85">IF(VLOOKUP($E152,$D$5:$W$978,3,)=0,0,(VLOOKUP($E152,$D$5:$W$978,G$1,)/VLOOKUP($E152,$D$5:$W$978,3,))*$F152)</f>
        <v>71047214.987013191</v>
      </c>
      <c r="H152" s="89">
        <f t="shared" si="85"/>
        <v>213644.60121622562</v>
      </c>
      <c r="I152" s="89">
        <f t="shared" si="85"/>
        <v>13284441.041415751</v>
      </c>
      <c r="J152" s="89">
        <f t="shared" si="85"/>
        <v>962926.36673172412</v>
      </c>
      <c r="K152" s="89">
        <f t="shared" si="85"/>
        <v>9814872.7121610604</v>
      </c>
      <c r="L152" s="89">
        <f t="shared" si="85"/>
        <v>0</v>
      </c>
      <c r="M152" s="89">
        <f t="shared" si="85"/>
        <v>8376472.0616712831</v>
      </c>
      <c r="N152" s="89">
        <f t="shared" si="85"/>
        <v>0</v>
      </c>
      <c r="O152" s="89">
        <f t="shared" si="85"/>
        <v>0</v>
      </c>
      <c r="P152" s="89">
        <f t="shared" si="85"/>
        <v>0</v>
      </c>
      <c r="Q152" s="89">
        <f t="shared" ref="Q152:W153" si="86">IF(VLOOKUP($E152,$D$5:$W$978,3,)=0,0,(VLOOKUP($E152,$D$5:$W$978,Q$1,)/VLOOKUP($E152,$D$5:$W$978,3,))*$F152)</f>
        <v>494911.92236192984</v>
      </c>
      <c r="R152" s="89">
        <f t="shared" si="86"/>
        <v>18006.419136938774</v>
      </c>
      <c r="S152" s="89">
        <f t="shared" si="86"/>
        <v>4851.36911947915</v>
      </c>
      <c r="T152" s="89">
        <f t="shared" si="86"/>
        <v>11633.55139275024</v>
      </c>
      <c r="U152" s="89">
        <f t="shared" si="86"/>
        <v>42.62846351196341</v>
      </c>
      <c r="V152" s="89">
        <f t="shared" si="86"/>
        <v>0</v>
      </c>
      <c r="W152" s="89">
        <f t="shared" si="86"/>
        <v>0</v>
      </c>
      <c r="X152" s="91">
        <f>SUM(G152:W152)</f>
        <v>104229017.66068384</v>
      </c>
      <c r="Y152" s="87" t="str">
        <f>IF(ABS(F152-X152)&lt;0.01,"ok","err")</f>
        <v>ok</v>
      </c>
      <c r="Z152" s="203" t="str">
        <f>IF(Y152="err",X152-F152,"")</f>
        <v/>
      </c>
    </row>
    <row r="153" spans="1:26" ht="12" customHeight="1" x14ac:dyDescent="0.5">
      <c r="A153" s="96" t="s">
        <v>392</v>
      </c>
      <c r="C153" s="86" t="s">
        <v>777</v>
      </c>
      <c r="D153" s="86" t="s">
        <v>633</v>
      </c>
      <c r="E153" s="86" t="s">
        <v>2452</v>
      </c>
      <c r="F153" s="90">
        <f>VLOOKUP(C153,'WSS-26'!$C$1:$AU$617,25,)</f>
        <v>86596282.198325098</v>
      </c>
      <c r="G153" s="89">
        <f t="shared" si="85"/>
        <v>68404421.616408825</v>
      </c>
      <c r="H153" s="89">
        <f t="shared" si="85"/>
        <v>1220846.897426442</v>
      </c>
      <c r="I153" s="89">
        <f t="shared" si="85"/>
        <v>13025926.392394917</v>
      </c>
      <c r="J153" s="89">
        <f t="shared" si="85"/>
        <v>66749.07601661011</v>
      </c>
      <c r="K153" s="89">
        <f t="shared" si="85"/>
        <v>699291.02751363697</v>
      </c>
      <c r="L153" s="89">
        <f t="shared" si="85"/>
        <v>0</v>
      </c>
      <c r="M153" s="89">
        <f t="shared" si="85"/>
        <v>120431.70554883663</v>
      </c>
      <c r="N153" s="89">
        <f t="shared" si="85"/>
        <v>0</v>
      </c>
      <c r="O153" s="89">
        <f t="shared" si="85"/>
        <v>0</v>
      </c>
      <c r="P153" s="89">
        <f t="shared" si="85"/>
        <v>0</v>
      </c>
      <c r="Q153" s="89">
        <f t="shared" si="86"/>
        <v>3031223.1735184528</v>
      </c>
      <c r="R153" s="89">
        <f t="shared" si="86"/>
        <v>1889.1247929229276</v>
      </c>
      <c r="S153" s="89">
        <f t="shared" si="86"/>
        <v>23299.205779382773</v>
      </c>
      <c r="T153" s="89">
        <f t="shared" si="86"/>
        <v>629.70826430764259</v>
      </c>
      <c r="U153" s="89">
        <f t="shared" si="86"/>
        <v>1574.2706607691064</v>
      </c>
      <c r="V153" s="89">
        <f t="shared" si="86"/>
        <v>0</v>
      </c>
      <c r="W153" s="89">
        <f t="shared" si="86"/>
        <v>0</v>
      </c>
      <c r="X153" s="91">
        <f>SUM(G153:W153)</f>
        <v>86596282.198325098</v>
      </c>
      <c r="Y153" s="87" t="str">
        <f>IF(ABS(F153-X153)&lt;0.01,"ok","err")</f>
        <v>ok</v>
      </c>
      <c r="Z153" s="203" t="str">
        <f>IF(Y153="err",X153-F153,"")</f>
        <v/>
      </c>
    </row>
    <row r="154" spans="1:26" ht="12" customHeight="1" x14ac:dyDescent="0.5">
      <c r="A154" s="86" t="s">
        <v>1468</v>
      </c>
      <c r="D154" s="86" t="s">
        <v>634</v>
      </c>
      <c r="F154" s="89">
        <f t="shared" ref="F154:U154" si="87">F152+F153</f>
        <v>190825299.85900897</v>
      </c>
      <c r="G154" s="89">
        <f t="shared" si="87"/>
        <v>139451636.60342202</v>
      </c>
      <c r="H154" s="89">
        <f t="shared" ref="H154" si="88">H152+H153</f>
        <v>1434491.4986426677</v>
      </c>
      <c r="I154" s="89">
        <f t="shared" si="87"/>
        <v>26310367.433810666</v>
      </c>
      <c r="J154" s="89">
        <f>J152+J153</f>
        <v>1029675.4427483343</v>
      </c>
      <c r="K154" s="89">
        <f>K152+K153</f>
        <v>10514163.739674697</v>
      </c>
      <c r="L154" s="89">
        <f>L152+L153</f>
        <v>0</v>
      </c>
      <c r="M154" s="89">
        <f t="shared" si="87"/>
        <v>8496903.767220119</v>
      </c>
      <c r="N154" s="89">
        <f t="shared" si="87"/>
        <v>0</v>
      </c>
      <c r="O154" s="89">
        <f t="shared" si="87"/>
        <v>0</v>
      </c>
      <c r="P154" s="89">
        <f t="shared" si="87"/>
        <v>0</v>
      </c>
      <c r="Q154" s="89">
        <f>Q152+Q153</f>
        <v>3526135.0958803827</v>
      </c>
      <c r="R154" s="89">
        <f t="shared" si="87"/>
        <v>19895.543929861702</v>
      </c>
      <c r="S154" s="89">
        <f t="shared" si="87"/>
        <v>28150.574898861923</v>
      </c>
      <c r="T154" s="89">
        <f t="shared" si="87"/>
        <v>12263.259657057883</v>
      </c>
      <c r="U154" s="89">
        <f t="shared" si="87"/>
        <v>1616.8991242810698</v>
      </c>
      <c r="V154" s="89">
        <f>V152+V153</f>
        <v>0</v>
      </c>
      <c r="W154" s="89">
        <f>W152+W153</f>
        <v>0</v>
      </c>
      <c r="X154" s="91">
        <f>SUM(G154:W154)</f>
        <v>190825299.85900894</v>
      </c>
      <c r="Y154" s="87" t="str">
        <f>IF(ABS(F154-X154)&lt;0.01,"ok","err")</f>
        <v>ok</v>
      </c>
      <c r="Z154" s="91" t="str">
        <f>IF(Y154="err",X154-F154,"")</f>
        <v/>
      </c>
    </row>
    <row r="155" spans="1:26" ht="12" customHeight="1" x14ac:dyDescent="0.5">
      <c r="F155" s="90"/>
    </row>
    <row r="156" spans="1:26" ht="12" customHeight="1" x14ac:dyDescent="0.5">
      <c r="A156" s="23" t="s">
        <v>128</v>
      </c>
      <c r="F156" s="90"/>
    </row>
    <row r="157" spans="1:26" ht="12" customHeight="1" x14ac:dyDescent="0.5">
      <c r="A157" s="96" t="s">
        <v>392</v>
      </c>
      <c r="C157" s="86" t="s">
        <v>777</v>
      </c>
      <c r="D157" s="86" t="s">
        <v>635</v>
      </c>
      <c r="E157" s="86" t="s">
        <v>393</v>
      </c>
      <c r="F157" s="89">
        <f>VLOOKUP(C157,'WSS-26'!$C$1:$AU$617,26,)</f>
        <v>73005397.52075699</v>
      </c>
      <c r="G157" s="89">
        <f t="shared" ref="G157:W157" si="89">IF(VLOOKUP($E157,$D$5:$W$978,3,)=0,0,(VLOOKUP($E157,$D$5:$W$978,G$1,)/VLOOKUP($E157,$D$5:$W$978,3,))*$F157)</f>
        <v>57652956.30939617</v>
      </c>
      <c r="H157" s="89">
        <f t="shared" si="89"/>
        <v>84352.670023988016</v>
      </c>
      <c r="I157" s="89">
        <f t="shared" si="89"/>
        <v>12979759.329738388</v>
      </c>
      <c r="J157" s="89">
        <f t="shared" si="89"/>
        <v>117437.38785792128</v>
      </c>
      <c r="K157" s="89">
        <f t="shared" si="89"/>
        <v>1686789.3830266292</v>
      </c>
      <c r="L157" s="89">
        <f t="shared" si="89"/>
        <v>0</v>
      </c>
      <c r="M157" s="89">
        <f t="shared" si="89"/>
        <v>482583.05065134919</v>
      </c>
      <c r="N157" s="89">
        <f t="shared" si="89"/>
        <v>0</v>
      </c>
      <c r="O157" s="89">
        <f t="shared" si="89"/>
        <v>0</v>
      </c>
      <c r="P157" s="89">
        <f t="shared" si="89"/>
        <v>0</v>
      </c>
      <c r="Q157" s="89">
        <f t="shared" si="89"/>
        <v>0</v>
      </c>
      <c r="R157" s="89">
        <f t="shared" si="89"/>
        <v>0</v>
      </c>
      <c r="S157" s="89">
        <f t="shared" si="89"/>
        <v>0</v>
      </c>
      <c r="T157" s="89">
        <f t="shared" si="89"/>
        <v>1519.3900625465055</v>
      </c>
      <c r="U157" s="89">
        <f t="shared" si="89"/>
        <v>0</v>
      </c>
      <c r="V157" s="89">
        <f t="shared" si="89"/>
        <v>0</v>
      </c>
      <c r="W157" s="89">
        <f t="shared" si="89"/>
        <v>0</v>
      </c>
      <c r="X157" s="91">
        <f>SUM(G157:W157)</f>
        <v>73005397.52075699</v>
      </c>
      <c r="Y157" s="87" t="str">
        <f>IF(ABS(F157-X157)&lt;0.01,"ok","err")</f>
        <v>ok</v>
      </c>
      <c r="Z157" s="203" t="str">
        <f>IF(Y157="err",X157-F157,"")</f>
        <v/>
      </c>
    </row>
    <row r="158" spans="1:26" ht="12" customHeight="1" x14ac:dyDescent="0.5">
      <c r="F158" s="90"/>
    </row>
    <row r="159" spans="1:26" ht="12" customHeight="1" x14ac:dyDescent="0.5">
      <c r="A159" s="23" t="s">
        <v>127</v>
      </c>
      <c r="F159" s="90"/>
    </row>
    <row r="160" spans="1:26" ht="12" customHeight="1" x14ac:dyDescent="0.5">
      <c r="A160" s="96" t="s">
        <v>392</v>
      </c>
      <c r="C160" s="86" t="s">
        <v>777</v>
      </c>
      <c r="D160" s="86" t="s">
        <v>636</v>
      </c>
      <c r="E160" s="86" t="s">
        <v>2435</v>
      </c>
      <c r="F160" s="89">
        <f>VLOOKUP(C160,'WSS-26'!$C$1:$AU$617,27,)</f>
        <v>45031431.200968683</v>
      </c>
      <c r="G160" s="89">
        <f t="shared" ref="G160:W160" si="90">IF(VLOOKUP($E160,$D$5:$W$978,3,)=0,0,(VLOOKUP($E160,$D$5:$W$978,G$1,)/VLOOKUP($E160,$D$5:$W$978,3,))*$F160)</f>
        <v>27111382.020032272</v>
      </c>
      <c r="H160" s="89">
        <f t="shared" si="90"/>
        <v>39666.959126211295</v>
      </c>
      <c r="I160" s="89">
        <f t="shared" si="90"/>
        <v>10956257.791402729</v>
      </c>
      <c r="J160" s="89">
        <f t="shared" si="90"/>
        <v>223640.28221716467</v>
      </c>
      <c r="K160" s="89">
        <f t="shared" si="90"/>
        <v>3425612.2029005811</v>
      </c>
      <c r="L160" s="89">
        <f t="shared" si="90"/>
        <v>669916.10541849176</v>
      </c>
      <c r="M160" s="89">
        <f t="shared" si="90"/>
        <v>612711.75488212204</v>
      </c>
      <c r="N160" s="89">
        <f t="shared" si="90"/>
        <v>1186737.387320077</v>
      </c>
      <c r="O160" s="89">
        <f t="shared" si="90"/>
        <v>588375.92128553998</v>
      </c>
      <c r="P160" s="89">
        <f t="shared" si="90"/>
        <v>36320.188034255923</v>
      </c>
      <c r="Q160" s="89">
        <f t="shared" si="90"/>
        <v>0</v>
      </c>
      <c r="R160" s="89">
        <f t="shared" si="90"/>
        <v>6629.0624149026235</v>
      </c>
      <c r="S160" s="89">
        <f t="shared" si="90"/>
        <v>81697.056242920298</v>
      </c>
      <c r="T160" s="89">
        <f t="shared" si="90"/>
        <v>3085.6496914191316</v>
      </c>
      <c r="U160" s="89">
        <f t="shared" si="90"/>
        <v>89398.82</v>
      </c>
      <c r="V160" s="89">
        <f t="shared" si="90"/>
        <v>0</v>
      </c>
      <c r="W160" s="89">
        <f t="shared" si="90"/>
        <v>0</v>
      </c>
      <c r="X160" s="91">
        <f>SUM(G160:W160)</f>
        <v>45031431.200968683</v>
      </c>
      <c r="Y160" s="87" t="str">
        <f>IF(ABS(F160-X160)&lt;0.01,"ok","err")</f>
        <v>ok</v>
      </c>
      <c r="Z160" s="203" t="str">
        <f>IF(Y160="err",X160-F160,"")</f>
        <v/>
      </c>
    </row>
    <row r="161" spans="1:28" ht="12" customHeight="1" x14ac:dyDescent="0.5">
      <c r="F161" s="90"/>
    </row>
    <row r="162" spans="1:28" ht="12" customHeight="1" x14ac:dyDescent="0.5">
      <c r="A162" s="23" t="s">
        <v>144</v>
      </c>
      <c r="F162" s="90"/>
    </row>
    <row r="163" spans="1:28" ht="12" customHeight="1" x14ac:dyDescent="0.5">
      <c r="A163" s="96" t="s">
        <v>392</v>
      </c>
      <c r="C163" s="86" t="s">
        <v>777</v>
      </c>
      <c r="D163" s="86" t="s">
        <v>637</v>
      </c>
      <c r="E163" s="86" t="s">
        <v>2447</v>
      </c>
      <c r="F163" s="89">
        <f>VLOOKUP(C163,'WSS-26'!$C$1:$AU$617,28,)</f>
        <v>83606234.160107493</v>
      </c>
      <c r="G163" s="89">
        <f t="shared" ref="G163:W163" si="91">IF(VLOOKUP($E163,$D$5:$W$978,3,)=0,0,(VLOOKUP($E163,$D$5:$W$978,G$1,)/VLOOKUP($E163,$D$5:$W$978,3,))*$F163)</f>
        <v>0</v>
      </c>
      <c r="H163" s="89">
        <f t="shared" si="91"/>
        <v>0</v>
      </c>
      <c r="I163" s="89">
        <f t="shared" si="91"/>
        <v>0</v>
      </c>
      <c r="J163" s="89">
        <f t="shared" si="91"/>
        <v>0</v>
      </c>
      <c r="K163" s="89">
        <f t="shared" si="91"/>
        <v>0</v>
      </c>
      <c r="L163" s="89">
        <f t="shared" si="91"/>
        <v>0</v>
      </c>
      <c r="M163" s="89">
        <f t="shared" si="91"/>
        <v>0</v>
      </c>
      <c r="N163" s="89">
        <f t="shared" si="91"/>
        <v>0</v>
      </c>
      <c r="O163" s="89">
        <f t="shared" si="91"/>
        <v>0</v>
      </c>
      <c r="P163" s="89">
        <f t="shared" si="91"/>
        <v>0</v>
      </c>
      <c r="Q163" s="89">
        <f t="shared" si="91"/>
        <v>83606234.160107493</v>
      </c>
      <c r="R163" s="89">
        <f t="shared" si="91"/>
        <v>0</v>
      </c>
      <c r="S163" s="89">
        <f t="shared" si="91"/>
        <v>0</v>
      </c>
      <c r="T163" s="89">
        <f t="shared" si="91"/>
        <v>0</v>
      </c>
      <c r="U163" s="89">
        <f t="shared" si="91"/>
        <v>0</v>
      </c>
      <c r="V163" s="89">
        <f t="shared" si="91"/>
        <v>0</v>
      </c>
      <c r="W163" s="89">
        <f t="shared" si="91"/>
        <v>0</v>
      </c>
      <c r="X163" s="91">
        <f>SUM(G163:W163)</f>
        <v>83606234.160107493</v>
      </c>
      <c r="Y163" s="87" t="str">
        <f>IF(ABS(F163-X163)&lt;0.01,"ok","err")</f>
        <v>ok</v>
      </c>
      <c r="Z163" s="203" t="str">
        <f>IF(Y163="err",X163-F163,"")</f>
        <v/>
      </c>
      <c r="AB163" s="196"/>
    </row>
    <row r="164" spans="1:28" ht="12" customHeight="1" x14ac:dyDescent="0.5">
      <c r="F164" s="90"/>
    </row>
    <row r="165" spans="1:28" ht="12" customHeight="1" x14ac:dyDescent="0.5">
      <c r="A165" s="23" t="s">
        <v>292</v>
      </c>
      <c r="F165" s="90"/>
    </row>
    <row r="166" spans="1:28" ht="12" customHeight="1" x14ac:dyDescent="0.5">
      <c r="A166" s="96" t="s">
        <v>392</v>
      </c>
      <c r="C166" s="86" t="s">
        <v>777</v>
      </c>
      <c r="D166" s="86" t="s">
        <v>638</v>
      </c>
      <c r="E166" s="86" t="s">
        <v>2446</v>
      </c>
      <c r="F166" s="89">
        <f>VLOOKUP(C166,'WSS-26'!$C$1:$AU$617,30,)</f>
        <v>8704113.9440225586</v>
      </c>
      <c r="G166" s="89">
        <f t="shared" ref="G166:W166" si="92">IF(VLOOKUP($E166,$D$5:$W$978,3,)=0,0,(VLOOKUP($E166,$D$5:$W$978,G$1,)/VLOOKUP($E166,$D$5:$W$978,3,))*$F166)</f>
        <v>5555696.3524130732</v>
      </c>
      <c r="H166" s="89">
        <f t="shared" si="92"/>
        <v>99155.208020352307</v>
      </c>
      <c r="I166" s="89">
        <f t="shared" si="92"/>
        <v>2115886.4731460996</v>
      </c>
      <c r="J166" s="89">
        <f t="shared" si="92"/>
        <v>54212.518633951491</v>
      </c>
      <c r="K166" s="89">
        <f t="shared" si="92"/>
        <v>283976.42425944872</v>
      </c>
      <c r="L166" s="89">
        <f t="shared" si="92"/>
        <v>13041.690803450594</v>
      </c>
      <c r="M166" s="89">
        <f t="shared" si="92"/>
        <v>244531.70256469864</v>
      </c>
      <c r="N166" s="89">
        <f t="shared" si="92"/>
        <v>81830.216805964519</v>
      </c>
      <c r="O166" s="89">
        <f t="shared" si="92"/>
        <v>6392.9856879659774</v>
      </c>
      <c r="P166" s="89">
        <f t="shared" si="92"/>
        <v>639.29856879659781</v>
      </c>
      <c r="Q166" s="89">
        <f t="shared" si="92"/>
        <v>246193.87884356981</v>
      </c>
      <c r="R166" s="89">
        <f t="shared" si="92"/>
        <v>153.43165651118346</v>
      </c>
      <c r="S166" s="89">
        <f t="shared" si="92"/>
        <v>1892.3237636379295</v>
      </c>
      <c r="T166" s="89">
        <f t="shared" si="92"/>
        <v>255.71942751863912</v>
      </c>
      <c r="U166" s="89">
        <f t="shared" si="92"/>
        <v>255.71942751863912</v>
      </c>
      <c r="V166" s="89">
        <f t="shared" si="92"/>
        <v>0</v>
      </c>
      <c r="W166" s="89">
        <f t="shared" si="92"/>
        <v>0</v>
      </c>
      <c r="X166" s="91">
        <f>SUM(G166:W166)</f>
        <v>8704113.9440225586</v>
      </c>
      <c r="Y166" s="87" t="str">
        <f>IF(ABS(F166-X166)&lt;0.01,"ok","err")</f>
        <v>ok</v>
      </c>
      <c r="Z166" s="203" t="str">
        <f>IF(Y166="err",X166-F166,"")</f>
        <v/>
      </c>
    </row>
    <row r="167" spans="1:28" ht="12" customHeight="1" x14ac:dyDescent="0.5">
      <c r="F167" s="90"/>
    </row>
    <row r="168" spans="1:28" ht="12" customHeight="1" x14ac:dyDescent="0.5">
      <c r="A168" s="23" t="s">
        <v>1630</v>
      </c>
      <c r="F168" s="90"/>
    </row>
    <row r="169" spans="1:28" ht="12" customHeight="1" x14ac:dyDescent="0.5">
      <c r="A169" s="96" t="s">
        <v>392</v>
      </c>
      <c r="C169" s="86" t="s">
        <v>777</v>
      </c>
      <c r="D169" s="86" t="s">
        <v>639</v>
      </c>
      <c r="E169" s="86" t="s">
        <v>2446</v>
      </c>
      <c r="F169" s="89">
        <f>VLOOKUP(C169,'WSS-26'!$C$1:$AU$617,32,)</f>
        <v>1105952.9603598018</v>
      </c>
      <c r="G169" s="89">
        <f t="shared" ref="G169:W169" si="93">IF(VLOOKUP($E169,$D$5:$W$978,3,)=0,0,(VLOOKUP($E169,$D$5:$W$978,G$1,)/VLOOKUP($E169,$D$5:$W$978,3,))*$F169)</f>
        <v>705912.03967762156</v>
      </c>
      <c r="H169" s="89">
        <f t="shared" si="93"/>
        <v>12598.754629184159</v>
      </c>
      <c r="I169" s="89">
        <f t="shared" si="93"/>
        <v>268846.53898266156</v>
      </c>
      <c r="J169" s="89">
        <f t="shared" si="93"/>
        <v>6888.2939558660009</v>
      </c>
      <c r="K169" s="89">
        <f t="shared" si="93"/>
        <v>36082.31338674148</v>
      </c>
      <c r="L169" s="89">
        <f t="shared" si="93"/>
        <v>1657.0895837224814</v>
      </c>
      <c r="M169" s="89">
        <f t="shared" si="93"/>
        <v>31070.429694796527</v>
      </c>
      <c r="N169" s="89">
        <f t="shared" si="93"/>
        <v>10397.42483904302</v>
      </c>
      <c r="O169" s="89">
        <f t="shared" si="93"/>
        <v>812.29881555023599</v>
      </c>
      <c r="P169" s="89">
        <f t="shared" si="93"/>
        <v>81.229881555023596</v>
      </c>
      <c r="Q169" s="89">
        <f t="shared" si="93"/>
        <v>31281.627386839587</v>
      </c>
      <c r="R169" s="89">
        <f t="shared" si="93"/>
        <v>19.495171573205663</v>
      </c>
      <c r="S169" s="89">
        <f t="shared" si="93"/>
        <v>240.44044940286986</v>
      </c>
      <c r="T169" s="89">
        <f t="shared" si="93"/>
        <v>32.491952622009435</v>
      </c>
      <c r="U169" s="89">
        <f t="shared" si="93"/>
        <v>32.491952622009435</v>
      </c>
      <c r="V169" s="89">
        <f t="shared" si="93"/>
        <v>0</v>
      </c>
      <c r="W169" s="89">
        <f t="shared" si="93"/>
        <v>0</v>
      </c>
      <c r="X169" s="91">
        <f>SUM(G169:W169)</f>
        <v>1105952.960359802</v>
      </c>
      <c r="Y169" s="87" t="str">
        <f>IF(ABS(F169-X169)&lt;0.01,"ok","err")</f>
        <v>ok</v>
      </c>
      <c r="Z169" s="203" t="str">
        <f>IF(Y169="err",X169-F169,"")</f>
        <v/>
      </c>
    </row>
    <row r="170" spans="1:28" ht="12" customHeight="1" x14ac:dyDescent="0.5">
      <c r="F170" s="90"/>
    </row>
    <row r="171" spans="1:28" ht="12" customHeight="1" x14ac:dyDescent="0.5">
      <c r="A171" s="23" t="s">
        <v>1629</v>
      </c>
      <c r="F171" s="90"/>
    </row>
    <row r="172" spans="1:28" ht="12" customHeight="1" x14ac:dyDescent="0.5">
      <c r="A172" s="96" t="s">
        <v>392</v>
      </c>
      <c r="C172" s="86" t="s">
        <v>777</v>
      </c>
      <c r="D172" s="86" t="s">
        <v>640</v>
      </c>
      <c r="E172" s="86" t="s">
        <v>2449</v>
      </c>
      <c r="F172" s="89">
        <f>VLOOKUP(C172,'WSS-26'!$C$1:$AU$617,34,)</f>
        <v>0</v>
      </c>
      <c r="G172" s="89">
        <f t="shared" ref="G172:W172" si="94">IF(VLOOKUP($E172,$D$5:$W$978,3,)=0,0,(VLOOKUP($E172,$D$5:$W$978,G$1,)/VLOOKUP($E172,$D$5:$W$978,3,))*$F172)</f>
        <v>0</v>
      </c>
      <c r="H172" s="89">
        <f t="shared" si="94"/>
        <v>0</v>
      </c>
      <c r="I172" s="89">
        <f t="shared" si="94"/>
        <v>0</v>
      </c>
      <c r="J172" s="89">
        <f t="shared" si="94"/>
        <v>0</v>
      </c>
      <c r="K172" s="89">
        <f t="shared" si="94"/>
        <v>0</v>
      </c>
      <c r="L172" s="89">
        <f t="shared" si="94"/>
        <v>0</v>
      </c>
      <c r="M172" s="89">
        <f t="shared" si="94"/>
        <v>0</v>
      </c>
      <c r="N172" s="89">
        <f t="shared" si="94"/>
        <v>0</v>
      </c>
      <c r="O172" s="89">
        <f t="shared" si="94"/>
        <v>0</v>
      </c>
      <c r="P172" s="89">
        <f t="shared" si="94"/>
        <v>0</v>
      </c>
      <c r="Q172" s="89">
        <f t="shared" si="94"/>
        <v>0</v>
      </c>
      <c r="R172" s="89">
        <f t="shared" si="94"/>
        <v>0</v>
      </c>
      <c r="S172" s="89">
        <f t="shared" si="94"/>
        <v>0</v>
      </c>
      <c r="T172" s="89">
        <f t="shared" si="94"/>
        <v>0</v>
      </c>
      <c r="U172" s="89">
        <f t="shared" si="94"/>
        <v>0</v>
      </c>
      <c r="V172" s="89">
        <f t="shared" si="94"/>
        <v>0</v>
      </c>
      <c r="W172" s="89">
        <f t="shared" si="94"/>
        <v>0</v>
      </c>
      <c r="X172" s="91">
        <f>SUM(G172:W172)</f>
        <v>0</v>
      </c>
      <c r="Y172" s="87" t="str">
        <f>IF(ABS(F172-X172)&lt;0.01,"ok","err")</f>
        <v>ok</v>
      </c>
      <c r="Z172" s="203" t="str">
        <f>IF(Y172="err",X172-F172,"")</f>
        <v/>
      </c>
    </row>
    <row r="173" spans="1:28" ht="12" customHeight="1" x14ac:dyDescent="0.5">
      <c r="F173" s="90"/>
    </row>
    <row r="174" spans="1:28" ht="12" customHeight="1" x14ac:dyDescent="0.5">
      <c r="A174" s="86" t="s">
        <v>62</v>
      </c>
      <c r="D174" s="86" t="s">
        <v>402</v>
      </c>
      <c r="F174" s="89">
        <f>F129+F135+F138+F141+F149+F154+F157+F160+F163+F166+F169+F172</f>
        <v>5197832023.3399992</v>
      </c>
      <c r="G174" s="89">
        <f t="shared" ref="G174:U174" si="95">G129+G135+G138+G141+G149+G154+G157+G160+G163+G166+G169+G172</f>
        <v>2446199408.7285142</v>
      </c>
      <c r="H174" s="89">
        <f t="shared" ref="H174" si="96">H129+H135+H138+H141+H149+H154+H157+H160+H163+H166+H169+H172</f>
        <v>11340629.922834281</v>
      </c>
      <c r="I174" s="89">
        <f t="shared" si="95"/>
        <v>610148565.20987535</v>
      </c>
      <c r="J174" s="89">
        <f>J129+J135+J138+J141+J149+J154+J157+J160+J163+J166+J169+J172</f>
        <v>38738639.515784226</v>
      </c>
      <c r="K174" s="89">
        <f>K129+K135+K138+K141+K149+K154+K157+K160+K163+K166+K169+K172</f>
        <v>458864450.23790866</v>
      </c>
      <c r="L174" s="89">
        <f>L129+L135+L138+L141+L149+L154+L157+L160+L163+L166+L169+L172</f>
        <v>19887373.090099089</v>
      </c>
      <c r="M174" s="89">
        <f t="shared" si="95"/>
        <v>424829680.24150598</v>
      </c>
      <c r="N174" s="89">
        <f t="shared" si="95"/>
        <v>740452252.7798897</v>
      </c>
      <c r="O174" s="89">
        <f t="shared" si="95"/>
        <v>225535968.00398141</v>
      </c>
      <c r="P174" s="89">
        <f>P129+P135+P138+P141+P149+P154+P157+P160+P163+P166+P169+P172</f>
        <v>104333029.76968977</v>
      </c>
      <c r="Q174" s="89">
        <f>Q129+Q135+Q138+Q141+Q149+Q154+Q157+Q160+Q163+Q166+Q169+Q172</f>
        <v>113340011.04474315</v>
      </c>
      <c r="R174" s="89">
        <f t="shared" si="95"/>
        <v>398642.54509885528</v>
      </c>
      <c r="S174" s="89">
        <f t="shared" si="95"/>
        <v>615301.08940570417</v>
      </c>
      <c r="T174" s="89">
        <f t="shared" si="95"/>
        <v>174628.96328485516</v>
      </c>
      <c r="U174" s="89">
        <f t="shared" si="95"/>
        <v>105538.39738445418</v>
      </c>
      <c r="V174" s="89">
        <f>V129+V135+V138+V141+V149+V154+V157+V160+V163+V166+V169+V172</f>
        <v>2576969.3631635425</v>
      </c>
      <c r="W174" s="89">
        <f>W129+W135+W138+W141+W149+W154+W157+W160+W163+W166+W169+W172</f>
        <v>290934.43683645804</v>
      </c>
      <c r="X174" s="91">
        <f>SUM(G174:W174)</f>
        <v>5197832023.3400011</v>
      </c>
      <c r="Y174" s="87" t="str">
        <f>IF(ABS(F174-X174)&lt;0.01,"ok","err")</f>
        <v>ok</v>
      </c>
      <c r="Z174" s="203" t="str">
        <f>IF(Y174="err",X174-F174,"")</f>
        <v/>
      </c>
    </row>
    <row r="176" spans="1:28" ht="12" customHeight="1" x14ac:dyDescent="0.5">
      <c r="M176" s="91"/>
      <c r="N176" s="91"/>
      <c r="O176" s="91"/>
      <c r="P176" s="91"/>
    </row>
    <row r="177" spans="1:26" ht="12" customHeight="1" x14ac:dyDescent="0.5">
      <c r="A177" s="22" t="s">
        <v>768</v>
      </c>
    </row>
    <row r="179" spans="1:26" ht="12" customHeight="1" x14ac:dyDescent="0.5">
      <c r="A179" s="23" t="s">
        <v>137</v>
      </c>
    </row>
    <row r="180" spans="1:26" ht="12" customHeight="1" x14ac:dyDescent="0.5">
      <c r="A180" s="96" t="s">
        <v>2273</v>
      </c>
      <c r="C180" s="86" t="s">
        <v>809</v>
      </c>
      <c r="D180" s="86" t="s">
        <v>641</v>
      </c>
      <c r="E180" s="86" t="s">
        <v>2403</v>
      </c>
      <c r="F180" s="89">
        <f>VLOOKUP(C180,'WSS-26'!$C$1:$AU$617,6,)</f>
        <v>133195931.14461496</v>
      </c>
      <c r="G180" s="89">
        <f t="shared" ref="G180:P185" si="97">IF(VLOOKUP($E180,$D$5:$W$978,3,)=0,0,(VLOOKUP($E180,$D$5:$W$978,G$1,)/VLOOKUP($E180,$D$5:$W$978,3,))*$F180)</f>
        <v>54569345.581264667</v>
      </c>
      <c r="H180" s="89">
        <f t="shared" si="97"/>
        <v>55729.46083153964</v>
      </c>
      <c r="I180" s="89">
        <f t="shared" si="97"/>
        <v>14712899.341817949</v>
      </c>
      <c r="J180" s="89">
        <f t="shared" si="97"/>
        <v>944086.56072789431</v>
      </c>
      <c r="K180" s="89">
        <f t="shared" si="97"/>
        <v>13720367.569200814</v>
      </c>
      <c r="L180" s="89">
        <f t="shared" si="97"/>
        <v>596083.86102802539</v>
      </c>
      <c r="M180" s="89">
        <f t="shared" si="97"/>
        <v>13195240.947464464</v>
      </c>
      <c r="N180" s="89">
        <f t="shared" si="97"/>
        <v>24155348.916894525</v>
      </c>
      <c r="O180" s="89">
        <f t="shared" si="97"/>
        <v>7862929.7065529078</v>
      </c>
      <c r="P180" s="89">
        <f t="shared" si="97"/>
        <v>3256028.3729372453</v>
      </c>
      <c r="Q180" s="89">
        <f t="shared" ref="Q180:W185" si="98">IF(VLOOKUP($E180,$D$5:$W$978,3,)=0,0,(VLOOKUP($E180,$D$5:$W$978,Q$1,)/VLOOKUP($E180,$D$5:$W$978,3,))*$F180)</f>
        <v>21222.981289886106</v>
      </c>
      <c r="R180" s="89">
        <f t="shared" si="98"/>
        <v>772.15738634324191</v>
      </c>
      <c r="S180" s="89">
        <f t="shared" si="98"/>
        <v>12626.534248467056</v>
      </c>
      <c r="T180" s="89">
        <f t="shared" si="98"/>
        <v>1625.2511007560001</v>
      </c>
      <c r="U180" s="89">
        <f t="shared" si="98"/>
        <v>109.90186945490733</v>
      </c>
      <c r="V180" s="89">
        <f t="shared" si="98"/>
        <v>91514</v>
      </c>
      <c r="W180" s="89">
        <f t="shared" si="98"/>
        <v>0</v>
      </c>
      <c r="X180" s="91">
        <f t="shared" ref="X180:X185" si="99">SUM(G180:W180)</f>
        <v>133195931.14461496</v>
      </c>
      <c r="Y180" s="87" t="str">
        <f t="shared" ref="Y180:Y185" si="100">IF(ABS(F180-X180)&lt;0.01,"ok","err")</f>
        <v>ok</v>
      </c>
      <c r="Z180" s="203" t="str">
        <f t="shared" ref="Z180:Z185" si="101">IF(Y180="err",X180-F180,"")</f>
        <v/>
      </c>
    </row>
    <row r="181" spans="1:26" ht="12" hidden="1" customHeight="1" x14ac:dyDescent="0.5">
      <c r="A181" s="96" t="s">
        <v>2274</v>
      </c>
      <c r="C181" s="86" t="s">
        <v>809</v>
      </c>
      <c r="D181" s="86" t="s">
        <v>642</v>
      </c>
      <c r="E181" s="86" t="s">
        <v>2272</v>
      </c>
      <c r="F181" s="90">
        <f>VLOOKUP(C181,'WSS-26'!$C$1:$AU$617,7,)</f>
        <v>0</v>
      </c>
      <c r="G181" s="89">
        <f t="shared" si="97"/>
        <v>0</v>
      </c>
      <c r="H181" s="89">
        <f t="shared" si="97"/>
        <v>0</v>
      </c>
      <c r="I181" s="89">
        <f t="shared" si="97"/>
        <v>0</v>
      </c>
      <c r="J181" s="89">
        <f t="shared" si="97"/>
        <v>0</v>
      </c>
      <c r="K181" s="89">
        <f t="shared" si="97"/>
        <v>0</v>
      </c>
      <c r="L181" s="89">
        <f t="shared" si="97"/>
        <v>0</v>
      </c>
      <c r="M181" s="89">
        <f t="shared" si="97"/>
        <v>0</v>
      </c>
      <c r="N181" s="89">
        <f t="shared" si="97"/>
        <v>0</v>
      </c>
      <c r="O181" s="89">
        <f t="shared" si="97"/>
        <v>0</v>
      </c>
      <c r="P181" s="89">
        <f t="shared" si="97"/>
        <v>0</v>
      </c>
      <c r="Q181" s="89">
        <f t="shared" si="98"/>
        <v>0</v>
      </c>
      <c r="R181" s="89">
        <f t="shared" si="98"/>
        <v>0</v>
      </c>
      <c r="S181" s="89">
        <f t="shared" si="98"/>
        <v>0</v>
      </c>
      <c r="T181" s="89">
        <f t="shared" si="98"/>
        <v>0</v>
      </c>
      <c r="U181" s="89">
        <f t="shared" si="98"/>
        <v>0</v>
      </c>
      <c r="V181" s="89">
        <f t="shared" si="98"/>
        <v>0</v>
      </c>
      <c r="W181" s="89">
        <f t="shared" si="98"/>
        <v>0</v>
      </c>
      <c r="X181" s="91">
        <f t="shared" si="99"/>
        <v>0</v>
      </c>
      <c r="Y181" s="87" t="str">
        <f t="shared" si="100"/>
        <v>ok</v>
      </c>
      <c r="Z181" s="203" t="str">
        <f t="shared" si="101"/>
        <v/>
      </c>
    </row>
    <row r="182" spans="1:26" ht="12" hidden="1" customHeight="1" x14ac:dyDescent="0.5">
      <c r="A182" s="96" t="s">
        <v>2274</v>
      </c>
      <c r="C182" s="86" t="s">
        <v>809</v>
      </c>
      <c r="D182" s="86" t="s">
        <v>643</v>
      </c>
      <c r="E182" s="86" t="s">
        <v>2272</v>
      </c>
      <c r="F182" s="90">
        <f>VLOOKUP(C182,'WSS-26'!$C$1:$AU$617,8,)</f>
        <v>0</v>
      </c>
      <c r="G182" s="89">
        <f t="shared" si="97"/>
        <v>0</v>
      </c>
      <c r="H182" s="89">
        <f t="shared" si="97"/>
        <v>0</v>
      </c>
      <c r="I182" s="89">
        <f t="shared" si="97"/>
        <v>0</v>
      </c>
      <c r="J182" s="89">
        <f t="shared" si="97"/>
        <v>0</v>
      </c>
      <c r="K182" s="89">
        <f t="shared" si="97"/>
        <v>0</v>
      </c>
      <c r="L182" s="89">
        <f t="shared" si="97"/>
        <v>0</v>
      </c>
      <c r="M182" s="89">
        <f t="shared" si="97"/>
        <v>0</v>
      </c>
      <c r="N182" s="89">
        <f t="shared" si="97"/>
        <v>0</v>
      </c>
      <c r="O182" s="89">
        <f t="shared" si="97"/>
        <v>0</v>
      </c>
      <c r="P182" s="89">
        <f t="shared" si="97"/>
        <v>0</v>
      </c>
      <c r="Q182" s="89">
        <f t="shared" si="98"/>
        <v>0</v>
      </c>
      <c r="R182" s="89">
        <f t="shared" si="98"/>
        <v>0</v>
      </c>
      <c r="S182" s="89">
        <f t="shared" si="98"/>
        <v>0</v>
      </c>
      <c r="T182" s="89">
        <f t="shared" si="98"/>
        <v>0</v>
      </c>
      <c r="U182" s="89">
        <f t="shared" si="98"/>
        <v>0</v>
      </c>
      <c r="V182" s="89">
        <f t="shared" si="98"/>
        <v>0</v>
      </c>
      <c r="W182" s="89">
        <f t="shared" si="98"/>
        <v>0</v>
      </c>
      <c r="X182" s="91">
        <f t="shared" si="99"/>
        <v>0</v>
      </c>
      <c r="Y182" s="87" t="str">
        <f t="shared" si="100"/>
        <v>ok</v>
      </c>
      <c r="Z182" s="203" t="str">
        <f t="shared" si="101"/>
        <v/>
      </c>
    </row>
    <row r="183" spans="1:26" ht="12" customHeight="1" x14ac:dyDescent="0.5">
      <c r="A183" s="96" t="s">
        <v>2276</v>
      </c>
      <c r="C183" s="86" t="s">
        <v>809</v>
      </c>
      <c r="D183" s="86" t="s">
        <v>644</v>
      </c>
      <c r="E183" s="86" t="s">
        <v>390</v>
      </c>
      <c r="F183" s="90">
        <f>VLOOKUP(C183,'WSS-26'!$C$1:$AU$617,9,)</f>
        <v>555456786.90975177</v>
      </c>
      <c r="G183" s="89">
        <f t="shared" si="97"/>
        <v>191480771.98148727</v>
      </c>
      <c r="H183" s="89">
        <f t="shared" si="97"/>
        <v>314848.91226445505</v>
      </c>
      <c r="I183" s="89">
        <f t="shared" si="97"/>
        <v>54152487.946382076</v>
      </c>
      <c r="J183" s="89">
        <f t="shared" si="97"/>
        <v>4148168.2509170687</v>
      </c>
      <c r="K183" s="89">
        <f t="shared" si="97"/>
        <v>54831541.083970971</v>
      </c>
      <c r="L183" s="89">
        <f t="shared" si="97"/>
        <v>2478005.5319360103</v>
      </c>
      <c r="M183" s="89">
        <f t="shared" si="97"/>
        <v>57574713.969154082</v>
      </c>
      <c r="N183" s="89">
        <f t="shared" si="97"/>
        <v>124399061.06284878</v>
      </c>
      <c r="O183" s="89">
        <f t="shared" si="97"/>
        <v>43295378.590056986</v>
      </c>
      <c r="P183" s="89">
        <f t="shared" si="97"/>
        <v>18675563.90360396</v>
      </c>
      <c r="Q183" s="89">
        <f t="shared" si="98"/>
        <v>3877090.1077918434</v>
      </c>
      <c r="R183" s="89">
        <f t="shared" si="98"/>
        <v>141060.47138632013</v>
      </c>
      <c r="S183" s="89">
        <f t="shared" si="98"/>
        <v>77208.935389918726</v>
      </c>
      <c r="T183" s="89">
        <f t="shared" si="98"/>
        <v>10532.815257010176</v>
      </c>
      <c r="U183" s="89">
        <f t="shared" si="98"/>
        <v>353.34730492566422</v>
      </c>
      <c r="V183" s="89">
        <f t="shared" si="98"/>
        <v>0</v>
      </c>
      <c r="W183" s="89">
        <f t="shared" si="98"/>
        <v>0</v>
      </c>
      <c r="X183" s="91">
        <f t="shared" si="99"/>
        <v>555456786.90975165</v>
      </c>
      <c r="Y183" s="87" t="str">
        <f t="shared" si="100"/>
        <v>ok</v>
      </c>
      <c r="Z183" s="203" t="str">
        <f t="shared" si="101"/>
        <v/>
      </c>
    </row>
    <row r="184" spans="1:26" ht="12" hidden="1" customHeight="1" x14ac:dyDescent="0.5">
      <c r="A184" s="96" t="s">
        <v>2275</v>
      </c>
      <c r="C184" s="86" t="s">
        <v>809</v>
      </c>
      <c r="D184" s="86" t="s">
        <v>655</v>
      </c>
      <c r="E184" s="86" t="s">
        <v>390</v>
      </c>
      <c r="F184" s="90">
        <f>VLOOKUP(C184,'WSS-26'!$C$1:$AU$617,10,)</f>
        <v>0</v>
      </c>
      <c r="G184" s="89">
        <f t="shared" si="97"/>
        <v>0</v>
      </c>
      <c r="H184" s="89">
        <f t="shared" si="97"/>
        <v>0</v>
      </c>
      <c r="I184" s="89">
        <f t="shared" si="97"/>
        <v>0</v>
      </c>
      <c r="J184" s="89">
        <f t="shared" si="97"/>
        <v>0</v>
      </c>
      <c r="K184" s="89">
        <f t="shared" si="97"/>
        <v>0</v>
      </c>
      <c r="L184" s="89">
        <f t="shared" si="97"/>
        <v>0</v>
      </c>
      <c r="M184" s="89">
        <f t="shared" si="97"/>
        <v>0</v>
      </c>
      <c r="N184" s="89">
        <f t="shared" si="97"/>
        <v>0</v>
      </c>
      <c r="O184" s="89">
        <f t="shared" si="97"/>
        <v>0</v>
      </c>
      <c r="P184" s="89">
        <f t="shared" si="97"/>
        <v>0</v>
      </c>
      <c r="Q184" s="89">
        <f t="shared" si="98"/>
        <v>0</v>
      </c>
      <c r="R184" s="89">
        <f t="shared" si="98"/>
        <v>0</v>
      </c>
      <c r="S184" s="89">
        <f t="shared" si="98"/>
        <v>0</v>
      </c>
      <c r="T184" s="89">
        <f t="shared" si="98"/>
        <v>0</v>
      </c>
      <c r="U184" s="89">
        <f t="shared" si="98"/>
        <v>0</v>
      </c>
      <c r="V184" s="89">
        <f t="shared" si="98"/>
        <v>0</v>
      </c>
      <c r="W184" s="89">
        <f t="shared" si="98"/>
        <v>0</v>
      </c>
      <c r="X184" s="91">
        <f t="shared" si="99"/>
        <v>0</v>
      </c>
      <c r="Y184" s="87" t="str">
        <f t="shared" si="100"/>
        <v>ok</v>
      </c>
      <c r="Z184" s="203" t="str">
        <f t="shared" si="101"/>
        <v/>
      </c>
    </row>
    <row r="185" spans="1:26" ht="12" hidden="1" customHeight="1" x14ac:dyDescent="0.5">
      <c r="A185" s="96" t="s">
        <v>2275</v>
      </c>
      <c r="C185" s="86" t="s">
        <v>809</v>
      </c>
      <c r="D185" s="86" t="s">
        <v>656</v>
      </c>
      <c r="E185" s="86" t="s">
        <v>390</v>
      </c>
      <c r="F185" s="90">
        <f>VLOOKUP(C185,'WSS-26'!$C$1:$AU$617,11,)</f>
        <v>0</v>
      </c>
      <c r="G185" s="89">
        <f t="shared" si="97"/>
        <v>0</v>
      </c>
      <c r="H185" s="89">
        <f t="shared" si="97"/>
        <v>0</v>
      </c>
      <c r="I185" s="89">
        <f t="shared" si="97"/>
        <v>0</v>
      </c>
      <c r="J185" s="89">
        <f t="shared" si="97"/>
        <v>0</v>
      </c>
      <c r="K185" s="89">
        <f t="shared" si="97"/>
        <v>0</v>
      </c>
      <c r="L185" s="89">
        <f t="shared" si="97"/>
        <v>0</v>
      </c>
      <c r="M185" s="89">
        <f t="shared" si="97"/>
        <v>0</v>
      </c>
      <c r="N185" s="89">
        <f t="shared" si="97"/>
        <v>0</v>
      </c>
      <c r="O185" s="89">
        <f t="shared" si="97"/>
        <v>0</v>
      </c>
      <c r="P185" s="89">
        <f t="shared" si="97"/>
        <v>0</v>
      </c>
      <c r="Q185" s="89">
        <f t="shared" si="98"/>
        <v>0</v>
      </c>
      <c r="R185" s="89">
        <f t="shared" si="98"/>
        <v>0</v>
      </c>
      <c r="S185" s="89">
        <f t="shared" si="98"/>
        <v>0</v>
      </c>
      <c r="T185" s="89">
        <f t="shared" si="98"/>
        <v>0</v>
      </c>
      <c r="U185" s="89">
        <f t="shared" si="98"/>
        <v>0</v>
      </c>
      <c r="V185" s="89">
        <f t="shared" si="98"/>
        <v>0</v>
      </c>
      <c r="W185" s="89">
        <f t="shared" si="98"/>
        <v>0</v>
      </c>
      <c r="X185" s="91">
        <f t="shared" si="99"/>
        <v>0</v>
      </c>
      <c r="Y185" s="87" t="str">
        <f t="shared" si="100"/>
        <v>ok</v>
      </c>
      <c r="Z185" s="203" t="str">
        <f t="shared" si="101"/>
        <v/>
      </c>
    </row>
    <row r="186" spans="1:26" ht="12" customHeight="1" x14ac:dyDescent="0.5">
      <c r="A186" s="86" t="s">
        <v>160</v>
      </c>
      <c r="D186" s="86" t="s">
        <v>403</v>
      </c>
      <c r="F186" s="89">
        <f t="shared" ref="F186:U186" si="102">SUM(F180:F185)</f>
        <v>688652718.05436671</v>
      </c>
      <c r="G186" s="89">
        <f t="shared" si="102"/>
        <v>246050117.56275195</v>
      </c>
      <c r="H186" s="89">
        <f t="shared" ref="H186" si="103">SUM(H180:H185)</f>
        <v>370578.3730959947</v>
      </c>
      <c r="I186" s="89">
        <f t="shared" si="102"/>
        <v>68865387.288200021</v>
      </c>
      <c r="J186" s="89">
        <f>SUM(J180:J185)</f>
        <v>5092254.811644963</v>
      </c>
      <c r="K186" s="89">
        <f>SUM(K180:K185)</f>
        <v>68551908.653171778</v>
      </c>
      <c r="L186" s="89">
        <f>SUM(L180:L185)</f>
        <v>3074089.3929640357</v>
      </c>
      <c r="M186" s="89">
        <f t="shared" si="102"/>
        <v>70769954.916618541</v>
      </c>
      <c r="N186" s="89">
        <f t="shared" si="102"/>
        <v>148554409.9797433</v>
      </c>
      <c r="O186" s="89">
        <f t="shared" si="102"/>
        <v>51158308.296609893</v>
      </c>
      <c r="P186" s="89">
        <f t="shared" si="102"/>
        <v>21931592.276541203</v>
      </c>
      <c r="Q186" s="89">
        <f>SUM(Q180:Q185)</f>
        <v>3898313.0890817293</v>
      </c>
      <c r="R186" s="89">
        <f t="shared" si="102"/>
        <v>141832.62877266336</v>
      </c>
      <c r="S186" s="89">
        <f t="shared" si="102"/>
        <v>89835.469638385781</v>
      </c>
      <c r="T186" s="89">
        <f t="shared" si="102"/>
        <v>12158.066357766176</v>
      </c>
      <c r="U186" s="89">
        <f t="shared" si="102"/>
        <v>463.24917438057156</v>
      </c>
      <c r="V186" s="89">
        <f>SUM(V180:V185)</f>
        <v>91514</v>
      </c>
      <c r="W186" s="89">
        <f>SUM(W180:W185)</f>
        <v>0</v>
      </c>
      <c r="X186" s="91">
        <f>SUM(G186:W186)</f>
        <v>688652718.05436659</v>
      </c>
      <c r="Y186" s="87" t="str">
        <f>IF(ABS(F186-X186)&lt;0.01,"ok","err")</f>
        <v>ok</v>
      </c>
      <c r="Z186" s="203" t="str">
        <f>IF(Y186="err",X186-F186,"")</f>
        <v/>
      </c>
    </row>
    <row r="187" spans="1:26" ht="12" customHeight="1" x14ac:dyDescent="0.5">
      <c r="F187" s="90"/>
      <c r="G187" s="204"/>
      <c r="H187" s="204"/>
      <c r="I187" s="204"/>
      <c r="J187" s="204"/>
      <c r="K187" s="204"/>
      <c r="L187" s="204"/>
      <c r="M187" s="204"/>
      <c r="N187" s="204"/>
      <c r="O187" s="204"/>
      <c r="P187" s="204"/>
      <c r="Q187" s="204"/>
      <c r="R187" s="204"/>
    </row>
    <row r="188" spans="1:26" ht="12" customHeight="1" x14ac:dyDescent="0.5">
      <c r="A188" s="23" t="s">
        <v>441</v>
      </c>
      <c r="F188" s="90"/>
      <c r="G188" s="90"/>
      <c r="H188" s="90"/>
    </row>
    <row r="189" spans="1:26" ht="12" customHeight="1" x14ac:dyDescent="0.5">
      <c r="A189" s="96" t="s">
        <v>2247</v>
      </c>
      <c r="C189" s="86" t="s">
        <v>809</v>
      </c>
      <c r="D189" s="86" t="s">
        <v>657</v>
      </c>
      <c r="E189" s="86" t="s">
        <v>2248</v>
      </c>
      <c r="F189" s="89">
        <f>VLOOKUP(C189,'WSS-26'!$C$1:$AU$617,13,)</f>
        <v>57756583.629516207</v>
      </c>
      <c r="G189" s="89">
        <f t="shared" ref="G189:P191" si="104">IF(VLOOKUP($E189,$D$5:$W$978,3,)=0,0,(VLOOKUP($E189,$D$5:$W$978,G$1,)/VLOOKUP($E189,$D$5:$W$978,3,))*$F189)</f>
        <v>25467104.499538247</v>
      </c>
      <c r="H189" s="89">
        <f t="shared" si="104"/>
        <v>81819.37454272357</v>
      </c>
      <c r="I189" s="89">
        <f t="shared" si="104"/>
        <v>6552352.7044439856</v>
      </c>
      <c r="J189" s="89">
        <f t="shared" si="104"/>
        <v>670595.89655410906</v>
      </c>
      <c r="K189" s="89">
        <f t="shared" si="104"/>
        <v>5845271.0483322367</v>
      </c>
      <c r="L189" s="89">
        <f t="shared" si="104"/>
        <v>251176.06795496834</v>
      </c>
      <c r="M189" s="89">
        <f t="shared" si="104"/>
        <v>5171105.8949225387</v>
      </c>
      <c r="N189" s="89">
        <f t="shared" si="104"/>
        <v>8421843.3052959368</v>
      </c>
      <c r="O189" s="89">
        <f t="shared" si="104"/>
        <v>2920513.1932005468</v>
      </c>
      <c r="P189" s="89">
        <f t="shared" si="104"/>
        <v>1956967.8526247111</v>
      </c>
      <c r="Q189" s="89">
        <f t="shared" ref="Q189:W191" si="105">IF(VLOOKUP($E189,$D$5:$W$978,3,)=0,0,(VLOOKUP($E189,$D$5:$W$978,Q$1,)/VLOOKUP($E189,$D$5:$W$978,3,))*$F189)</f>
        <v>394154.85816554149</v>
      </c>
      <c r="R189" s="89">
        <f t="shared" si="105"/>
        <v>14340.566998503453</v>
      </c>
      <c r="S189" s="89">
        <f t="shared" si="105"/>
        <v>3863.699015516147</v>
      </c>
      <c r="T189" s="89">
        <f t="shared" si="105"/>
        <v>5440.7180150967388</v>
      </c>
      <c r="U189" s="89">
        <f t="shared" si="105"/>
        <v>33.949911550292803</v>
      </c>
      <c r="V189" s="89">
        <f t="shared" si="105"/>
        <v>0</v>
      </c>
      <c r="W189" s="89">
        <f t="shared" si="105"/>
        <v>0</v>
      </c>
      <c r="X189" s="91">
        <f>SUM(G189:W189)</f>
        <v>57756583.629516207</v>
      </c>
      <c r="Y189" s="87" t="str">
        <f>IF(ABS(F189-X189)&lt;0.01,"ok","err")</f>
        <v>ok</v>
      </c>
      <c r="Z189" s="203" t="str">
        <f>IF(Y189="err",X189-F189,"")</f>
        <v/>
      </c>
    </row>
    <row r="190" spans="1:26" ht="12" hidden="1" customHeight="1" x14ac:dyDescent="0.5">
      <c r="A190" s="96" t="s">
        <v>2246</v>
      </c>
      <c r="C190" s="86" t="s">
        <v>809</v>
      </c>
      <c r="D190" s="86" t="s">
        <v>658</v>
      </c>
      <c r="E190" s="86" t="s">
        <v>2248</v>
      </c>
      <c r="F190" s="90">
        <f>VLOOKUP(C190,'WSS-26'!$C$1:$AU$617,14,)</f>
        <v>0</v>
      </c>
      <c r="G190" s="89">
        <f t="shared" si="104"/>
        <v>0</v>
      </c>
      <c r="H190" s="89">
        <f t="shared" si="104"/>
        <v>0</v>
      </c>
      <c r="I190" s="89">
        <f t="shared" si="104"/>
        <v>0</v>
      </c>
      <c r="J190" s="89">
        <f t="shared" si="104"/>
        <v>0</v>
      </c>
      <c r="K190" s="89">
        <f t="shared" si="104"/>
        <v>0</v>
      </c>
      <c r="L190" s="89">
        <f t="shared" si="104"/>
        <v>0</v>
      </c>
      <c r="M190" s="89">
        <f t="shared" si="104"/>
        <v>0</v>
      </c>
      <c r="N190" s="89">
        <f t="shared" si="104"/>
        <v>0</v>
      </c>
      <c r="O190" s="89">
        <f t="shared" si="104"/>
        <v>0</v>
      </c>
      <c r="P190" s="89">
        <f t="shared" si="104"/>
        <v>0</v>
      </c>
      <c r="Q190" s="89">
        <f t="shared" si="105"/>
        <v>0</v>
      </c>
      <c r="R190" s="89">
        <f t="shared" si="105"/>
        <v>0</v>
      </c>
      <c r="S190" s="89">
        <f t="shared" si="105"/>
        <v>0</v>
      </c>
      <c r="T190" s="89">
        <f t="shared" si="105"/>
        <v>0</v>
      </c>
      <c r="U190" s="89">
        <f t="shared" si="105"/>
        <v>0</v>
      </c>
      <c r="V190" s="89">
        <f t="shared" si="105"/>
        <v>0</v>
      </c>
      <c r="W190" s="89">
        <f t="shared" si="105"/>
        <v>0</v>
      </c>
      <c r="X190" s="91">
        <f>SUM(G190:W190)</f>
        <v>0</v>
      </c>
      <c r="Y190" s="87" t="str">
        <f>IF(ABS(F190-X190)&lt;0.01,"ok","err")</f>
        <v>ok</v>
      </c>
      <c r="Z190" s="203" t="str">
        <f>IF(Y190="err",X190-F190,"")</f>
        <v/>
      </c>
    </row>
    <row r="191" spans="1:26" ht="12" hidden="1" customHeight="1" x14ac:dyDescent="0.5">
      <c r="A191" s="96" t="s">
        <v>2246</v>
      </c>
      <c r="C191" s="86" t="s">
        <v>809</v>
      </c>
      <c r="D191" s="86" t="s">
        <v>659</v>
      </c>
      <c r="E191" s="86" t="s">
        <v>2248</v>
      </c>
      <c r="F191" s="90">
        <f>VLOOKUP(C191,'WSS-26'!$C$1:$AU$617,15,)</f>
        <v>0</v>
      </c>
      <c r="G191" s="89">
        <f t="shared" si="104"/>
        <v>0</v>
      </c>
      <c r="H191" s="89">
        <f t="shared" si="104"/>
        <v>0</v>
      </c>
      <c r="I191" s="89">
        <f t="shared" si="104"/>
        <v>0</v>
      </c>
      <c r="J191" s="89">
        <f t="shared" si="104"/>
        <v>0</v>
      </c>
      <c r="K191" s="89">
        <f t="shared" si="104"/>
        <v>0</v>
      </c>
      <c r="L191" s="89">
        <f t="shared" si="104"/>
        <v>0</v>
      </c>
      <c r="M191" s="89">
        <f t="shared" si="104"/>
        <v>0</v>
      </c>
      <c r="N191" s="89">
        <f t="shared" si="104"/>
        <v>0</v>
      </c>
      <c r="O191" s="89">
        <f t="shared" si="104"/>
        <v>0</v>
      </c>
      <c r="P191" s="89">
        <f t="shared" si="104"/>
        <v>0</v>
      </c>
      <c r="Q191" s="89">
        <f t="shared" si="105"/>
        <v>0</v>
      </c>
      <c r="R191" s="89">
        <f t="shared" si="105"/>
        <v>0</v>
      </c>
      <c r="S191" s="89">
        <f t="shared" si="105"/>
        <v>0</v>
      </c>
      <c r="T191" s="89">
        <f t="shared" si="105"/>
        <v>0</v>
      </c>
      <c r="U191" s="89">
        <f t="shared" si="105"/>
        <v>0</v>
      </c>
      <c r="V191" s="89">
        <f t="shared" si="105"/>
        <v>0</v>
      </c>
      <c r="W191" s="89">
        <f t="shared" si="105"/>
        <v>0</v>
      </c>
      <c r="X191" s="91">
        <f>SUM(G191:W191)</f>
        <v>0</v>
      </c>
      <c r="Y191" s="87" t="str">
        <f>IF(ABS(F191-X191)&lt;0.01,"ok","err")</f>
        <v>ok</v>
      </c>
      <c r="Z191" s="203" t="str">
        <f>IF(Y191="err",X191-F191,"")</f>
        <v/>
      </c>
    </row>
    <row r="192" spans="1:26" ht="12" hidden="1" customHeight="1" x14ac:dyDescent="0.5">
      <c r="A192" s="86" t="s">
        <v>443</v>
      </c>
      <c r="D192" s="86" t="s">
        <v>660</v>
      </c>
      <c r="F192" s="89">
        <f t="shared" ref="F192:U192" si="106">SUM(F189:F191)</f>
        <v>57756583.629516207</v>
      </c>
      <c r="G192" s="89">
        <f t="shared" si="106"/>
        <v>25467104.499538247</v>
      </c>
      <c r="H192" s="89">
        <f t="shared" ref="H192" si="107">SUM(H189:H191)</f>
        <v>81819.37454272357</v>
      </c>
      <c r="I192" s="89">
        <f t="shared" si="106"/>
        <v>6552352.7044439856</v>
      </c>
      <c r="J192" s="89">
        <f>SUM(J189:J191)</f>
        <v>670595.89655410906</v>
      </c>
      <c r="K192" s="89">
        <f>SUM(K189:K191)</f>
        <v>5845271.0483322367</v>
      </c>
      <c r="L192" s="89">
        <f>SUM(L189:L191)</f>
        <v>251176.06795496834</v>
      </c>
      <c r="M192" s="89">
        <f t="shared" si="106"/>
        <v>5171105.8949225387</v>
      </c>
      <c r="N192" s="89">
        <f t="shared" si="106"/>
        <v>8421843.3052959368</v>
      </c>
      <c r="O192" s="89">
        <f t="shared" si="106"/>
        <v>2920513.1932005468</v>
      </c>
      <c r="P192" s="89">
        <f t="shared" si="106"/>
        <v>1956967.8526247111</v>
      </c>
      <c r="Q192" s="89">
        <f>SUM(Q189:Q191)</f>
        <v>394154.85816554149</v>
      </c>
      <c r="R192" s="89">
        <f t="shared" si="106"/>
        <v>14340.566998503453</v>
      </c>
      <c r="S192" s="89">
        <f t="shared" si="106"/>
        <v>3863.699015516147</v>
      </c>
      <c r="T192" s="89">
        <f t="shared" si="106"/>
        <v>5440.7180150967388</v>
      </c>
      <c r="U192" s="89">
        <f t="shared" si="106"/>
        <v>33.949911550292803</v>
      </c>
      <c r="V192" s="89">
        <f>SUM(V189:V191)</f>
        <v>0</v>
      </c>
      <c r="W192" s="89">
        <f>SUM(W189:W191)</f>
        <v>0</v>
      </c>
      <c r="X192" s="91">
        <f>SUM(G192:W192)</f>
        <v>57756583.629516207</v>
      </c>
      <c r="Y192" s="87" t="str">
        <f>IF(ABS(F192-X192)&lt;0.01,"ok","err")</f>
        <v>ok</v>
      </c>
      <c r="Z192" s="91" t="str">
        <f>IF(Y192="err",X192-F192,"")</f>
        <v/>
      </c>
    </row>
    <row r="193" spans="1:26" ht="12" customHeight="1" x14ac:dyDescent="0.5">
      <c r="F193" s="90"/>
      <c r="G193" s="90"/>
      <c r="H193" s="90"/>
    </row>
    <row r="194" spans="1:26" ht="12" customHeight="1" x14ac:dyDescent="0.5">
      <c r="A194" s="23" t="s">
        <v>1627</v>
      </c>
      <c r="F194" s="90"/>
      <c r="G194" s="90"/>
      <c r="H194" s="90"/>
    </row>
    <row r="195" spans="1:26" ht="12" customHeight="1" x14ac:dyDescent="0.5">
      <c r="A195" s="96" t="s">
        <v>145</v>
      </c>
      <c r="C195" s="86" t="s">
        <v>809</v>
      </c>
      <c r="D195" s="86" t="s">
        <v>661</v>
      </c>
      <c r="E195" s="86" t="s">
        <v>2252</v>
      </c>
      <c r="F195" s="89">
        <f>VLOOKUP(C195,'WSS-26'!$C$1:$AU$617,17,)</f>
        <v>0</v>
      </c>
      <c r="G195" s="89">
        <f t="shared" ref="G195:W195" si="108">IF(VLOOKUP($E195,$D$5:$W$978,3,)=0,0,(VLOOKUP($E195,$D$5:$W$978,G$1,)/VLOOKUP($E195,$D$5:$W$978,3,))*$F195)</f>
        <v>0</v>
      </c>
      <c r="H195" s="89">
        <f t="shared" si="108"/>
        <v>0</v>
      </c>
      <c r="I195" s="89">
        <f t="shared" si="108"/>
        <v>0</v>
      </c>
      <c r="J195" s="89">
        <f t="shared" si="108"/>
        <v>0</v>
      </c>
      <c r="K195" s="89">
        <f t="shared" si="108"/>
        <v>0</v>
      </c>
      <c r="L195" s="89">
        <f t="shared" si="108"/>
        <v>0</v>
      </c>
      <c r="M195" s="89">
        <f t="shared" si="108"/>
        <v>0</v>
      </c>
      <c r="N195" s="89">
        <f t="shared" si="108"/>
        <v>0</v>
      </c>
      <c r="O195" s="89">
        <f t="shared" si="108"/>
        <v>0</v>
      </c>
      <c r="P195" s="89">
        <f t="shared" si="108"/>
        <v>0</v>
      </c>
      <c r="Q195" s="89">
        <f t="shared" si="108"/>
        <v>0</v>
      </c>
      <c r="R195" s="89">
        <f t="shared" si="108"/>
        <v>0</v>
      </c>
      <c r="S195" s="89">
        <f t="shared" si="108"/>
        <v>0</v>
      </c>
      <c r="T195" s="89">
        <f t="shared" si="108"/>
        <v>0</v>
      </c>
      <c r="U195" s="89">
        <f t="shared" si="108"/>
        <v>0</v>
      </c>
      <c r="V195" s="89">
        <f t="shared" si="108"/>
        <v>0</v>
      </c>
      <c r="W195" s="89">
        <f t="shared" si="108"/>
        <v>0</v>
      </c>
      <c r="X195" s="91">
        <f>SUM(G195:W195)</f>
        <v>0</v>
      </c>
      <c r="Y195" s="87" t="str">
        <f>IF(ABS(F195-X195)&lt;0.01,"ok","err")</f>
        <v>ok</v>
      </c>
      <c r="Z195" s="203" t="str">
        <f>IF(Y195="err",X195-F195,"")</f>
        <v/>
      </c>
    </row>
    <row r="196" spans="1:26" ht="12" customHeight="1" x14ac:dyDescent="0.5">
      <c r="F196" s="90"/>
    </row>
    <row r="197" spans="1:26" ht="12" customHeight="1" x14ac:dyDescent="0.5">
      <c r="A197" s="23" t="s">
        <v>1628</v>
      </c>
      <c r="F197" s="90"/>
      <c r="G197" s="90"/>
      <c r="H197" s="90"/>
    </row>
    <row r="198" spans="1:26" ht="12" customHeight="1" x14ac:dyDescent="0.5">
      <c r="A198" s="96" t="s">
        <v>147</v>
      </c>
      <c r="C198" s="86" t="s">
        <v>809</v>
      </c>
      <c r="D198" s="86" t="s">
        <v>662</v>
      </c>
      <c r="E198" s="86" t="s">
        <v>2252</v>
      </c>
      <c r="F198" s="89">
        <f>VLOOKUP(C198,'WSS-26'!$C$1:$AU$617,18,)</f>
        <v>9282793.2294150442</v>
      </c>
      <c r="G198" s="89">
        <f t="shared" ref="G198:W198" si="109">IF(VLOOKUP($E198,$D$5:$W$978,3,)=0,0,(VLOOKUP($E198,$D$5:$W$978,G$1,)/VLOOKUP($E198,$D$5:$W$978,3,))*$F198)</f>
        <v>4470686.0304023316</v>
      </c>
      <c r="H198" s="89">
        <f t="shared" si="109"/>
        <v>14363.185056669585</v>
      </c>
      <c r="I198" s="89">
        <f t="shared" si="109"/>
        <v>1150249.0085811599</v>
      </c>
      <c r="J198" s="89">
        <f t="shared" si="109"/>
        <v>117721.42007050471</v>
      </c>
      <c r="K198" s="89">
        <f t="shared" si="109"/>
        <v>1026122.6053463573</v>
      </c>
      <c r="L198" s="89">
        <f t="shared" si="109"/>
        <v>44093.32589018999</v>
      </c>
      <c r="M198" s="89">
        <f t="shared" si="109"/>
        <v>907774.61122761364</v>
      </c>
      <c r="N198" s="89">
        <f t="shared" si="109"/>
        <v>1478433.3733702085</v>
      </c>
      <c r="O198" s="89">
        <f t="shared" si="109"/>
        <v>0</v>
      </c>
      <c r="P198" s="89">
        <f t="shared" si="109"/>
        <v>0</v>
      </c>
      <c r="Q198" s="89">
        <f t="shared" si="109"/>
        <v>69192.892275910228</v>
      </c>
      <c r="R198" s="89">
        <f t="shared" si="109"/>
        <v>2517.4504054601312</v>
      </c>
      <c r="S198" s="89">
        <f t="shared" si="109"/>
        <v>678.26262756570816</v>
      </c>
      <c r="T198" s="89">
        <f t="shared" si="109"/>
        <v>955.104339635168</v>
      </c>
      <c r="U198" s="89">
        <f t="shared" si="109"/>
        <v>5.9598214356893529</v>
      </c>
      <c r="V198" s="89">
        <f t="shared" si="109"/>
        <v>0</v>
      </c>
      <c r="W198" s="89">
        <f t="shared" si="109"/>
        <v>0</v>
      </c>
      <c r="X198" s="91">
        <f>SUM(G198:W198)</f>
        <v>9282793.2294150442</v>
      </c>
      <c r="Y198" s="87" t="str">
        <f>IF(ABS(F198-X198)&lt;0.01,"ok","err")</f>
        <v>ok</v>
      </c>
      <c r="Z198" s="203" t="str">
        <f>IF(Y198="err",X198-F198,"")</f>
        <v/>
      </c>
    </row>
    <row r="199" spans="1:26" ht="12" customHeight="1" x14ac:dyDescent="0.5">
      <c r="F199" s="90"/>
    </row>
    <row r="200" spans="1:26" ht="12" customHeight="1" x14ac:dyDescent="0.5">
      <c r="A200" s="23" t="s">
        <v>146</v>
      </c>
      <c r="F200" s="90"/>
    </row>
    <row r="201" spans="1:26" ht="12" customHeight="1" x14ac:dyDescent="0.5">
      <c r="A201" s="96" t="s">
        <v>791</v>
      </c>
      <c r="C201" s="86" t="s">
        <v>809</v>
      </c>
      <c r="D201" s="86" t="s">
        <v>663</v>
      </c>
      <c r="E201" s="86" t="s">
        <v>2252</v>
      </c>
      <c r="F201" s="89">
        <f>VLOOKUP(C201,'WSS-26'!$C$1:$AU$617,19,)</f>
        <v>0</v>
      </c>
      <c r="G201" s="89">
        <f t="shared" ref="G201:P205" si="110">IF(VLOOKUP($E201,$D$5:$W$978,3,)=0,0,(VLOOKUP($E201,$D$5:$W$978,G$1,)/VLOOKUP($E201,$D$5:$W$978,3,))*$F201)</f>
        <v>0</v>
      </c>
      <c r="H201" s="89">
        <f t="shared" si="110"/>
        <v>0</v>
      </c>
      <c r="I201" s="89">
        <f t="shared" si="110"/>
        <v>0</v>
      </c>
      <c r="J201" s="89">
        <f t="shared" si="110"/>
        <v>0</v>
      </c>
      <c r="K201" s="89">
        <f t="shared" si="110"/>
        <v>0</v>
      </c>
      <c r="L201" s="89">
        <f t="shared" si="110"/>
        <v>0</v>
      </c>
      <c r="M201" s="89">
        <f t="shared" si="110"/>
        <v>0</v>
      </c>
      <c r="N201" s="89">
        <f t="shared" si="110"/>
        <v>0</v>
      </c>
      <c r="O201" s="89">
        <f t="shared" si="110"/>
        <v>0</v>
      </c>
      <c r="P201" s="89">
        <f t="shared" si="110"/>
        <v>0</v>
      </c>
      <c r="Q201" s="89">
        <f t="shared" ref="Q201:W205" si="111">IF(VLOOKUP($E201,$D$5:$W$978,3,)=0,0,(VLOOKUP($E201,$D$5:$W$978,Q$1,)/VLOOKUP($E201,$D$5:$W$978,3,))*$F201)</f>
        <v>0</v>
      </c>
      <c r="R201" s="89">
        <f t="shared" si="111"/>
        <v>0</v>
      </c>
      <c r="S201" s="89">
        <f t="shared" si="111"/>
        <v>0</v>
      </c>
      <c r="T201" s="89">
        <f t="shared" si="111"/>
        <v>0</v>
      </c>
      <c r="U201" s="89">
        <f t="shared" si="111"/>
        <v>0</v>
      </c>
      <c r="V201" s="89">
        <f t="shared" si="111"/>
        <v>0</v>
      </c>
      <c r="W201" s="89">
        <f t="shared" si="111"/>
        <v>0</v>
      </c>
      <c r="X201" s="91">
        <f t="shared" ref="X201:X206" si="112">SUM(G201:W201)</f>
        <v>0</v>
      </c>
      <c r="Y201" s="87" t="str">
        <f t="shared" ref="Y201:Y206" si="113">IF(ABS(F201-X201)&lt;0.01,"ok","err")</f>
        <v>ok</v>
      </c>
      <c r="Z201" s="203" t="str">
        <f t="shared" ref="Z201:Z206" si="114">IF(Y201="err",X201-F201,"")</f>
        <v/>
      </c>
    </row>
    <row r="202" spans="1:26" ht="12" customHeight="1" x14ac:dyDescent="0.5">
      <c r="A202" s="96" t="s">
        <v>792</v>
      </c>
      <c r="C202" s="86" t="s">
        <v>809</v>
      </c>
      <c r="D202" s="86" t="s">
        <v>664</v>
      </c>
      <c r="E202" s="86" t="s">
        <v>2252</v>
      </c>
      <c r="F202" s="90">
        <f>VLOOKUP(C202,'WSS-26'!$C$1:$AU$617,20,)</f>
        <v>12963443.703119226</v>
      </c>
      <c r="G202" s="89">
        <f t="shared" si="110"/>
        <v>6243324.0983753195</v>
      </c>
      <c r="H202" s="89">
        <f t="shared" si="110"/>
        <v>20058.223454725456</v>
      </c>
      <c r="I202" s="89">
        <f t="shared" si="110"/>
        <v>1606325.5852840103</v>
      </c>
      <c r="J202" s="89">
        <f t="shared" si="110"/>
        <v>164398.25427754392</v>
      </c>
      <c r="K202" s="89">
        <f t="shared" si="110"/>
        <v>1432982.7561766945</v>
      </c>
      <c r="L202" s="89">
        <f t="shared" si="110"/>
        <v>61576.438657439197</v>
      </c>
      <c r="M202" s="89">
        <f t="shared" si="110"/>
        <v>1267709.4896911397</v>
      </c>
      <c r="N202" s="89">
        <f t="shared" si="110"/>
        <v>2064635.8623787924</v>
      </c>
      <c r="O202" s="89">
        <f t="shared" si="110"/>
        <v>0</v>
      </c>
      <c r="P202" s="89">
        <f t="shared" si="110"/>
        <v>0</v>
      </c>
      <c r="Q202" s="89">
        <f t="shared" si="111"/>
        <v>96628.045191444879</v>
      </c>
      <c r="R202" s="89">
        <f t="shared" si="111"/>
        <v>3515.6257173934232</v>
      </c>
      <c r="S202" s="89">
        <f t="shared" si="111"/>
        <v>947.19543687733824</v>
      </c>
      <c r="T202" s="89">
        <f t="shared" si="111"/>
        <v>1333.8055724683618</v>
      </c>
      <c r="U202" s="89">
        <f t="shared" si="111"/>
        <v>8.3229053747942476</v>
      </c>
      <c r="V202" s="89">
        <f t="shared" si="111"/>
        <v>0</v>
      </c>
      <c r="W202" s="89">
        <f t="shared" si="111"/>
        <v>0</v>
      </c>
      <c r="X202" s="91">
        <f t="shared" si="112"/>
        <v>12963443.703119226</v>
      </c>
      <c r="Y202" s="87" t="str">
        <f t="shared" si="113"/>
        <v>ok</v>
      </c>
      <c r="Z202" s="203" t="str">
        <f t="shared" si="114"/>
        <v/>
      </c>
    </row>
    <row r="203" spans="1:26" ht="12" customHeight="1" x14ac:dyDescent="0.5">
      <c r="A203" s="96" t="s">
        <v>793</v>
      </c>
      <c r="C203" s="86" t="s">
        <v>809</v>
      </c>
      <c r="D203" s="86" t="s">
        <v>665</v>
      </c>
      <c r="E203" s="86" t="s">
        <v>904</v>
      </c>
      <c r="F203" s="90">
        <f>VLOOKUP(C203,'WSS-26'!$C$1:$AU$617,21,)</f>
        <v>23791489.565877698</v>
      </c>
      <c r="G203" s="89">
        <f t="shared" si="110"/>
        <v>19084140.764283977</v>
      </c>
      <c r="H203" s="89">
        <f t="shared" si="110"/>
        <v>27911.402715278044</v>
      </c>
      <c r="I203" s="89">
        <f t="shared" si="110"/>
        <v>3576807.3721077051</v>
      </c>
      <c r="J203" s="89">
        <f t="shared" si="110"/>
        <v>18319.558438510663</v>
      </c>
      <c r="K203" s="89">
        <f t="shared" si="110"/>
        <v>191880.09204109877</v>
      </c>
      <c r="L203" s="89">
        <f t="shared" si="110"/>
        <v>8814.1271732456971</v>
      </c>
      <c r="M203" s="89">
        <f t="shared" si="110"/>
        <v>33096.183405422569</v>
      </c>
      <c r="N203" s="89">
        <f t="shared" si="110"/>
        <v>11060.865472308325</v>
      </c>
      <c r="O203" s="89">
        <f t="shared" si="110"/>
        <v>0</v>
      </c>
      <c r="P203" s="89">
        <f t="shared" si="110"/>
        <v>0</v>
      </c>
      <c r="Q203" s="89">
        <f t="shared" si="111"/>
        <v>831941.26823944075</v>
      </c>
      <c r="R203" s="89">
        <f t="shared" si="111"/>
        <v>518.47806901445279</v>
      </c>
      <c r="S203" s="89">
        <f t="shared" si="111"/>
        <v>6394.5628511782515</v>
      </c>
      <c r="T203" s="89">
        <f t="shared" si="111"/>
        <v>172.82602300481759</v>
      </c>
      <c r="U203" s="89">
        <f t="shared" si="111"/>
        <v>432.06505751204395</v>
      </c>
      <c r="V203" s="89">
        <f t="shared" si="111"/>
        <v>0</v>
      </c>
      <c r="W203" s="89">
        <f t="shared" si="111"/>
        <v>0</v>
      </c>
      <c r="X203" s="91">
        <f t="shared" si="112"/>
        <v>23791489.565877695</v>
      </c>
      <c r="Y203" s="87" t="str">
        <f t="shared" si="113"/>
        <v>ok</v>
      </c>
      <c r="Z203" s="203" t="str">
        <f t="shared" si="114"/>
        <v/>
      </c>
    </row>
    <row r="204" spans="1:26" ht="12" customHeight="1" x14ac:dyDescent="0.5">
      <c r="A204" s="96" t="s">
        <v>794</v>
      </c>
      <c r="C204" s="86" t="s">
        <v>809</v>
      </c>
      <c r="D204" s="86" t="s">
        <v>666</v>
      </c>
      <c r="E204" s="86" t="s">
        <v>733</v>
      </c>
      <c r="F204" s="90">
        <f>VLOOKUP(C204,'WSS-26'!$C$1:$AU$617,22,)</f>
        <v>5561431.4547028812</v>
      </c>
      <c r="G204" s="89">
        <f t="shared" si="110"/>
        <v>4593076.9247323507</v>
      </c>
      <c r="H204" s="89">
        <f t="shared" si="110"/>
        <v>13811.74600748617</v>
      </c>
      <c r="I204" s="89">
        <f t="shared" si="110"/>
        <v>858815.64275879588</v>
      </c>
      <c r="J204" s="89">
        <f t="shared" si="110"/>
        <v>62251.488338568823</v>
      </c>
      <c r="K204" s="89">
        <f t="shared" si="110"/>
        <v>0</v>
      </c>
      <c r="L204" s="89">
        <f t="shared" si="110"/>
        <v>0</v>
      </c>
      <c r="M204" s="89">
        <f t="shared" si="110"/>
        <v>0</v>
      </c>
      <c r="N204" s="89">
        <f t="shared" si="110"/>
        <v>0</v>
      </c>
      <c r="O204" s="89">
        <f t="shared" si="110"/>
        <v>0</v>
      </c>
      <c r="P204" s="89">
        <f t="shared" si="110"/>
        <v>0</v>
      </c>
      <c r="Q204" s="89">
        <f t="shared" si="111"/>
        <v>31995.181384534557</v>
      </c>
      <c r="R204" s="89">
        <f t="shared" si="111"/>
        <v>1164.0831839791358</v>
      </c>
      <c r="S204" s="89">
        <f t="shared" si="111"/>
        <v>313.63244231476028</v>
      </c>
      <c r="T204" s="89">
        <f t="shared" si="111"/>
        <v>0</v>
      </c>
      <c r="U204" s="89">
        <f t="shared" si="111"/>
        <v>2.7558548513039378</v>
      </c>
      <c r="V204" s="89">
        <f t="shared" si="111"/>
        <v>0</v>
      </c>
      <c r="W204" s="89">
        <f t="shared" si="111"/>
        <v>0</v>
      </c>
      <c r="X204" s="91">
        <f t="shared" si="112"/>
        <v>5561431.4547028821</v>
      </c>
      <c r="Y204" s="87" t="str">
        <f t="shared" si="113"/>
        <v>ok</v>
      </c>
      <c r="Z204" s="203" t="str">
        <f t="shared" si="114"/>
        <v/>
      </c>
    </row>
    <row r="205" spans="1:26" ht="12" customHeight="1" x14ac:dyDescent="0.5">
      <c r="A205" s="96" t="s">
        <v>795</v>
      </c>
      <c r="C205" s="86" t="s">
        <v>809</v>
      </c>
      <c r="D205" s="86" t="s">
        <v>667</v>
      </c>
      <c r="E205" s="86" t="s">
        <v>903</v>
      </c>
      <c r="F205" s="90">
        <f>VLOOKUP(C205,'WSS-26'!$C$1:$AU$617,23,)</f>
        <v>10375666.576134797</v>
      </c>
      <c r="G205" s="89">
        <f t="shared" si="110"/>
        <v>8329711.0868187035</v>
      </c>
      <c r="H205" s="89">
        <f t="shared" si="110"/>
        <v>12182.57209049863</v>
      </c>
      <c r="I205" s="89">
        <f t="shared" si="110"/>
        <v>1561179.6407737439</v>
      </c>
      <c r="J205" s="89">
        <f t="shared" si="110"/>
        <v>7995.991588810246</v>
      </c>
      <c r="K205" s="89">
        <f t="shared" si="110"/>
        <v>83750.468504495992</v>
      </c>
      <c r="L205" s="89">
        <f t="shared" si="110"/>
        <v>0</v>
      </c>
      <c r="M205" s="89">
        <f t="shared" si="110"/>
        <v>14445.588577897755</v>
      </c>
      <c r="N205" s="89">
        <f t="shared" si="110"/>
        <v>0</v>
      </c>
      <c r="O205" s="89">
        <f t="shared" si="110"/>
        <v>0</v>
      </c>
      <c r="P205" s="89">
        <f t="shared" si="110"/>
        <v>0</v>
      </c>
      <c r="Q205" s="89">
        <f t="shared" si="111"/>
        <v>363119.85387391812</v>
      </c>
      <c r="R205" s="89">
        <f t="shared" si="111"/>
        <v>226.30164873991265</v>
      </c>
      <c r="S205" s="89">
        <f t="shared" si="111"/>
        <v>2791.053667792256</v>
      </c>
      <c r="T205" s="89">
        <f t="shared" si="111"/>
        <v>75.433882913304203</v>
      </c>
      <c r="U205" s="89">
        <f t="shared" si="111"/>
        <v>188.58470728326051</v>
      </c>
      <c r="V205" s="89">
        <f t="shared" si="111"/>
        <v>0</v>
      </c>
      <c r="W205" s="89">
        <f t="shared" si="111"/>
        <v>0</v>
      </c>
      <c r="X205" s="91">
        <f t="shared" si="112"/>
        <v>10375666.576134795</v>
      </c>
      <c r="Y205" s="87" t="str">
        <f t="shared" si="113"/>
        <v>ok</v>
      </c>
      <c r="Z205" s="203" t="str">
        <f t="shared" si="114"/>
        <v/>
      </c>
    </row>
    <row r="206" spans="1:26" ht="12" customHeight="1" x14ac:dyDescent="0.5">
      <c r="A206" s="86" t="s">
        <v>151</v>
      </c>
      <c r="D206" s="86" t="s">
        <v>668</v>
      </c>
      <c r="F206" s="89">
        <f>SUM(F201:F205)</f>
        <v>52692031.299834609</v>
      </c>
      <c r="G206" s="89">
        <f t="shared" ref="G206:U206" si="115">SUM(G201:G205)</f>
        <v>38250252.87421035</v>
      </c>
      <c r="H206" s="89">
        <f t="shared" ref="H206" si="116">SUM(H201:H205)</f>
        <v>73963.944267988292</v>
      </c>
      <c r="I206" s="89">
        <f t="shared" si="115"/>
        <v>7603128.2409242559</v>
      </c>
      <c r="J206" s="89">
        <f>SUM(J201:J205)</f>
        <v>252965.29264343367</v>
      </c>
      <c r="K206" s="89">
        <f>SUM(K201:K205)</f>
        <v>1708613.3167222892</v>
      </c>
      <c r="L206" s="89">
        <f>SUM(L201:L205)</f>
        <v>70390.565830684893</v>
      </c>
      <c r="M206" s="89">
        <f t="shared" si="115"/>
        <v>1315251.26167446</v>
      </c>
      <c r="N206" s="89">
        <f t="shared" si="115"/>
        <v>2075696.7278511007</v>
      </c>
      <c r="O206" s="89">
        <f t="shared" si="115"/>
        <v>0</v>
      </c>
      <c r="P206" s="89">
        <f t="shared" si="115"/>
        <v>0</v>
      </c>
      <c r="Q206" s="89">
        <f>SUM(Q201:Q205)</f>
        <v>1323684.3486893384</v>
      </c>
      <c r="R206" s="89">
        <f t="shared" si="115"/>
        <v>5424.4886191269252</v>
      </c>
      <c r="S206" s="89">
        <f t="shared" si="115"/>
        <v>10446.444398162606</v>
      </c>
      <c r="T206" s="89">
        <f t="shared" si="115"/>
        <v>1582.0654783864836</v>
      </c>
      <c r="U206" s="89">
        <f t="shared" si="115"/>
        <v>631.72852502140267</v>
      </c>
      <c r="V206" s="89">
        <f>SUM(V201:V205)</f>
        <v>0</v>
      </c>
      <c r="W206" s="89">
        <f>SUM(W201:W205)</f>
        <v>0</v>
      </c>
      <c r="X206" s="91">
        <f t="shared" si="112"/>
        <v>52692031.299834594</v>
      </c>
      <c r="Y206" s="87" t="str">
        <f t="shared" si="113"/>
        <v>ok</v>
      </c>
      <c r="Z206" s="91" t="str">
        <f t="shared" si="114"/>
        <v/>
      </c>
    </row>
    <row r="207" spans="1:26" ht="12" customHeight="1" x14ac:dyDescent="0.5">
      <c r="F207" s="90"/>
    </row>
    <row r="208" spans="1:26" ht="12" customHeight="1" x14ac:dyDescent="0.5">
      <c r="A208" s="23" t="s">
        <v>790</v>
      </c>
      <c r="F208" s="90"/>
    </row>
    <row r="209" spans="1:26" ht="12" customHeight="1" x14ac:dyDescent="0.5">
      <c r="A209" s="96" t="s">
        <v>389</v>
      </c>
      <c r="C209" s="86" t="s">
        <v>809</v>
      </c>
      <c r="D209" s="86" t="s">
        <v>669</v>
      </c>
      <c r="E209" s="86" t="s">
        <v>2177</v>
      </c>
      <c r="F209" s="89">
        <f>VLOOKUP(C209,'WSS-26'!$C$1:$AU$617,24,)</f>
        <v>2648295.6800802387</v>
      </c>
      <c r="G209" s="89">
        <f t="shared" ref="G209:P210" si="117">IF(VLOOKUP($E209,$D$5:$W$978,3,)=0,0,(VLOOKUP($E209,$D$5:$W$978,G$1,)/VLOOKUP($E209,$D$5:$W$978,3,))*$F209)</f>
        <v>1805198.1756594109</v>
      </c>
      <c r="H209" s="89">
        <f t="shared" si="117"/>
        <v>5428.3738556889266</v>
      </c>
      <c r="I209" s="89">
        <f t="shared" si="117"/>
        <v>337536.78785301081</v>
      </c>
      <c r="J209" s="89">
        <f t="shared" si="117"/>
        <v>24466.447007615912</v>
      </c>
      <c r="K209" s="89">
        <f t="shared" si="117"/>
        <v>249380.50446539163</v>
      </c>
      <c r="L209" s="89">
        <f t="shared" si="117"/>
        <v>0</v>
      </c>
      <c r="M209" s="89">
        <f t="shared" si="117"/>
        <v>212833.00248933118</v>
      </c>
      <c r="N209" s="89">
        <f t="shared" si="117"/>
        <v>0</v>
      </c>
      <c r="O209" s="89">
        <f t="shared" si="117"/>
        <v>0</v>
      </c>
      <c r="P209" s="89">
        <f t="shared" si="117"/>
        <v>0</v>
      </c>
      <c r="Q209" s="89">
        <f t="shared" ref="Q209:W210" si="118">IF(VLOOKUP($E209,$D$5:$W$978,3,)=0,0,(VLOOKUP($E209,$D$5:$W$978,Q$1,)/VLOOKUP($E209,$D$5:$W$978,3,))*$F209)</f>
        <v>12574.934844710748</v>
      </c>
      <c r="R209" s="89">
        <f t="shared" si="118"/>
        <v>457.5148368884303</v>
      </c>
      <c r="S209" s="89">
        <f t="shared" si="118"/>
        <v>123.26567178650131</v>
      </c>
      <c r="T209" s="89">
        <f t="shared" si="118"/>
        <v>295.59027408001157</v>
      </c>
      <c r="U209" s="89">
        <f t="shared" si="118"/>
        <v>1.0831223233314131</v>
      </c>
      <c r="V209" s="89">
        <f t="shared" si="118"/>
        <v>0</v>
      </c>
      <c r="W209" s="89">
        <f t="shared" si="118"/>
        <v>0</v>
      </c>
      <c r="X209" s="91">
        <f>SUM(G209:W209)</f>
        <v>2648295.6800802383</v>
      </c>
      <c r="Y209" s="87" t="str">
        <f>IF(ABS(F209-X209)&lt;0.01,"ok","err")</f>
        <v>ok</v>
      </c>
      <c r="Z209" s="203" t="str">
        <f>IF(Y209="err",X209-F209,"")</f>
        <v/>
      </c>
    </row>
    <row r="210" spans="1:26" ht="12" customHeight="1" x14ac:dyDescent="0.5">
      <c r="A210" s="96" t="s">
        <v>392</v>
      </c>
      <c r="C210" s="86" t="s">
        <v>809</v>
      </c>
      <c r="D210" s="86" t="s">
        <v>670</v>
      </c>
      <c r="E210" s="86" t="s">
        <v>2176</v>
      </c>
      <c r="F210" s="90">
        <f>VLOOKUP(C210,'WSS-26'!$C$1:$AU$617,25,)</f>
        <v>2200275.5586109683</v>
      </c>
      <c r="G210" s="89">
        <f t="shared" si="117"/>
        <v>1766407.9295660562</v>
      </c>
      <c r="H210" s="89">
        <f t="shared" si="117"/>
        <v>2583.4499803024532</v>
      </c>
      <c r="I210" s="89">
        <f t="shared" si="117"/>
        <v>331065.5157420407</v>
      </c>
      <c r="J210" s="89">
        <f t="shared" si="117"/>
        <v>1695.6389963595047</v>
      </c>
      <c r="K210" s="89">
        <f t="shared" si="117"/>
        <v>17760.218827435285</v>
      </c>
      <c r="L210" s="89">
        <f t="shared" si="117"/>
        <v>0</v>
      </c>
      <c r="M210" s="89">
        <f t="shared" si="117"/>
        <v>3063.3478094608035</v>
      </c>
      <c r="N210" s="89">
        <f t="shared" si="117"/>
        <v>0</v>
      </c>
      <c r="O210" s="89">
        <f t="shared" si="117"/>
        <v>0</v>
      </c>
      <c r="P210" s="89">
        <f t="shared" si="117"/>
        <v>0</v>
      </c>
      <c r="Q210" s="89">
        <f t="shared" si="118"/>
        <v>77003.605837033654</v>
      </c>
      <c r="R210" s="89">
        <f t="shared" si="118"/>
        <v>47.98978291583505</v>
      </c>
      <c r="S210" s="89">
        <f t="shared" si="118"/>
        <v>591.87398929529888</v>
      </c>
      <c r="T210" s="89">
        <f t="shared" si="118"/>
        <v>15.996594305278347</v>
      </c>
      <c r="U210" s="89">
        <f t="shared" si="118"/>
        <v>39.991485763195868</v>
      </c>
      <c r="V210" s="89">
        <f t="shared" si="118"/>
        <v>0</v>
      </c>
      <c r="W210" s="89">
        <f t="shared" si="118"/>
        <v>0</v>
      </c>
      <c r="X210" s="91">
        <f>SUM(G210:W210)</f>
        <v>2200275.5586109683</v>
      </c>
      <c r="Y210" s="87" t="str">
        <f>IF(ABS(F210-X210)&lt;0.01,"ok","err")</f>
        <v>ok</v>
      </c>
      <c r="Z210" s="203" t="str">
        <f>IF(Y210="err",X210-F210,"")</f>
        <v/>
      </c>
    </row>
    <row r="211" spans="1:26" ht="12" customHeight="1" x14ac:dyDescent="0.5">
      <c r="A211" s="86" t="s">
        <v>1468</v>
      </c>
      <c r="D211" s="86" t="s">
        <v>671</v>
      </c>
      <c r="F211" s="89">
        <f t="shared" ref="F211:U211" si="119">F209+F210</f>
        <v>4848571.238691207</v>
      </c>
      <c r="G211" s="89">
        <f t="shared" si="119"/>
        <v>3571606.1052254671</v>
      </c>
      <c r="H211" s="89">
        <f t="shared" ref="H211" si="120">H209+H210</f>
        <v>8011.8238359913794</v>
      </c>
      <c r="I211" s="89">
        <f t="shared" si="119"/>
        <v>668602.30359505152</v>
      </c>
      <c r="J211" s="89">
        <f>J209+J210</f>
        <v>26162.086003975419</v>
      </c>
      <c r="K211" s="89">
        <f>K209+K210</f>
        <v>267140.72329282691</v>
      </c>
      <c r="L211" s="89">
        <f>L209+L210</f>
        <v>0</v>
      </c>
      <c r="M211" s="89">
        <f t="shared" si="119"/>
        <v>215896.35029879198</v>
      </c>
      <c r="N211" s="89">
        <f t="shared" si="119"/>
        <v>0</v>
      </c>
      <c r="O211" s="89">
        <f t="shared" si="119"/>
        <v>0</v>
      </c>
      <c r="P211" s="89">
        <f t="shared" si="119"/>
        <v>0</v>
      </c>
      <c r="Q211" s="89">
        <f>Q209+Q210</f>
        <v>89578.540681744402</v>
      </c>
      <c r="R211" s="89">
        <f t="shared" si="119"/>
        <v>505.50461980426536</v>
      </c>
      <c r="S211" s="89">
        <f t="shared" si="119"/>
        <v>715.13966108180023</v>
      </c>
      <c r="T211" s="89">
        <f t="shared" si="119"/>
        <v>311.5868683852899</v>
      </c>
      <c r="U211" s="89">
        <f t="shared" si="119"/>
        <v>41.074608086527284</v>
      </c>
      <c r="V211" s="89">
        <f>V209+V210</f>
        <v>0</v>
      </c>
      <c r="W211" s="89">
        <f>W209+W210</f>
        <v>0</v>
      </c>
      <c r="X211" s="91">
        <f>SUM(G211:W211)</f>
        <v>4848571.2386912052</v>
      </c>
      <c r="Y211" s="87" t="str">
        <f>IF(ABS(F211-X211)&lt;0.01,"ok","err")</f>
        <v>ok</v>
      </c>
      <c r="Z211" s="91" t="str">
        <f>IF(Y211="err",X211-F211,"")</f>
        <v/>
      </c>
    </row>
    <row r="212" spans="1:26" ht="12" customHeight="1" x14ac:dyDescent="0.5">
      <c r="F212" s="90"/>
    </row>
    <row r="213" spans="1:26" ht="12" customHeight="1" x14ac:dyDescent="0.5">
      <c r="A213" s="23" t="s">
        <v>128</v>
      </c>
      <c r="F213" s="90"/>
    </row>
    <row r="214" spans="1:26" ht="12" customHeight="1" x14ac:dyDescent="0.5">
      <c r="A214" s="96" t="s">
        <v>392</v>
      </c>
      <c r="C214" s="86" t="s">
        <v>809</v>
      </c>
      <c r="D214" s="86" t="s">
        <v>672</v>
      </c>
      <c r="E214" s="86" t="s">
        <v>393</v>
      </c>
      <c r="F214" s="89">
        <f>VLOOKUP(C214,'WSS-26'!$C$1:$AU$617,26,)</f>
        <v>1814382.8487628764</v>
      </c>
      <c r="G214" s="89">
        <f t="shared" ref="G214:W214" si="121">IF(VLOOKUP($E214,$D$5:$W$978,3,)=0,0,(VLOOKUP($E214,$D$5:$W$978,G$1,)/VLOOKUP($E214,$D$5:$W$978,3,))*$F214)</f>
        <v>1432832.8953828732</v>
      </c>
      <c r="H214" s="89">
        <f t="shared" si="121"/>
        <v>2096.3934576941851</v>
      </c>
      <c r="I214" s="89">
        <f t="shared" si="121"/>
        <v>322582.35019200353</v>
      </c>
      <c r="J214" s="89">
        <f t="shared" si="121"/>
        <v>2918.6387523243588</v>
      </c>
      <c r="K214" s="89">
        <f t="shared" si="121"/>
        <v>41921.307601519053</v>
      </c>
      <c r="L214" s="89">
        <f t="shared" si="121"/>
        <v>0</v>
      </c>
      <c r="M214" s="89">
        <f t="shared" si="121"/>
        <v>11993.502397634715</v>
      </c>
      <c r="N214" s="89">
        <f t="shared" si="121"/>
        <v>0</v>
      </c>
      <c r="O214" s="89">
        <f t="shared" si="121"/>
        <v>0</v>
      </c>
      <c r="P214" s="89">
        <f t="shared" si="121"/>
        <v>0</v>
      </c>
      <c r="Q214" s="89">
        <f t="shared" si="121"/>
        <v>0</v>
      </c>
      <c r="R214" s="89">
        <f t="shared" si="121"/>
        <v>0</v>
      </c>
      <c r="S214" s="89">
        <f t="shared" si="121"/>
        <v>0</v>
      </c>
      <c r="T214" s="89">
        <f t="shared" si="121"/>
        <v>37.760978827371353</v>
      </c>
      <c r="U214" s="89">
        <f t="shared" si="121"/>
        <v>0</v>
      </c>
      <c r="V214" s="89">
        <f t="shared" si="121"/>
        <v>0</v>
      </c>
      <c r="W214" s="89">
        <f t="shared" si="121"/>
        <v>0</v>
      </c>
      <c r="X214" s="91">
        <f>SUM(G214:W214)</f>
        <v>1814382.8487628768</v>
      </c>
      <c r="Y214" s="87" t="str">
        <f>IF(ABS(F214-X214)&lt;0.01,"ok","err")</f>
        <v>ok</v>
      </c>
      <c r="Z214" s="203" t="str">
        <f>IF(Y214="err",X214-F214,"")</f>
        <v/>
      </c>
    </row>
    <row r="215" spans="1:26" ht="12" customHeight="1" x14ac:dyDescent="0.5">
      <c r="F215" s="90"/>
    </row>
    <row r="216" spans="1:26" ht="12" customHeight="1" x14ac:dyDescent="0.5">
      <c r="A216" s="23" t="s">
        <v>127</v>
      </c>
      <c r="F216" s="90"/>
    </row>
    <row r="217" spans="1:26" ht="12" customHeight="1" x14ac:dyDescent="0.5">
      <c r="A217" s="96" t="s">
        <v>392</v>
      </c>
      <c r="C217" s="86" t="s">
        <v>809</v>
      </c>
      <c r="D217" s="86" t="s">
        <v>673</v>
      </c>
      <c r="E217" s="86" t="s">
        <v>2456</v>
      </c>
      <c r="F217" s="89">
        <f>VLOOKUP(C217,'WSS-26'!$C$1:$AU$617,27,)</f>
        <v>11537187.7496015</v>
      </c>
      <c r="G217" s="89">
        <f t="shared" ref="G217:W217" si="122">IF(VLOOKUP($E217,$D$5:$W$978,3,)=0,0,(VLOOKUP($E217,$D$5:$W$978,G$1,)/VLOOKUP($E217,$D$5:$W$978,3,))*$F217)</f>
        <v>6959834.434384359</v>
      </c>
      <c r="H217" s="89">
        <f t="shared" si="122"/>
        <v>10183.009771686793</v>
      </c>
      <c r="I217" s="89">
        <f t="shared" si="122"/>
        <v>2812609.8548666267</v>
      </c>
      <c r="J217" s="89">
        <f t="shared" si="122"/>
        <v>57411.287109612495</v>
      </c>
      <c r="K217" s="89">
        <f t="shared" si="122"/>
        <v>879397.94994509628</v>
      </c>
      <c r="L217" s="89">
        <f t="shared" si="122"/>
        <v>171975.93155506469</v>
      </c>
      <c r="M217" s="89">
        <f t="shared" si="122"/>
        <v>157290.85174742359</v>
      </c>
      <c r="N217" s="89">
        <f t="shared" si="122"/>
        <v>304650.48689656466</v>
      </c>
      <c r="O217" s="89">
        <f t="shared" si="122"/>
        <v>151043.53567442548</v>
      </c>
      <c r="P217" s="89">
        <f t="shared" si="122"/>
        <v>9323.8513314205538</v>
      </c>
      <c r="Q217" s="89">
        <f t="shared" si="122"/>
        <v>0</v>
      </c>
      <c r="R217" s="89">
        <f t="shared" si="122"/>
        <v>1701.7641088466905</v>
      </c>
      <c r="S217" s="89">
        <f t="shared" si="122"/>
        <v>20972.666934027271</v>
      </c>
      <c r="T217" s="89">
        <f t="shared" si="122"/>
        <v>792.12527634770788</v>
      </c>
      <c r="U217" s="89">
        <f t="shared" si="122"/>
        <v>0</v>
      </c>
      <c r="V217" s="89">
        <f t="shared" si="122"/>
        <v>0</v>
      </c>
      <c r="W217" s="89">
        <f t="shared" si="122"/>
        <v>0</v>
      </c>
      <c r="X217" s="91">
        <f>SUM(G217:W217)</f>
        <v>11537187.7496015</v>
      </c>
      <c r="Y217" s="87" t="str">
        <f>IF(ABS(F217-X217)&lt;0.01,"ok","err")</f>
        <v>ok</v>
      </c>
      <c r="Z217" s="203" t="str">
        <f>IF(Y217="err",X217-F217,"")</f>
        <v/>
      </c>
    </row>
    <row r="218" spans="1:26" ht="12" customHeight="1" x14ac:dyDescent="0.5">
      <c r="F218" s="90"/>
    </row>
    <row r="219" spans="1:26" ht="12" customHeight="1" x14ac:dyDescent="0.5">
      <c r="A219" s="23" t="s">
        <v>144</v>
      </c>
      <c r="F219" s="90"/>
    </row>
    <row r="220" spans="1:26" ht="12" customHeight="1" x14ac:dyDescent="0.5">
      <c r="A220" s="96" t="s">
        <v>392</v>
      </c>
      <c r="C220" s="86" t="s">
        <v>809</v>
      </c>
      <c r="D220" s="86" t="s">
        <v>674</v>
      </c>
      <c r="E220" s="86" t="s">
        <v>395</v>
      </c>
      <c r="F220" s="89">
        <f>VLOOKUP(C220,'WSS-26'!$C$1:$AU$617,28,)</f>
        <v>2077842.4946816051</v>
      </c>
      <c r="G220" s="89">
        <f t="shared" ref="G220:W220" si="123">IF(VLOOKUP($E220,$D$5:$W$978,3,)=0,0,(VLOOKUP($E220,$D$5:$W$978,G$1,)/VLOOKUP($E220,$D$5:$W$978,3,))*$F220)</f>
        <v>0</v>
      </c>
      <c r="H220" s="89">
        <f t="shared" si="123"/>
        <v>0</v>
      </c>
      <c r="I220" s="89">
        <f t="shared" si="123"/>
        <v>0</v>
      </c>
      <c r="J220" s="89">
        <f t="shared" si="123"/>
        <v>0</v>
      </c>
      <c r="K220" s="89">
        <f t="shared" si="123"/>
        <v>0</v>
      </c>
      <c r="L220" s="89">
        <f t="shared" si="123"/>
        <v>0</v>
      </c>
      <c r="M220" s="89">
        <f t="shared" si="123"/>
        <v>0</v>
      </c>
      <c r="N220" s="89">
        <f t="shared" si="123"/>
        <v>0</v>
      </c>
      <c r="O220" s="89">
        <f t="shared" si="123"/>
        <v>0</v>
      </c>
      <c r="P220" s="89">
        <f t="shared" si="123"/>
        <v>0</v>
      </c>
      <c r="Q220" s="89">
        <f t="shared" si="123"/>
        <v>2077842.4946816051</v>
      </c>
      <c r="R220" s="89">
        <f t="shared" si="123"/>
        <v>0</v>
      </c>
      <c r="S220" s="89">
        <f t="shared" si="123"/>
        <v>0</v>
      </c>
      <c r="T220" s="89">
        <f t="shared" si="123"/>
        <v>0</v>
      </c>
      <c r="U220" s="89">
        <f t="shared" si="123"/>
        <v>0</v>
      </c>
      <c r="V220" s="89">
        <f t="shared" si="123"/>
        <v>0</v>
      </c>
      <c r="W220" s="89">
        <f t="shared" si="123"/>
        <v>0</v>
      </c>
      <c r="X220" s="91">
        <f>SUM(G220:W220)</f>
        <v>2077842.4946816051</v>
      </c>
      <c r="Y220" s="87" t="str">
        <f>IF(ABS(F220-X220)&lt;0.01,"ok","err")</f>
        <v>ok</v>
      </c>
      <c r="Z220" s="203" t="str">
        <f>IF(Y220="err",X220-F220,"")</f>
        <v/>
      </c>
    </row>
    <row r="221" spans="1:26" ht="12" customHeight="1" x14ac:dyDescent="0.5">
      <c r="F221" s="90"/>
    </row>
    <row r="222" spans="1:26" ht="12" customHeight="1" x14ac:dyDescent="0.5">
      <c r="A222" s="23" t="s">
        <v>292</v>
      </c>
      <c r="F222" s="90"/>
    </row>
    <row r="223" spans="1:26" ht="12" customHeight="1" x14ac:dyDescent="0.5">
      <c r="A223" s="96" t="s">
        <v>392</v>
      </c>
      <c r="C223" s="86" t="s">
        <v>809</v>
      </c>
      <c r="D223" s="86" t="s">
        <v>675</v>
      </c>
      <c r="E223" s="86" t="s">
        <v>396</v>
      </c>
      <c r="F223" s="89">
        <f>VLOOKUP(C223,'WSS-26'!$C$1:$AU$617,30,)</f>
        <v>56459202.694911122</v>
      </c>
      <c r="G223" s="89">
        <f t="shared" ref="G223:W223" si="124">IF(VLOOKUP($E223,$D$5:$W$978,3,)=0,0,(VLOOKUP($E223,$D$5:$W$978,G$1,)/VLOOKUP($E223,$D$5:$W$978,3,))*$F223)</f>
        <v>36623153.618626676</v>
      </c>
      <c r="H223" s="89">
        <f t="shared" si="124"/>
        <v>53562.987298125481</v>
      </c>
      <c r="I223" s="89">
        <f t="shared" si="124"/>
        <v>13728044.397795727</v>
      </c>
      <c r="J223" s="89">
        <f t="shared" si="124"/>
        <v>351558.92591958522</v>
      </c>
      <c r="K223" s="89">
        <f t="shared" si="124"/>
        <v>1841124.0448217902</v>
      </c>
      <c r="L223" s="89">
        <f t="shared" si="124"/>
        <v>84573.137839145493</v>
      </c>
      <c r="M223" s="89">
        <f t="shared" si="124"/>
        <v>1587819.2055094475</v>
      </c>
      <c r="N223" s="89">
        <f t="shared" si="124"/>
        <v>530654.98252012872</v>
      </c>
      <c r="O223" s="89">
        <f t="shared" si="124"/>
        <v>41457.420509385054</v>
      </c>
      <c r="P223" s="89">
        <f t="shared" si="124"/>
        <v>4145.7420509385056</v>
      </c>
      <c r="Q223" s="89">
        <f t="shared" si="124"/>
        <v>1596525.2638164184</v>
      </c>
      <c r="R223" s="89">
        <f t="shared" si="124"/>
        <v>994.9780922252412</v>
      </c>
      <c r="S223" s="89">
        <f t="shared" si="124"/>
        <v>12271.396470777974</v>
      </c>
      <c r="T223" s="89">
        <f t="shared" si="124"/>
        <v>1658.2968203754019</v>
      </c>
      <c r="U223" s="89">
        <f t="shared" si="124"/>
        <v>1658.2968203754019</v>
      </c>
      <c r="V223" s="89">
        <f t="shared" si="124"/>
        <v>0</v>
      </c>
      <c r="W223" s="89">
        <f t="shared" si="124"/>
        <v>0</v>
      </c>
      <c r="X223" s="91">
        <f>SUM(G223:W223)</f>
        <v>56459202.694911107</v>
      </c>
      <c r="Y223" s="87" t="str">
        <f>IF(ABS(F223-X223)&lt;0.01,"ok","err")</f>
        <v>ok</v>
      </c>
      <c r="Z223" s="203" t="str">
        <f>IF(Y223="err",X223-F223,"")</f>
        <v/>
      </c>
    </row>
    <row r="224" spans="1:26" ht="12" customHeight="1" x14ac:dyDescent="0.5">
      <c r="F224" s="90"/>
    </row>
    <row r="225" spans="1:26" ht="12" customHeight="1" x14ac:dyDescent="0.5">
      <c r="A225" s="23" t="s">
        <v>1630</v>
      </c>
      <c r="F225" s="90"/>
    </row>
    <row r="226" spans="1:26" ht="12" customHeight="1" x14ac:dyDescent="0.5">
      <c r="A226" s="96" t="s">
        <v>392</v>
      </c>
      <c r="C226" s="86" t="s">
        <v>809</v>
      </c>
      <c r="D226" s="86" t="s">
        <v>676</v>
      </c>
      <c r="E226" s="86" t="s">
        <v>2562</v>
      </c>
      <c r="F226" s="89">
        <f>VLOOKUP(C226,'WSS-26'!$C$1:$AU$617,32,)</f>
        <v>7173759.7602191055</v>
      </c>
      <c r="G226" s="89">
        <f t="shared" ref="G226:W226" si="125">IF(VLOOKUP($E226,$D$5:$W$978,3,)=0,0,(VLOOKUP($E226,$D$5:$W$978,G$1,)/VLOOKUP($E226,$D$5:$W$978,3,))*$F226)</f>
        <v>5733697.0311453892</v>
      </c>
      <c r="H226" s="89">
        <f t="shared" si="125"/>
        <v>8385.7863374808039</v>
      </c>
      <c r="I226" s="89">
        <f t="shared" si="125"/>
        <v>1074626.8361641036</v>
      </c>
      <c r="J226" s="89">
        <f t="shared" si="125"/>
        <v>5503.9836023093821</v>
      </c>
      <c r="K226" s="89">
        <f t="shared" si="125"/>
        <v>57649.035796830118</v>
      </c>
      <c r="L226" s="89">
        <f t="shared" si="125"/>
        <v>2648.1430539413063</v>
      </c>
      <c r="M226" s="89">
        <f t="shared" si="125"/>
        <v>9943.5175456815741</v>
      </c>
      <c r="N226" s="89">
        <f t="shared" si="125"/>
        <v>3323.1599108283067</v>
      </c>
      <c r="O226" s="89">
        <f t="shared" si="125"/>
        <v>259.62186803346145</v>
      </c>
      <c r="P226" s="89">
        <f t="shared" si="125"/>
        <v>12.981093401673073</v>
      </c>
      <c r="Q226" s="89">
        <f t="shared" si="125"/>
        <v>249950.95344921501</v>
      </c>
      <c r="R226" s="89">
        <f t="shared" si="125"/>
        <v>155.77312082007685</v>
      </c>
      <c r="S226" s="89">
        <f t="shared" si="125"/>
        <v>1921.2018234476147</v>
      </c>
      <c r="T226" s="89">
        <f t="shared" si="125"/>
        <v>51.924373606692292</v>
      </c>
      <c r="U226" s="89">
        <f t="shared" si="125"/>
        <v>18629.810934016732</v>
      </c>
      <c r="V226" s="89">
        <f t="shared" si="125"/>
        <v>0</v>
      </c>
      <c r="W226" s="89">
        <f t="shared" si="125"/>
        <v>7000</v>
      </c>
      <c r="X226" s="91">
        <f>SUM(G226:W226)</f>
        <v>7173759.7602191074</v>
      </c>
      <c r="Y226" s="87" t="str">
        <f>IF(ABS(F226-X226)&lt;0.01,"ok","err")</f>
        <v>ok</v>
      </c>
      <c r="Z226" s="203" t="str">
        <f>IF(Y226="err",X226-F226,"")</f>
        <v/>
      </c>
    </row>
    <row r="227" spans="1:26" ht="12" customHeight="1" x14ac:dyDescent="0.5">
      <c r="F227" s="90"/>
    </row>
    <row r="228" spans="1:26" ht="12" customHeight="1" x14ac:dyDescent="0.5">
      <c r="A228" s="23" t="s">
        <v>1629</v>
      </c>
      <c r="F228" s="90"/>
    </row>
    <row r="229" spans="1:26" ht="12" customHeight="1" x14ac:dyDescent="0.5">
      <c r="A229" s="96" t="s">
        <v>392</v>
      </c>
      <c r="C229" s="86" t="s">
        <v>809</v>
      </c>
      <c r="D229" s="86" t="s">
        <v>677</v>
      </c>
      <c r="E229" s="86" t="s">
        <v>397</v>
      </c>
      <c r="F229" s="89">
        <f>VLOOKUP(C229,'WSS-26'!$C$1:$AU$617,34,)</f>
        <v>0</v>
      </c>
      <c r="G229" s="89">
        <f t="shared" ref="G229:W229" si="126">IF(VLOOKUP($E229,$D$5:$W$978,3,)=0,0,(VLOOKUP($E229,$D$5:$W$978,G$1,)/VLOOKUP($E229,$D$5:$W$978,3,))*$F229)</f>
        <v>0</v>
      </c>
      <c r="H229" s="89">
        <f t="shared" si="126"/>
        <v>0</v>
      </c>
      <c r="I229" s="89">
        <f t="shared" si="126"/>
        <v>0</v>
      </c>
      <c r="J229" s="89">
        <f t="shared" si="126"/>
        <v>0</v>
      </c>
      <c r="K229" s="89">
        <f t="shared" si="126"/>
        <v>0</v>
      </c>
      <c r="L229" s="89">
        <f t="shared" si="126"/>
        <v>0</v>
      </c>
      <c r="M229" s="89">
        <f t="shared" si="126"/>
        <v>0</v>
      </c>
      <c r="N229" s="89">
        <f t="shared" si="126"/>
        <v>0</v>
      </c>
      <c r="O229" s="89">
        <f t="shared" si="126"/>
        <v>0</v>
      </c>
      <c r="P229" s="89">
        <f t="shared" si="126"/>
        <v>0</v>
      </c>
      <c r="Q229" s="89">
        <f t="shared" si="126"/>
        <v>0</v>
      </c>
      <c r="R229" s="89">
        <f t="shared" si="126"/>
        <v>0</v>
      </c>
      <c r="S229" s="89">
        <f t="shared" si="126"/>
        <v>0</v>
      </c>
      <c r="T229" s="89">
        <f t="shared" si="126"/>
        <v>0</v>
      </c>
      <c r="U229" s="89">
        <f t="shared" si="126"/>
        <v>0</v>
      </c>
      <c r="V229" s="89">
        <f t="shared" si="126"/>
        <v>0</v>
      </c>
      <c r="W229" s="89">
        <f t="shared" si="126"/>
        <v>0</v>
      </c>
      <c r="X229" s="91">
        <f>SUM(G229:W229)</f>
        <v>0</v>
      </c>
      <c r="Y229" s="87" t="str">
        <f>IF(ABS(F229-X229)&lt;0.01,"ok","err")</f>
        <v>ok</v>
      </c>
      <c r="Z229" s="203" t="str">
        <f>IF(Y229="err",X229-F229,"")</f>
        <v/>
      </c>
    </row>
    <row r="230" spans="1:26" ht="12" customHeight="1" x14ac:dyDescent="0.5">
      <c r="F230" s="90"/>
    </row>
    <row r="231" spans="1:26" ht="12" customHeight="1" x14ac:dyDescent="0.5">
      <c r="A231" s="86" t="s">
        <v>62</v>
      </c>
      <c r="D231" s="86" t="s">
        <v>404</v>
      </c>
      <c r="F231" s="89">
        <f>F186+F192+F195+F198+F206+F211+F214+F217+F220+F223+F226+F229</f>
        <v>892295073</v>
      </c>
      <c r="G231" s="89">
        <f>G186+G192+G195+G198+G206+G211+G214+G217+G220+G223+G226+G229</f>
        <v>368559285.05166757</v>
      </c>
      <c r="H231" s="89">
        <f>H186+H192+H195+H198+H206+H211+H214+H217+H220+H223+H226+H229</f>
        <v>622964.87766435475</v>
      </c>
      <c r="I231" s="89">
        <f t="shared" ref="I231:U231" si="127">I186+I192+I195+I198+I206+I211+I214+I217+I220+I223+I226+I229</f>
        <v>102777582.98476294</v>
      </c>
      <c r="J231" s="89">
        <f>J186+J192+J195+J198+J206+J211+J214+J217+J220+J223+J226+J229</f>
        <v>6577092.3423008164</v>
      </c>
      <c r="K231" s="89">
        <f>K186+K192+K195+K198+K206+K211+K214+K217+K220+K223+K226+K229</f>
        <v>80219148.685030729</v>
      </c>
      <c r="L231" s="89">
        <f>L186+L192+L195+L198+L206+L211+L214+L217+L220+L223+L226+L229</f>
        <v>3698946.5650880304</v>
      </c>
      <c r="M231" s="89">
        <f t="shared" si="127"/>
        <v>80147030.111942157</v>
      </c>
      <c r="N231" s="89">
        <f t="shared" si="127"/>
        <v>161369012.01558807</v>
      </c>
      <c r="O231" s="89">
        <f t="shared" si="127"/>
        <v>54271582.06786228</v>
      </c>
      <c r="P231" s="89">
        <f>P186+P192+P195+P198+P206+P211+P214+P217+P220+P223+P226+P229</f>
        <v>23902042.703641675</v>
      </c>
      <c r="Q231" s="89">
        <f>Q186+Q192+Q195+Q198+Q206+Q211+Q214+Q217+Q220+Q223+Q226+Q229</f>
        <v>9699242.4408415016</v>
      </c>
      <c r="R231" s="89">
        <f t="shared" si="127"/>
        <v>167473.15473745018</v>
      </c>
      <c r="S231" s="89">
        <f t="shared" si="127"/>
        <v>140704.28056896492</v>
      </c>
      <c r="T231" s="89">
        <f t="shared" si="127"/>
        <v>22987.648508427035</v>
      </c>
      <c r="U231" s="89">
        <f t="shared" si="127"/>
        <v>21464.069794866617</v>
      </c>
      <c r="V231" s="89">
        <f>V186+V192+V195+V198+V206+V211+V214+V217+V220+V223+V226+V229</f>
        <v>91514</v>
      </c>
      <c r="W231" s="89">
        <f>W186+W192+W195+W198+W206+W211+W214+W217+W220+W223+W226+W229</f>
        <v>7000</v>
      </c>
      <c r="X231" s="91">
        <f>SUM(G231:W231)</f>
        <v>892295072.99999988</v>
      </c>
      <c r="Y231" s="87" t="str">
        <f>IF(ABS(F231-X231)&lt;0.01,"ok","err")</f>
        <v>ok</v>
      </c>
      <c r="Z231" s="203" t="str">
        <f>IF(Y231="err",X231-F231,"")</f>
        <v/>
      </c>
    </row>
    <row r="234" spans="1:26" ht="12" customHeight="1" x14ac:dyDescent="0.5">
      <c r="A234" s="22" t="s">
        <v>810</v>
      </c>
    </row>
    <row r="236" spans="1:26" ht="12" customHeight="1" x14ac:dyDescent="0.5">
      <c r="A236" s="23" t="s">
        <v>137</v>
      </c>
    </row>
    <row r="237" spans="1:26" ht="12" customHeight="1" x14ac:dyDescent="0.5">
      <c r="A237" s="96" t="s">
        <v>2273</v>
      </c>
      <c r="C237" s="86" t="s">
        <v>1015</v>
      </c>
      <c r="D237" s="86" t="s">
        <v>678</v>
      </c>
      <c r="E237" s="86" t="s">
        <v>2272</v>
      </c>
      <c r="F237" s="89">
        <f>VLOOKUP(C237,'WSS-26'!$C$1:$AU$617,6,)</f>
        <v>57141437.568190016</v>
      </c>
      <c r="G237" s="89">
        <f t="shared" ref="G237:P242" si="128">IF(VLOOKUP($E237,$D$5:$W$978,3,)=0,0,(VLOOKUP($E237,$D$5:$W$978,G$1,)/VLOOKUP($E237,$D$5:$W$978,3,))*$F237)</f>
        <v>23426501.693636492</v>
      </c>
      <c r="H237" s="89">
        <f t="shared" si="128"/>
        <v>23924.536654215368</v>
      </c>
      <c r="I237" s="89">
        <f t="shared" si="128"/>
        <v>6316215.7742228415</v>
      </c>
      <c r="J237" s="89">
        <f t="shared" si="128"/>
        <v>405294.3127363578</v>
      </c>
      <c r="K237" s="89">
        <f t="shared" si="128"/>
        <v>5890124.0371031957</v>
      </c>
      <c r="L237" s="89">
        <f t="shared" si="128"/>
        <v>255897.50859531551</v>
      </c>
      <c r="M237" s="89">
        <f t="shared" si="128"/>
        <v>5664688.317425007</v>
      </c>
      <c r="N237" s="89">
        <f t="shared" si="128"/>
        <v>10369838.895526217</v>
      </c>
      <c r="O237" s="89">
        <f t="shared" si="128"/>
        <v>3375538.6678257734</v>
      </c>
      <c r="P237" s="89">
        <f t="shared" si="128"/>
        <v>1397805.9179681863</v>
      </c>
      <c r="Q237" s="89">
        <f t="shared" ref="Q237:W242" si="129">IF(VLOOKUP($E237,$D$5:$W$978,3,)=0,0,(VLOOKUP($E237,$D$5:$W$978,Q$1,)/VLOOKUP($E237,$D$5:$W$978,3,))*$F237)</f>
        <v>9110.979833744419</v>
      </c>
      <c r="R237" s="89">
        <f t="shared" si="129"/>
        <v>331.48549109840116</v>
      </c>
      <c r="S237" s="89">
        <f t="shared" si="129"/>
        <v>5420.5437651066195</v>
      </c>
      <c r="T237" s="89">
        <f t="shared" si="129"/>
        <v>697.71677228097394</v>
      </c>
      <c r="U237" s="89">
        <f t="shared" si="129"/>
        <v>47.180634172808332</v>
      </c>
      <c r="V237" s="89">
        <f t="shared" si="129"/>
        <v>0</v>
      </c>
      <c r="W237" s="89">
        <f t="shared" si="129"/>
        <v>0</v>
      </c>
      <c r="X237" s="91">
        <f t="shared" ref="X237:X242" si="130">SUM(G237:W237)</f>
        <v>57141437.568189994</v>
      </c>
      <c r="Y237" s="87" t="str">
        <f t="shared" ref="Y237:Y242" si="131">IF(ABS(F237-X237)&lt;0.01,"ok","err")</f>
        <v>ok</v>
      </c>
      <c r="Z237" s="203" t="str">
        <f t="shared" ref="Z237:Z242" si="132">IF(Y237="err",X237-F237,"")</f>
        <v/>
      </c>
    </row>
    <row r="238" spans="1:26" ht="12" hidden="1" customHeight="1" x14ac:dyDescent="0.5">
      <c r="A238" s="96" t="s">
        <v>2274</v>
      </c>
      <c r="C238" s="86" t="s">
        <v>1015</v>
      </c>
      <c r="D238" s="86" t="s">
        <v>679</v>
      </c>
      <c r="E238" s="86" t="s">
        <v>2272</v>
      </c>
      <c r="F238" s="90">
        <f>VLOOKUP(C238,'WSS-26'!$C$1:$AU$617,7,)</f>
        <v>0</v>
      </c>
      <c r="G238" s="89">
        <f t="shared" si="128"/>
        <v>0</v>
      </c>
      <c r="H238" s="89">
        <f t="shared" si="128"/>
        <v>0</v>
      </c>
      <c r="I238" s="89">
        <f t="shared" si="128"/>
        <v>0</v>
      </c>
      <c r="J238" s="89">
        <f t="shared" si="128"/>
        <v>0</v>
      </c>
      <c r="K238" s="89">
        <f t="shared" si="128"/>
        <v>0</v>
      </c>
      <c r="L238" s="89">
        <f t="shared" si="128"/>
        <v>0</v>
      </c>
      <c r="M238" s="89">
        <f t="shared" si="128"/>
        <v>0</v>
      </c>
      <c r="N238" s="89">
        <f t="shared" si="128"/>
        <v>0</v>
      </c>
      <c r="O238" s="89">
        <f t="shared" si="128"/>
        <v>0</v>
      </c>
      <c r="P238" s="89">
        <f t="shared" si="128"/>
        <v>0</v>
      </c>
      <c r="Q238" s="89">
        <f t="shared" si="129"/>
        <v>0</v>
      </c>
      <c r="R238" s="89">
        <f t="shared" si="129"/>
        <v>0</v>
      </c>
      <c r="S238" s="89">
        <f t="shared" si="129"/>
        <v>0</v>
      </c>
      <c r="T238" s="89">
        <f t="shared" si="129"/>
        <v>0</v>
      </c>
      <c r="U238" s="89">
        <f t="shared" si="129"/>
        <v>0</v>
      </c>
      <c r="V238" s="89">
        <f t="shared" si="129"/>
        <v>0</v>
      </c>
      <c r="W238" s="89">
        <f t="shared" si="129"/>
        <v>0</v>
      </c>
      <c r="X238" s="91">
        <f t="shared" si="130"/>
        <v>0</v>
      </c>
      <c r="Y238" s="87" t="str">
        <f t="shared" si="131"/>
        <v>ok</v>
      </c>
      <c r="Z238" s="203" t="str">
        <f t="shared" si="132"/>
        <v/>
      </c>
    </row>
    <row r="239" spans="1:26" ht="12" hidden="1" customHeight="1" x14ac:dyDescent="0.5">
      <c r="A239" s="96" t="s">
        <v>2274</v>
      </c>
      <c r="C239" s="86" t="s">
        <v>1015</v>
      </c>
      <c r="D239" s="86" t="s">
        <v>680</v>
      </c>
      <c r="E239" s="86" t="s">
        <v>2272</v>
      </c>
      <c r="F239" s="90">
        <f>VLOOKUP(C239,'WSS-26'!$C$1:$AU$617,8,)</f>
        <v>0</v>
      </c>
      <c r="G239" s="89">
        <f t="shared" si="128"/>
        <v>0</v>
      </c>
      <c r="H239" s="89">
        <f t="shared" si="128"/>
        <v>0</v>
      </c>
      <c r="I239" s="89">
        <f t="shared" si="128"/>
        <v>0</v>
      </c>
      <c r="J239" s="89">
        <f t="shared" si="128"/>
        <v>0</v>
      </c>
      <c r="K239" s="89">
        <f t="shared" si="128"/>
        <v>0</v>
      </c>
      <c r="L239" s="89">
        <f t="shared" si="128"/>
        <v>0</v>
      </c>
      <c r="M239" s="89">
        <f t="shared" si="128"/>
        <v>0</v>
      </c>
      <c r="N239" s="89">
        <f t="shared" si="128"/>
        <v>0</v>
      </c>
      <c r="O239" s="89">
        <f t="shared" si="128"/>
        <v>0</v>
      </c>
      <c r="P239" s="89">
        <f t="shared" si="128"/>
        <v>0</v>
      </c>
      <c r="Q239" s="89">
        <f t="shared" si="129"/>
        <v>0</v>
      </c>
      <c r="R239" s="89">
        <f t="shared" si="129"/>
        <v>0</v>
      </c>
      <c r="S239" s="89">
        <f t="shared" si="129"/>
        <v>0</v>
      </c>
      <c r="T239" s="89">
        <f t="shared" si="129"/>
        <v>0</v>
      </c>
      <c r="U239" s="89">
        <f t="shared" si="129"/>
        <v>0</v>
      </c>
      <c r="V239" s="89">
        <f t="shared" si="129"/>
        <v>0</v>
      </c>
      <c r="W239" s="89">
        <f t="shared" si="129"/>
        <v>0</v>
      </c>
      <c r="X239" s="91">
        <f t="shared" si="130"/>
        <v>0</v>
      </c>
      <c r="Y239" s="87" t="str">
        <f t="shared" si="131"/>
        <v>ok</v>
      </c>
      <c r="Z239" s="203" t="str">
        <f t="shared" si="132"/>
        <v/>
      </c>
    </row>
    <row r="240" spans="1:26" ht="12" customHeight="1" x14ac:dyDescent="0.5">
      <c r="A240" s="96" t="s">
        <v>2276</v>
      </c>
      <c r="C240" s="86" t="s">
        <v>1015</v>
      </c>
      <c r="D240" s="86" t="s">
        <v>1632</v>
      </c>
      <c r="E240" s="86" t="s">
        <v>390</v>
      </c>
      <c r="F240" s="90">
        <f>VLOOKUP(C240,'WSS-26'!$C$1:$AU$617,9,)</f>
        <v>38829579.832689613</v>
      </c>
      <c r="G240" s="89">
        <f t="shared" si="128"/>
        <v>13385591.997975213</v>
      </c>
      <c r="H240" s="89">
        <f t="shared" si="128"/>
        <v>22009.72472048394</v>
      </c>
      <c r="I240" s="89">
        <f t="shared" si="128"/>
        <v>3785566.0483530024</v>
      </c>
      <c r="J240" s="89">
        <f t="shared" si="128"/>
        <v>289980.48822938045</v>
      </c>
      <c r="K240" s="89">
        <f t="shared" si="128"/>
        <v>3833035.7141092522</v>
      </c>
      <c r="L240" s="89">
        <f t="shared" si="128"/>
        <v>173226.64138009571</v>
      </c>
      <c r="M240" s="89">
        <f t="shared" si="128"/>
        <v>4024799.0574517353</v>
      </c>
      <c r="N240" s="89">
        <f t="shared" si="128"/>
        <v>8696199.9321764223</v>
      </c>
      <c r="O240" s="89">
        <f t="shared" si="128"/>
        <v>3026592.5252296594</v>
      </c>
      <c r="P240" s="89">
        <f t="shared" si="128"/>
        <v>1305527.8405182364</v>
      </c>
      <c r="Q240" s="89">
        <f t="shared" si="129"/>
        <v>271030.58852982312</v>
      </c>
      <c r="R240" s="89">
        <f t="shared" si="129"/>
        <v>9860.9270136110117</v>
      </c>
      <c r="S240" s="89">
        <f t="shared" si="129"/>
        <v>5397.3424957123161</v>
      </c>
      <c r="T240" s="89">
        <f t="shared" si="129"/>
        <v>736.30352625702608</v>
      </c>
      <c r="U240" s="89">
        <f t="shared" si="129"/>
        <v>24.700980721846896</v>
      </c>
      <c r="V240" s="89">
        <f t="shared" si="129"/>
        <v>0</v>
      </c>
      <c r="W240" s="89">
        <f t="shared" si="129"/>
        <v>0</v>
      </c>
      <c r="X240" s="91">
        <f t="shared" si="130"/>
        <v>38829579.832689613</v>
      </c>
      <c r="Y240" s="87" t="str">
        <f t="shared" si="131"/>
        <v>ok</v>
      </c>
      <c r="Z240" s="203" t="str">
        <f t="shared" si="132"/>
        <v/>
      </c>
    </row>
    <row r="241" spans="1:26" ht="12" hidden="1" customHeight="1" x14ac:dyDescent="0.5">
      <c r="A241" s="96" t="s">
        <v>2275</v>
      </c>
      <c r="C241" s="86" t="s">
        <v>1015</v>
      </c>
      <c r="D241" s="86" t="s">
        <v>1633</v>
      </c>
      <c r="E241" s="86" t="s">
        <v>390</v>
      </c>
      <c r="F241" s="90">
        <f>VLOOKUP(C241,'WSS-26'!$C$1:$AU$617,10,)</f>
        <v>0</v>
      </c>
      <c r="G241" s="89">
        <f t="shared" si="128"/>
        <v>0</v>
      </c>
      <c r="H241" s="89">
        <f t="shared" si="128"/>
        <v>0</v>
      </c>
      <c r="I241" s="89">
        <f t="shared" si="128"/>
        <v>0</v>
      </c>
      <c r="J241" s="89">
        <f t="shared" si="128"/>
        <v>0</v>
      </c>
      <c r="K241" s="89">
        <f t="shared" si="128"/>
        <v>0</v>
      </c>
      <c r="L241" s="89">
        <f t="shared" si="128"/>
        <v>0</v>
      </c>
      <c r="M241" s="89">
        <f t="shared" si="128"/>
        <v>0</v>
      </c>
      <c r="N241" s="89">
        <f t="shared" si="128"/>
        <v>0</v>
      </c>
      <c r="O241" s="89">
        <f t="shared" si="128"/>
        <v>0</v>
      </c>
      <c r="P241" s="89">
        <f t="shared" si="128"/>
        <v>0</v>
      </c>
      <c r="Q241" s="89">
        <f t="shared" si="129"/>
        <v>0</v>
      </c>
      <c r="R241" s="89">
        <f t="shared" si="129"/>
        <v>0</v>
      </c>
      <c r="S241" s="89">
        <f t="shared" si="129"/>
        <v>0</v>
      </c>
      <c r="T241" s="89">
        <f t="shared" si="129"/>
        <v>0</v>
      </c>
      <c r="U241" s="89">
        <f t="shared" si="129"/>
        <v>0</v>
      </c>
      <c r="V241" s="89">
        <f t="shared" si="129"/>
        <v>0</v>
      </c>
      <c r="W241" s="89">
        <f t="shared" si="129"/>
        <v>0</v>
      </c>
      <c r="X241" s="91">
        <f t="shared" si="130"/>
        <v>0</v>
      </c>
      <c r="Y241" s="87" t="str">
        <f t="shared" si="131"/>
        <v>ok</v>
      </c>
      <c r="Z241" s="203" t="str">
        <f t="shared" si="132"/>
        <v/>
      </c>
    </row>
    <row r="242" spans="1:26" ht="12" hidden="1" customHeight="1" x14ac:dyDescent="0.5">
      <c r="A242" s="96" t="s">
        <v>2275</v>
      </c>
      <c r="C242" s="86" t="s">
        <v>1015</v>
      </c>
      <c r="D242" s="86" t="s">
        <v>1634</v>
      </c>
      <c r="E242" s="86" t="s">
        <v>390</v>
      </c>
      <c r="F242" s="90">
        <f>VLOOKUP(C242,'WSS-26'!$C$1:$AU$617,11,)</f>
        <v>0</v>
      </c>
      <c r="G242" s="89">
        <f t="shared" si="128"/>
        <v>0</v>
      </c>
      <c r="H242" s="89">
        <f t="shared" si="128"/>
        <v>0</v>
      </c>
      <c r="I242" s="89">
        <f t="shared" si="128"/>
        <v>0</v>
      </c>
      <c r="J242" s="89">
        <f t="shared" si="128"/>
        <v>0</v>
      </c>
      <c r="K242" s="89">
        <f t="shared" si="128"/>
        <v>0</v>
      </c>
      <c r="L242" s="89">
        <f t="shared" si="128"/>
        <v>0</v>
      </c>
      <c r="M242" s="89">
        <f t="shared" si="128"/>
        <v>0</v>
      </c>
      <c r="N242" s="89">
        <f t="shared" si="128"/>
        <v>0</v>
      </c>
      <c r="O242" s="89">
        <f t="shared" si="128"/>
        <v>0</v>
      </c>
      <c r="P242" s="89">
        <f t="shared" si="128"/>
        <v>0</v>
      </c>
      <c r="Q242" s="89">
        <f t="shared" si="129"/>
        <v>0</v>
      </c>
      <c r="R242" s="89">
        <f t="shared" si="129"/>
        <v>0</v>
      </c>
      <c r="S242" s="89">
        <f t="shared" si="129"/>
        <v>0</v>
      </c>
      <c r="T242" s="89">
        <f t="shared" si="129"/>
        <v>0</v>
      </c>
      <c r="U242" s="89">
        <f t="shared" si="129"/>
        <v>0</v>
      </c>
      <c r="V242" s="89">
        <f t="shared" si="129"/>
        <v>0</v>
      </c>
      <c r="W242" s="89">
        <f t="shared" si="129"/>
        <v>0</v>
      </c>
      <c r="X242" s="91">
        <f t="shared" si="130"/>
        <v>0</v>
      </c>
      <c r="Y242" s="87" t="str">
        <f t="shared" si="131"/>
        <v>ok</v>
      </c>
      <c r="Z242" s="203" t="str">
        <f t="shared" si="132"/>
        <v/>
      </c>
    </row>
    <row r="243" spans="1:26" ht="12" customHeight="1" x14ac:dyDescent="0.5">
      <c r="A243" s="86" t="s">
        <v>160</v>
      </c>
      <c r="D243" s="86" t="s">
        <v>405</v>
      </c>
      <c r="F243" s="89">
        <f t="shared" ref="F243:U243" si="133">SUM(F237:F242)</f>
        <v>95971017.400879622</v>
      </c>
      <c r="G243" s="89">
        <f t="shared" si="133"/>
        <v>36812093.691611707</v>
      </c>
      <c r="H243" s="89">
        <f t="shared" ref="H243" si="134">SUM(H237:H242)</f>
        <v>45934.261374699308</v>
      </c>
      <c r="I243" s="89">
        <f t="shared" si="133"/>
        <v>10101781.822575845</v>
      </c>
      <c r="J243" s="89">
        <f>SUM(J237:J242)</f>
        <v>695274.80096573825</v>
      </c>
      <c r="K243" s="89">
        <f>SUM(K237:K242)</f>
        <v>9723159.7512124479</v>
      </c>
      <c r="L243" s="89">
        <f>SUM(L237:L242)</f>
        <v>429124.14997541124</v>
      </c>
      <c r="M243" s="89">
        <f t="shared" si="133"/>
        <v>9689487.3748767413</v>
      </c>
      <c r="N243" s="89">
        <f t="shared" si="133"/>
        <v>19066038.827702641</v>
      </c>
      <c r="O243" s="89">
        <f t="shared" si="133"/>
        <v>6402131.1930554323</v>
      </c>
      <c r="P243" s="89">
        <f t="shared" si="133"/>
        <v>2703333.7584864227</v>
      </c>
      <c r="Q243" s="89">
        <f>SUM(Q237:Q242)</f>
        <v>280141.56836356752</v>
      </c>
      <c r="R243" s="89">
        <f t="shared" si="133"/>
        <v>10192.412504709413</v>
      </c>
      <c r="S243" s="89">
        <f t="shared" si="133"/>
        <v>10817.886260818936</v>
      </c>
      <c r="T243" s="89">
        <f t="shared" si="133"/>
        <v>1434.0202985380001</v>
      </c>
      <c r="U243" s="89">
        <f t="shared" si="133"/>
        <v>71.881614894655229</v>
      </c>
      <c r="V243" s="89">
        <f>SUM(V237:V242)</f>
        <v>0</v>
      </c>
      <c r="W243" s="89">
        <f>SUM(W237:W242)</f>
        <v>0</v>
      </c>
      <c r="X243" s="91">
        <f>SUM(G243:W243)</f>
        <v>95971017.400879607</v>
      </c>
      <c r="Y243" s="87" t="str">
        <f>IF(ABS(F243-X243)&lt;0.01,"ok","err")</f>
        <v>ok</v>
      </c>
      <c r="Z243" s="91" t="str">
        <f>IF(Y243="err",X243-F243,"")</f>
        <v/>
      </c>
    </row>
    <row r="244" spans="1:26" ht="12" customHeight="1" x14ac:dyDescent="0.5">
      <c r="F244" s="90"/>
      <c r="G244" s="90"/>
      <c r="H244" s="90"/>
    </row>
    <row r="245" spans="1:26" ht="12" customHeight="1" x14ac:dyDescent="0.5">
      <c r="A245" s="23" t="s">
        <v>441</v>
      </c>
      <c r="F245" s="90"/>
      <c r="G245" s="90"/>
      <c r="H245" s="90"/>
    </row>
    <row r="246" spans="1:26" ht="12" customHeight="1" x14ac:dyDescent="0.5">
      <c r="A246" s="96" t="s">
        <v>2247</v>
      </c>
      <c r="C246" s="86" t="s">
        <v>1015</v>
      </c>
      <c r="D246" s="86" t="s">
        <v>1635</v>
      </c>
      <c r="E246" s="86" t="s">
        <v>2248</v>
      </c>
      <c r="F246" s="89">
        <f>VLOOKUP(C246,'WSS-26'!$C$1:$AU$617,13,)</f>
        <v>12471453.131564695</v>
      </c>
      <c r="G246" s="89">
        <f t="shared" ref="G246:P248" si="135">IF(VLOOKUP($E246,$D$5:$W$978,3,)=0,0,(VLOOKUP($E246,$D$5:$W$978,G$1,)/VLOOKUP($E246,$D$5:$W$978,3,))*$F246)</f>
        <v>5499144.5165800583</v>
      </c>
      <c r="H246" s="89">
        <f t="shared" si="135"/>
        <v>17667.362415495107</v>
      </c>
      <c r="I246" s="89">
        <f t="shared" si="135"/>
        <v>1414857.917828663</v>
      </c>
      <c r="J246" s="89">
        <f t="shared" si="135"/>
        <v>144802.63146693728</v>
      </c>
      <c r="K246" s="89">
        <f t="shared" si="135"/>
        <v>1262176.8695354904</v>
      </c>
      <c r="L246" s="89">
        <f t="shared" si="135"/>
        <v>54236.770293841146</v>
      </c>
      <c r="M246" s="89">
        <f t="shared" si="135"/>
        <v>1116603.5238608962</v>
      </c>
      <c r="N246" s="89">
        <f t="shared" si="135"/>
        <v>1818539.419455963</v>
      </c>
      <c r="O246" s="89">
        <f t="shared" si="135"/>
        <v>630630.15712209058</v>
      </c>
      <c r="P246" s="89">
        <f t="shared" si="135"/>
        <v>422570.57672495733</v>
      </c>
      <c r="Q246" s="89">
        <f t="shared" ref="Q246:W248" si="136">IF(VLOOKUP($E246,$D$5:$W$978,3,)=0,0,(VLOOKUP($E246,$D$5:$W$978,Q$1,)/VLOOKUP($E246,$D$5:$W$978,3,))*$F246)</f>
        <v>85110.363724455907</v>
      </c>
      <c r="R246" s="89">
        <f t="shared" si="136"/>
        <v>3096.5770127459546</v>
      </c>
      <c r="S246" s="89">
        <f t="shared" si="136"/>
        <v>834.29348064585145</v>
      </c>
      <c r="T246" s="89">
        <f t="shared" si="136"/>
        <v>1174.8212145405084</v>
      </c>
      <c r="U246" s="89">
        <f t="shared" si="136"/>
        <v>7.3308479157320647</v>
      </c>
      <c r="V246" s="89">
        <f t="shared" si="136"/>
        <v>0</v>
      </c>
      <c r="W246" s="89">
        <f t="shared" si="136"/>
        <v>0</v>
      </c>
      <c r="X246" s="91">
        <f>SUM(G246:W246)</f>
        <v>12471453.131564694</v>
      </c>
      <c r="Y246" s="87" t="str">
        <f>IF(ABS(F246-X246)&lt;0.01,"ok","err")</f>
        <v>ok</v>
      </c>
      <c r="Z246" s="203" t="str">
        <f>IF(Y246="err",X246-F246,"")</f>
        <v/>
      </c>
    </row>
    <row r="247" spans="1:26" ht="12" hidden="1" customHeight="1" x14ac:dyDescent="0.5">
      <c r="A247" s="96" t="s">
        <v>2246</v>
      </c>
      <c r="C247" s="86" t="s">
        <v>1015</v>
      </c>
      <c r="D247" s="86" t="s">
        <v>1636</v>
      </c>
      <c r="E247" s="86" t="s">
        <v>2248</v>
      </c>
      <c r="F247" s="90">
        <f>VLOOKUP(C247,'WSS-26'!$C$1:$AU$617,14,)</f>
        <v>0</v>
      </c>
      <c r="G247" s="89">
        <f t="shared" si="135"/>
        <v>0</v>
      </c>
      <c r="H247" s="89">
        <f t="shared" si="135"/>
        <v>0</v>
      </c>
      <c r="I247" s="89">
        <f t="shared" si="135"/>
        <v>0</v>
      </c>
      <c r="J247" s="89">
        <f t="shared" si="135"/>
        <v>0</v>
      </c>
      <c r="K247" s="89">
        <f t="shared" si="135"/>
        <v>0</v>
      </c>
      <c r="L247" s="89">
        <f t="shared" si="135"/>
        <v>0</v>
      </c>
      <c r="M247" s="89">
        <f t="shared" si="135"/>
        <v>0</v>
      </c>
      <c r="N247" s="89">
        <f t="shared" si="135"/>
        <v>0</v>
      </c>
      <c r="O247" s="89">
        <f t="shared" si="135"/>
        <v>0</v>
      </c>
      <c r="P247" s="89">
        <f t="shared" si="135"/>
        <v>0</v>
      </c>
      <c r="Q247" s="89">
        <f t="shared" si="136"/>
        <v>0</v>
      </c>
      <c r="R247" s="89">
        <f t="shared" si="136"/>
        <v>0</v>
      </c>
      <c r="S247" s="89">
        <f t="shared" si="136"/>
        <v>0</v>
      </c>
      <c r="T247" s="89">
        <f t="shared" si="136"/>
        <v>0</v>
      </c>
      <c r="U247" s="89">
        <f t="shared" si="136"/>
        <v>0</v>
      </c>
      <c r="V247" s="89">
        <f t="shared" si="136"/>
        <v>0</v>
      </c>
      <c r="W247" s="89">
        <f t="shared" si="136"/>
        <v>0</v>
      </c>
      <c r="X247" s="91">
        <f>SUM(G247:W247)</f>
        <v>0</v>
      </c>
      <c r="Y247" s="87" t="str">
        <f>IF(ABS(F247-X247)&lt;0.01,"ok","err")</f>
        <v>ok</v>
      </c>
      <c r="Z247" s="203" t="str">
        <f>IF(Y247="err",X247-F247,"")</f>
        <v/>
      </c>
    </row>
    <row r="248" spans="1:26" ht="12" hidden="1" customHeight="1" x14ac:dyDescent="0.5">
      <c r="A248" s="96" t="s">
        <v>2246</v>
      </c>
      <c r="C248" s="86" t="s">
        <v>1015</v>
      </c>
      <c r="D248" s="86" t="s">
        <v>1637</v>
      </c>
      <c r="E248" s="86" t="s">
        <v>2248</v>
      </c>
      <c r="F248" s="90">
        <f>VLOOKUP(C248,'WSS-26'!$C$1:$AU$617,15,)</f>
        <v>0</v>
      </c>
      <c r="G248" s="89">
        <f t="shared" si="135"/>
        <v>0</v>
      </c>
      <c r="H248" s="89">
        <f t="shared" si="135"/>
        <v>0</v>
      </c>
      <c r="I248" s="89">
        <f t="shared" si="135"/>
        <v>0</v>
      </c>
      <c r="J248" s="89">
        <f t="shared" si="135"/>
        <v>0</v>
      </c>
      <c r="K248" s="89">
        <f t="shared" si="135"/>
        <v>0</v>
      </c>
      <c r="L248" s="89">
        <f t="shared" si="135"/>
        <v>0</v>
      </c>
      <c r="M248" s="89">
        <f t="shared" si="135"/>
        <v>0</v>
      </c>
      <c r="N248" s="89">
        <f t="shared" si="135"/>
        <v>0</v>
      </c>
      <c r="O248" s="89">
        <f t="shared" si="135"/>
        <v>0</v>
      </c>
      <c r="P248" s="89">
        <f t="shared" si="135"/>
        <v>0</v>
      </c>
      <c r="Q248" s="89">
        <f t="shared" si="136"/>
        <v>0</v>
      </c>
      <c r="R248" s="89">
        <f t="shared" si="136"/>
        <v>0</v>
      </c>
      <c r="S248" s="89">
        <f t="shared" si="136"/>
        <v>0</v>
      </c>
      <c r="T248" s="89">
        <f t="shared" si="136"/>
        <v>0</v>
      </c>
      <c r="U248" s="89">
        <f t="shared" si="136"/>
        <v>0</v>
      </c>
      <c r="V248" s="89">
        <f t="shared" si="136"/>
        <v>0</v>
      </c>
      <c r="W248" s="89">
        <f t="shared" si="136"/>
        <v>0</v>
      </c>
      <c r="X248" s="91">
        <f>SUM(G248:W248)</f>
        <v>0</v>
      </c>
      <c r="Y248" s="87" t="str">
        <f>IF(ABS(F248-X248)&lt;0.01,"ok","err")</f>
        <v>ok</v>
      </c>
      <c r="Z248" s="203" t="str">
        <f>IF(Y248="err",X248-F248,"")</f>
        <v/>
      </c>
    </row>
    <row r="249" spans="1:26" ht="12" hidden="1" customHeight="1" x14ac:dyDescent="0.5">
      <c r="A249" s="86" t="s">
        <v>443</v>
      </c>
      <c r="D249" s="86" t="s">
        <v>1638</v>
      </c>
      <c r="F249" s="89">
        <f t="shared" ref="F249:U249" si="137">SUM(F246:F248)</f>
        <v>12471453.131564695</v>
      </c>
      <c r="G249" s="89">
        <f t="shared" si="137"/>
        <v>5499144.5165800583</v>
      </c>
      <c r="H249" s="89">
        <f t="shared" ref="H249" si="138">SUM(H246:H248)</f>
        <v>17667.362415495107</v>
      </c>
      <c r="I249" s="89">
        <f t="shared" si="137"/>
        <v>1414857.917828663</v>
      </c>
      <c r="J249" s="89">
        <f>SUM(J246:J248)</f>
        <v>144802.63146693728</v>
      </c>
      <c r="K249" s="89">
        <f>SUM(K246:K248)</f>
        <v>1262176.8695354904</v>
      </c>
      <c r="L249" s="89">
        <f>SUM(L246:L248)</f>
        <v>54236.770293841146</v>
      </c>
      <c r="M249" s="89">
        <f t="shared" si="137"/>
        <v>1116603.5238608962</v>
      </c>
      <c r="N249" s="89">
        <f t="shared" si="137"/>
        <v>1818539.419455963</v>
      </c>
      <c r="O249" s="89">
        <f t="shared" si="137"/>
        <v>630630.15712209058</v>
      </c>
      <c r="P249" s="89">
        <f t="shared" si="137"/>
        <v>422570.57672495733</v>
      </c>
      <c r="Q249" s="89">
        <f>SUM(Q246:Q248)</f>
        <v>85110.363724455907</v>
      </c>
      <c r="R249" s="89">
        <f t="shared" si="137"/>
        <v>3096.5770127459546</v>
      </c>
      <c r="S249" s="89">
        <f t="shared" si="137"/>
        <v>834.29348064585145</v>
      </c>
      <c r="T249" s="89">
        <f t="shared" si="137"/>
        <v>1174.8212145405084</v>
      </c>
      <c r="U249" s="89">
        <f t="shared" si="137"/>
        <v>7.3308479157320647</v>
      </c>
      <c r="V249" s="89">
        <f>SUM(V246:V248)</f>
        <v>0</v>
      </c>
      <c r="W249" s="89">
        <f>SUM(W246:W248)</f>
        <v>0</v>
      </c>
      <c r="X249" s="91">
        <f>SUM(G249:W249)</f>
        <v>12471453.131564694</v>
      </c>
      <c r="Y249" s="87" t="str">
        <f>IF(ABS(F249-X249)&lt;0.01,"ok","err")</f>
        <v>ok</v>
      </c>
      <c r="Z249" s="91" t="str">
        <f>IF(Y249="err",X249-F249,"")</f>
        <v/>
      </c>
    </row>
    <row r="250" spans="1:26" ht="12" customHeight="1" x14ac:dyDescent="0.5">
      <c r="F250" s="90"/>
      <c r="G250" s="90"/>
      <c r="H250" s="90"/>
    </row>
    <row r="251" spans="1:26" ht="12" customHeight="1" x14ac:dyDescent="0.5">
      <c r="A251" s="23" t="s">
        <v>1627</v>
      </c>
      <c r="F251" s="90"/>
      <c r="G251" s="90"/>
      <c r="H251" s="90"/>
    </row>
    <row r="252" spans="1:26" ht="12" customHeight="1" x14ac:dyDescent="0.5">
      <c r="A252" s="96" t="s">
        <v>145</v>
      </c>
      <c r="C252" s="86" t="s">
        <v>1015</v>
      </c>
      <c r="D252" s="86" t="s">
        <v>1639</v>
      </c>
      <c r="E252" s="86" t="s">
        <v>2252</v>
      </c>
      <c r="F252" s="89">
        <f>VLOOKUP(C252,'WSS-26'!$C$1:$AU$617,17,)</f>
        <v>0</v>
      </c>
      <c r="G252" s="89">
        <f t="shared" ref="G252:W252" si="139">IF(VLOOKUP($E252,$D$5:$W$978,3,)=0,0,(VLOOKUP($E252,$D$5:$W$978,G$1,)/VLOOKUP($E252,$D$5:$W$978,3,))*$F252)</f>
        <v>0</v>
      </c>
      <c r="H252" s="89">
        <f t="shared" si="139"/>
        <v>0</v>
      </c>
      <c r="I252" s="89">
        <f t="shared" si="139"/>
        <v>0</v>
      </c>
      <c r="J252" s="89">
        <f t="shared" si="139"/>
        <v>0</v>
      </c>
      <c r="K252" s="89">
        <f t="shared" si="139"/>
        <v>0</v>
      </c>
      <c r="L252" s="89">
        <f t="shared" si="139"/>
        <v>0</v>
      </c>
      <c r="M252" s="89">
        <f t="shared" si="139"/>
        <v>0</v>
      </c>
      <c r="N252" s="89">
        <f t="shared" si="139"/>
        <v>0</v>
      </c>
      <c r="O252" s="89">
        <f t="shared" si="139"/>
        <v>0</v>
      </c>
      <c r="P252" s="89">
        <f t="shared" si="139"/>
        <v>0</v>
      </c>
      <c r="Q252" s="89">
        <f t="shared" si="139"/>
        <v>0</v>
      </c>
      <c r="R252" s="89">
        <f t="shared" si="139"/>
        <v>0</v>
      </c>
      <c r="S252" s="89">
        <f t="shared" si="139"/>
        <v>0</v>
      </c>
      <c r="T252" s="89">
        <f t="shared" si="139"/>
        <v>0</v>
      </c>
      <c r="U252" s="89">
        <f t="shared" si="139"/>
        <v>0</v>
      </c>
      <c r="V252" s="89">
        <f t="shared" si="139"/>
        <v>0</v>
      </c>
      <c r="W252" s="89">
        <f t="shared" si="139"/>
        <v>0</v>
      </c>
      <c r="X252" s="91">
        <f>SUM(G252:W252)</f>
        <v>0</v>
      </c>
      <c r="Y252" s="87" t="str">
        <f>IF(ABS(F252-X252)&lt;0.01,"ok","err")</f>
        <v>ok</v>
      </c>
      <c r="Z252" s="203" t="str">
        <f>IF(Y252="err",X252-F252,"")</f>
        <v/>
      </c>
    </row>
    <row r="253" spans="1:26" ht="12" customHeight="1" x14ac:dyDescent="0.5">
      <c r="F253" s="90"/>
    </row>
    <row r="254" spans="1:26" ht="12" customHeight="1" x14ac:dyDescent="0.5">
      <c r="A254" s="23" t="s">
        <v>1628</v>
      </c>
      <c r="F254" s="90"/>
      <c r="G254" s="90"/>
      <c r="H254" s="90"/>
    </row>
    <row r="255" spans="1:26" ht="12" customHeight="1" x14ac:dyDescent="0.5">
      <c r="A255" s="96" t="s">
        <v>147</v>
      </c>
      <c r="C255" s="86" t="s">
        <v>1015</v>
      </c>
      <c r="D255" s="86" t="s">
        <v>1640</v>
      </c>
      <c r="E255" s="86" t="s">
        <v>2252</v>
      </c>
      <c r="F255" s="89">
        <f>VLOOKUP(C255,'WSS-26'!$C$1:$AU$617,18,)</f>
        <v>5205663.0425945539</v>
      </c>
      <c r="G255" s="89">
        <f t="shared" ref="G255:W255" si="140">IF(VLOOKUP($E255,$D$5:$W$978,3,)=0,0,(VLOOKUP($E255,$D$5:$W$978,G$1,)/VLOOKUP($E255,$D$5:$W$978,3,))*$F255)</f>
        <v>2507099.3685136423</v>
      </c>
      <c r="H255" s="89">
        <f t="shared" si="140"/>
        <v>8054.6770541567748</v>
      </c>
      <c r="I255" s="89">
        <f t="shared" si="140"/>
        <v>645043.8575727375</v>
      </c>
      <c r="J255" s="89">
        <f t="shared" si="140"/>
        <v>66016.556723561953</v>
      </c>
      <c r="K255" s="89">
        <f t="shared" si="140"/>
        <v>575435.47419497708</v>
      </c>
      <c r="L255" s="89">
        <f t="shared" si="140"/>
        <v>24726.932006230178</v>
      </c>
      <c r="M255" s="89">
        <f t="shared" si="140"/>
        <v>509067.543344495</v>
      </c>
      <c r="N255" s="89">
        <f t="shared" si="140"/>
        <v>829085.14522375795</v>
      </c>
      <c r="O255" s="89">
        <f t="shared" si="140"/>
        <v>0</v>
      </c>
      <c r="P255" s="89">
        <f t="shared" si="140"/>
        <v>0</v>
      </c>
      <c r="Q255" s="89">
        <f t="shared" si="140"/>
        <v>38802.424359680554</v>
      </c>
      <c r="R255" s="89">
        <f t="shared" si="140"/>
        <v>1411.7516369686812</v>
      </c>
      <c r="S255" s="89">
        <f t="shared" si="140"/>
        <v>380.36037281360143</v>
      </c>
      <c r="T255" s="89">
        <f t="shared" si="140"/>
        <v>535.60940546488712</v>
      </c>
      <c r="U255" s="89">
        <f t="shared" si="140"/>
        <v>3.3421860663577343</v>
      </c>
      <c r="V255" s="89">
        <f t="shared" si="140"/>
        <v>0</v>
      </c>
      <c r="W255" s="89">
        <f t="shared" si="140"/>
        <v>0</v>
      </c>
      <c r="X255" s="91">
        <f>SUM(G255:W255)</f>
        <v>5205663.042594552</v>
      </c>
      <c r="Y255" s="87" t="str">
        <f>IF(ABS(F255-X255)&lt;0.01,"ok","err")</f>
        <v>ok</v>
      </c>
      <c r="Z255" s="203" t="str">
        <f>IF(Y255="err",X255-F255,"")</f>
        <v/>
      </c>
    </row>
    <row r="256" spans="1:26" ht="12" customHeight="1" x14ac:dyDescent="0.5">
      <c r="F256" s="90"/>
    </row>
    <row r="257" spans="1:26" ht="12" customHeight="1" x14ac:dyDescent="0.5">
      <c r="A257" s="23" t="s">
        <v>146</v>
      </c>
      <c r="F257" s="90"/>
    </row>
    <row r="258" spans="1:26" ht="12" customHeight="1" x14ac:dyDescent="0.5">
      <c r="A258" s="96" t="s">
        <v>791</v>
      </c>
      <c r="C258" s="86" t="s">
        <v>1015</v>
      </c>
      <c r="D258" s="86" t="s">
        <v>1641</v>
      </c>
      <c r="E258" s="86" t="s">
        <v>2252</v>
      </c>
      <c r="F258" s="89">
        <f>VLOOKUP(C258,'WSS-26'!$C$1:$AU$617,19,)</f>
        <v>0</v>
      </c>
      <c r="G258" s="89">
        <f t="shared" ref="G258:P262" si="141">IF(VLOOKUP($E258,$D$5:$W$978,3,)=0,0,(VLOOKUP($E258,$D$5:$W$978,G$1,)/VLOOKUP($E258,$D$5:$W$978,3,))*$F258)</f>
        <v>0</v>
      </c>
      <c r="H258" s="89">
        <f t="shared" si="141"/>
        <v>0</v>
      </c>
      <c r="I258" s="89">
        <f t="shared" si="141"/>
        <v>0</v>
      </c>
      <c r="J258" s="89">
        <f t="shared" si="141"/>
        <v>0</v>
      </c>
      <c r="K258" s="89">
        <f t="shared" si="141"/>
        <v>0</v>
      </c>
      <c r="L258" s="89">
        <f t="shared" si="141"/>
        <v>0</v>
      </c>
      <c r="M258" s="89">
        <f t="shared" si="141"/>
        <v>0</v>
      </c>
      <c r="N258" s="89">
        <f t="shared" si="141"/>
        <v>0</v>
      </c>
      <c r="O258" s="89">
        <f t="shared" si="141"/>
        <v>0</v>
      </c>
      <c r="P258" s="89">
        <f t="shared" si="141"/>
        <v>0</v>
      </c>
      <c r="Q258" s="89">
        <f t="shared" ref="Q258:W262" si="142">IF(VLOOKUP($E258,$D$5:$W$978,3,)=0,0,(VLOOKUP($E258,$D$5:$W$978,Q$1,)/VLOOKUP($E258,$D$5:$W$978,3,))*$F258)</f>
        <v>0</v>
      </c>
      <c r="R258" s="89">
        <f t="shared" si="142"/>
        <v>0</v>
      </c>
      <c r="S258" s="89">
        <f t="shared" si="142"/>
        <v>0</v>
      </c>
      <c r="T258" s="89">
        <f t="shared" si="142"/>
        <v>0</v>
      </c>
      <c r="U258" s="89">
        <f t="shared" si="142"/>
        <v>0</v>
      </c>
      <c r="V258" s="89">
        <f t="shared" si="142"/>
        <v>0</v>
      </c>
      <c r="W258" s="89">
        <f t="shared" si="142"/>
        <v>0</v>
      </c>
      <c r="X258" s="91">
        <f t="shared" ref="X258:X263" si="143">SUM(G258:W258)</f>
        <v>0</v>
      </c>
      <c r="Y258" s="87" t="str">
        <f t="shared" ref="Y258:Y263" si="144">IF(ABS(F258-X258)&lt;0.01,"ok","err")</f>
        <v>ok</v>
      </c>
      <c r="Z258" s="203" t="str">
        <f t="shared" ref="Z258:Z263" si="145">IF(Y258="err",X258-F258,"")</f>
        <v/>
      </c>
    </row>
    <row r="259" spans="1:26" ht="12" customHeight="1" x14ac:dyDescent="0.5">
      <c r="A259" s="96" t="s">
        <v>792</v>
      </c>
      <c r="C259" s="86" t="s">
        <v>1015</v>
      </c>
      <c r="D259" s="86" t="s">
        <v>1642</v>
      </c>
      <c r="E259" s="86" t="s">
        <v>2252</v>
      </c>
      <c r="F259" s="90">
        <f>VLOOKUP(C259,'WSS-26'!$C$1:$AU$617,20,)</f>
        <v>4140341.4187667705</v>
      </c>
      <c r="G259" s="89">
        <f t="shared" si="141"/>
        <v>1994029.8231918274</v>
      </c>
      <c r="H259" s="89">
        <f t="shared" si="141"/>
        <v>6406.3141907652334</v>
      </c>
      <c r="I259" s="89">
        <f t="shared" si="141"/>
        <v>513037.77800769726</v>
      </c>
      <c r="J259" s="89">
        <f t="shared" si="141"/>
        <v>52506.488009392669</v>
      </c>
      <c r="K259" s="89">
        <f t="shared" si="141"/>
        <v>457674.51871984778</v>
      </c>
      <c r="L259" s="89">
        <f t="shared" si="141"/>
        <v>19666.647630999632</v>
      </c>
      <c r="M259" s="89">
        <f t="shared" si="141"/>
        <v>404888.56412968202</v>
      </c>
      <c r="N259" s="89">
        <f t="shared" si="141"/>
        <v>659415.62839674286</v>
      </c>
      <c r="O259" s="89">
        <f t="shared" si="141"/>
        <v>0</v>
      </c>
      <c r="P259" s="89">
        <f t="shared" si="141"/>
        <v>0</v>
      </c>
      <c r="Q259" s="89">
        <f t="shared" si="142"/>
        <v>30861.637299689282</v>
      </c>
      <c r="R259" s="89">
        <f t="shared" si="142"/>
        <v>1122.8413609805884</v>
      </c>
      <c r="S259" s="89">
        <f t="shared" si="142"/>
        <v>302.52088787383701</v>
      </c>
      <c r="T259" s="89">
        <f t="shared" si="142"/>
        <v>425.99872246476417</v>
      </c>
      <c r="U259" s="89">
        <f t="shared" si="142"/>
        <v>2.6582188064307024</v>
      </c>
      <c r="V259" s="89">
        <f t="shared" si="142"/>
        <v>0</v>
      </c>
      <c r="W259" s="89">
        <f t="shared" si="142"/>
        <v>0</v>
      </c>
      <c r="X259" s="91">
        <f t="shared" si="143"/>
        <v>4140341.4187667705</v>
      </c>
      <c r="Y259" s="87" t="str">
        <f t="shared" si="144"/>
        <v>ok</v>
      </c>
      <c r="Z259" s="203" t="str">
        <f t="shared" si="145"/>
        <v/>
      </c>
    </row>
    <row r="260" spans="1:26" ht="12" customHeight="1" x14ac:dyDescent="0.5">
      <c r="A260" s="96" t="s">
        <v>793</v>
      </c>
      <c r="C260" s="86" t="s">
        <v>1015</v>
      </c>
      <c r="D260" s="86" t="s">
        <v>1643</v>
      </c>
      <c r="E260" s="86" t="s">
        <v>904</v>
      </c>
      <c r="F260" s="90">
        <f>VLOOKUP(C260,'WSS-26'!$C$1:$AU$617,21,)</f>
        <v>8047851.3840455906</v>
      </c>
      <c r="G260" s="89">
        <f t="shared" si="141"/>
        <v>6455515.4580754265</v>
      </c>
      <c r="H260" s="89">
        <f t="shared" si="141"/>
        <v>9441.4778171337875</v>
      </c>
      <c r="I260" s="89">
        <f t="shared" si="141"/>
        <v>1209912.22850403</v>
      </c>
      <c r="J260" s="89">
        <f t="shared" si="141"/>
        <v>6196.8832731652101</v>
      </c>
      <c r="K260" s="89">
        <f t="shared" si="141"/>
        <v>64906.506170110144</v>
      </c>
      <c r="L260" s="89">
        <f t="shared" si="141"/>
        <v>2981.5193106738275</v>
      </c>
      <c r="M260" s="89">
        <f t="shared" si="141"/>
        <v>11195.312705765451</v>
      </c>
      <c r="N260" s="89">
        <f t="shared" si="141"/>
        <v>3741.5144290808817</v>
      </c>
      <c r="O260" s="89">
        <f t="shared" si="141"/>
        <v>0</v>
      </c>
      <c r="P260" s="89">
        <f t="shared" si="141"/>
        <v>0</v>
      </c>
      <c r="Q260" s="89">
        <f t="shared" si="142"/>
        <v>281417.42317168898</v>
      </c>
      <c r="R260" s="89">
        <f t="shared" si="142"/>
        <v>175.38348886316635</v>
      </c>
      <c r="S260" s="89">
        <f t="shared" si="142"/>
        <v>2163.063029312385</v>
      </c>
      <c r="T260" s="89">
        <f t="shared" si="142"/>
        <v>58.461162954388776</v>
      </c>
      <c r="U260" s="89">
        <f t="shared" si="142"/>
        <v>146.15290738597193</v>
      </c>
      <c r="V260" s="89">
        <f t="shared" si="142"/>
        <v>0</v>
      </c>
      <c r="W260" s="89">
        <f t="shared" si="142"/>
        <v>0</v>
      </c>
      <c r="X260" s="91">
        <f t="shared" si="143"/>
        <v>8047851.3840455916</v>
      </c>
      <c r="Y260" s="87" t="str">
        <f t="shared" si="144"/>
        <v>ok</v>
      </c>
      <c r="Z260" s="203" t="str">
        <f t="shared" si="145"/>
        <v/>
      </c>
    </row>
    <row r="261" spans="1:26" ht="12" customHeight="1" x14ac:dyDescent="0.5">
      <c r="A261" s="96" t="s">
        <v>794</v>
      </c>
      <c r="C261" s="86" t="s">
        <v>1015</v>
      </c>
      <c r="D261" s="86" t="s">
        <v>1644</v>
      </c>
      <c r="E261" s="86" t="s">
        <v>733</v>
      </c>
      <c r="F261" s="90">
        <f>VLOOKUP(C261,'WSS-26'!$C$1:$AU$617,22,)</f>
        <v>1863918.3649784985</v>
      </c>
      <c r="G261" s="89">
        <f t="shared" si="141"/>
        <v>1539373.5410562514</v>
      </c>
      <c r="H261" s="89">
        <f t="shared" si="141"/>
        <v>4629.0181305753949</v>
      </c>
      <c r="I261" s="89">
        <f t="shared" si="141"/>
        <v>287832.77501609584</v>
      </c>
      <c r="J261" s="89">
        <f t="shared" si="141"/>
        <v>20863.637951229994</v>
      </c>
      <c r="K261" s="89">
        <f t="shared" si="141"/>
        <v>0</v>
      </c>
      <c r="L261" s="89">
        <f t="shared" si="141"/>
        <v>0</v>
      </c>
      <c r="M261" s="89">
        <f t="shared" si="141"/>
        <v>0</v>
      </c>
      <c r="N261" s="89">
        <f t="shared" si="141"/>
        <v>0</v>
      </c>
      <c r="O261" s="89">
        <f t="shared" si="141"/>
        <v>0</v>
      </c>
      <c r="P261" s="89">
        <f t="shared" si="141"/>
        <v>0</v>
      </c>
      <c r="Q261" s="89">
        <f t="shared" si="142"/>
        <v>10723.211579461642</v>
      </c>
      <c r="R261" s="89">
        <f t="shared" si="142"/>
        <v>390.14344466055724</v>
      </c>
      <c r="S261" s="89">
        <f t="shared" si="142"/>
        <v>105.11417318453181</v>
      </c>
      <c r="T261" s="89">
        <f t="shared" si="142"/>
        <v>0</v>
      </c>
      <c r="U261" s="89">
        <f t="shared" si="142"/>
        <v>0.9236270392610505</v>
      </c>
      <c r="V261" s="89">
        <f t="shared" si="142"/>
        <v>0</v>
      </c>
      <c r="W261" s="89">
        <f t="shared" si="142"/>
        <v>0</v>
      </c>
      <c r="X261" s="91">
        <f t="shared" si="143"/>
        <v>1863918.3649784983</v>
      </c>
      <c r="Y261" s="87" t="str">
        <f t="shared" si="144"/>
        <v>ok</v>
      </c>
      <c r="Z261" s="203" t="str">
        <f t="shared" si="145"/>
        <v/>
      </c>
    </row>
    <row r="262" spans="1:26" ht="12" customHeight="1" x14ac:dyDescent="0.5">
      <c r="A262" s="96" t="s">
        <v>795</v>
      </c>
      <c r="C262" s="86" t="s">
        <v>1015</v>
      </c>
      <c r="D262" s="86" t="s">
        <v>1645</v>
      </c>
      <c r="E262" s="86" t="s">
        <v>903</v>
      </c>
      <c r="F262" s="90">
        <f>VLOOKUP(C262,'WSS-26'!$C$1:$AU$617,23,)</f>
        <v>3762788.2294974369</v>
      </c>
      <c r="G262" s="89">
        <f t="shared" si="141"/>
        <v>3020812.0704927058</v>
      </c>
      <c r="H262" s="89">
        <f t="shared" si="141"/>
        <v>4418.0716998530397</v>
      </c>
      <c r="I262" s="89">
        <f t="shared" si="141"/>
        <v>566169.73312791646</v>
      </c>
      <c r="J262" s="89">
        <f t="shared" si="141"/>
        <v>2899.7869980459573</v>
      </c>
      <c r="K262" s="89">
        <f t="shared" si="141"/>
        <v>30372.533156420042</v>
      </c>
      <c r="L262" s="89">
        <f t="shared" si="141"/>
        <v>0</v>
      </c>
      <c r="M262" s="89">
        <f t="shared" si="141"/>
        <v>5238.766133262272</v>
      </c>
      <c r="N262" s="89">
        <f t="shared" si="141"/>
        <v>0</v>
      </c>
      <c r="O262" s="89">
        <f t="shared" si="141"/>
        <v>0</v>
      </c>
      <c r="P262" s="89">
        <f t="shared" si="141"/>
        <v>0</v>
      </c>
      <c r="Q262" s="89">
        <f t="shared" si="142"/>
        <v>131687.26096078989</v>
      </c>
      <c r="R262" s="89">
        <f t="shared" si="142"/>
        <v>82.069443340923328</v>
      </c>
      <c r="S262" s="89">
        <f t="shared" si="142"/>
        <v>1012.1898012047211</v>
      </c>
      <c r="T262" s="89">
        <f t="shared" si="142"/>
        <v>27.356481113641109</v>
      </c>
      <c r="U262" s="89">
        <f t="shared" si="142"/>
        <v>68.391202784102774</v>
      </c>
      <c r="V262" s="89">
        <f t="shared" si="142"/>
        <v>0</v>
      </c>
      <c r="W262" s="89">
        <f t="shared" si="142"/>
        <v>0</v>
      </c>
      <c r="X262" s="91">
        <f t="shared" si="143"/>
        <v>3762788.2294974374</v>
      </c>
      <c r="Y262" s="87" t="str">
        <f t="shared" si="144"/>
        <v>ok</v>
      </c>
      <c r="Z262" s="203" t="str">
        <f t="shared" si="145"/>
        <v/>
      </c>
    </row>
    <row r="263" spans="1:26" ht="12" customHeight="1" x14ac:dyDescent="0.5">
      <c r="A263" s="86" t="s">
        <v>151</v>
      </c>
      <c r="D263" s="86" t="s">
        <v>1646</v>
      </c>
      <c r="F263" s="89">
        <f>SUM(F258:F262)</f>
        <v>17814899.397288296</v>
      </c>
      <c r="G263" s="89">
        <f t="shared" ref="G263:U263" si="146">SUM(G258:G262)</f>
        <v>13009730.89281621</v>
      </c>
      <c r="H263" s="89">
        <f t="shared" ref="H263" si="147">SUM(H258:H262)</f>
        <v>24894.881838327456</v>
      </c>
      <c r="I263" s="89">
        <f t="shared" si="146"/>
        <v>2576952.51465574</v>
      </c>
      <c r="J263" s="89">
        <f>SUM(J258:J262)</f>
        <v>82466.796231833825</v>
      </c>
      <c r="K263" s="89">
        <f>SUM(K258:K262)</f>
        <v>552953.55804637796</v>
      </c>
      <c r="L263" s="89">
        <f>SUM(L258:L262)</f>
        <v>22648.166941673458</v>
      </c>
      <c r="M263" s="89">
        <f t="shared" si="146"/>
        <v>421322.64296870976</v>
      </c>
      <c r="N263" s="89">
        <f t="shared" si="146"/>
        <v>663157.14282582374</v>
      </c>
      <c r="O263" s="89">
        <f t="shared" si="146"/>
        <v>0</v>
      </c>
      <c r="P263" s="89">
        <f t="shared" si="146"/>
        <v>0</v>
      </c>
      <c r="Q263" s="89">
        <f>SUM(Q258:Q262)</f>
        <v>454689.53301162983</v>
      </c>
      <c r="R263" s="89">
        <f t="shared" si="146"/>
        <v>1770.4377378452352</v>
      </c>
      <c r="S263" s="89">
        <f t="shared" si="146"/>
        <v>3582.8878915754749</v>
      </c>
      <c r="T263" s="89">
        <f t="shared" si="146"/>
        <v>511.81636653279406</v>
      </c>
      <c r="U263" s="89">
        <f t="shared" si="146"/>
        <v>218.12595601576646</v>
      </c>
      <c r="V263" s="89">
        <f>SUM(V258:V262)</f>
        <v>0</v>
      </c>
      <c r="W263" s="89">
        <f>SUM(W258:W262)</f>
        <v>0</v>
      </c>
      <c r="X263" s="91">
        <f t="shared" si="143"/>
        <v>17814899.397288296</v>
      </c>
      <c r="Y263" s="87" t="str">
        <f t="shared" si="144"/>
        <v>ok</v>
      </c>
      <c r="Z263" s="91" t="str">
        <f t="shared" si="145"/>
        <v/>
      </c>
    </row>
    <row r="264" spans="1:26" ht="12" customHeight="1" x14ac:dyDescent="0.5">
      <c r="F264" s="90"/>
    </row>
    <row r="265" spans="1:26" ht="12" customHeight="1" x14ac:dyDescent="0.5">
      <c r="A265" s="23" t="s">
        <v>790</v>
      </c>
      <c r="F265" s="90"/>
    </row>
    <row r="266" spans="1:26" ht="12" customHeight="1" x14ac:dyDescent="0.5">
      <c r="A266" s="96" t="s">
        <v>389</v>
      </c>
      <c r="C266" s="86" t="s">
        <v>1015</v>
      </c>
      <c r="D266" s="86" t="s">
        <v>1647</v>
      </c>
      <c r="E266" s="86" t="s">
        <v>2177</v>
      </c>
      <c r="F266" s="89">
        <f>VLOOKUP(C266,'WSS-26'!$C$1:$AU$617,24,)</f>
        <v>2717097.7355189216</v>
      </c>
      <c r="G266" s="89">
        <f t="shared" ref="G266:P267" si="148">IF(VLOOKUP($E266,$D$5:$W$978,3,)=0,0,(VLOOKUP($E266,$D$5:$W$978,G$1,)/VLOOKUP($E266,$D$5:$W$978,3,))*$F266)</f>
        <v>1852096.7700624969</v>
      </c>
      <c r="H266" s="89">
        <f t="shared" si="148"/>
        <v>5569.4016426427197</v>
      </c>
      <c r="I266" s="89">
        <f t="shared" si="148"/>
        <v>346305.90867480444</v>
      </c>
      <c r="J266" s="89">
        <f t="shared" si="148"/>
        <v>25102.079144943793</v>
      </c>
      <c r="K266" s="89">
        <f t="shared" si="148"/>
        <v>255859.34722551526</v>
      </c>
      <c r="L266" s="89">
        <f t="shared" si="148"/>
        <v>0</v>
      </c>
      <c r="M266" s="89">
        <f t="shared" si="148"/>
        <v>218362.35034372509</v>
      </c>
      <c r="N266" s="89">
        <f t="shared" si="148"/>
        <v>0</v>
      </c>
      <c r="O266" s="89">
        <f t="shared" si="148"/>
        <v>0</v>
      </c>
      <c r="P266" s="89">
        <f t="shared" si="148"/>
        <v>0</v>
      </c>
      <c r="Q266" s="89">
        <f t="shared" ref="Q266:W267" si="149">IF(VLOOKUP($E266,$D$5:$W$978,3,)=0,0,(VLOOKUP($E266,$D$5:$W$978,Q$1,)/VLOOKUP($E266,$D$5:$W$978,3,))*$F266)</f>
        <v>12901.628488034366</v>
      </c>
      <c r="R266" s="89">
        <f t="shared" si="149"/>
        <v>469.40095723684396</v>
      </c>
      <c r="S266" s="89">
        <f t="shared" si="149"/>
        <v>126.46808292500546</v>
      </c>
      <c r="T266" s="89">
        <f t="shared" si="149"/>
        <v>303.26963502802033</v>
      </c>
      <c r="U266" s="89">
        <f t="shared" si="149"/>
        <v>1.111261568770376</v>
      </c>
      <c r="V266" s="89">
        <f t="shared" si="149"/>
        <v>0</v>
      </c>
      <c r="W266" s="89">
        <f t="shared" si="149"/>
        <v>0</v>
      </c>
      <c r="X266" s="91">
        <f>SUM(G266:W266)</f>
        <v>2717097.7355189216</v>
      </c>
      <c r="Y266" s="87" t="str">
        <f>IF(ABS(F266-X266)&lt;0.01,"ok","err")</f>
        <v>ok</v>
      </c>
      <c r="Z266" s="203" t="str">
        <f>IF(Y266="err",X266-F266,"")</f>
        <v/>
      </c>
    </row>
    <row r="267" spans="1:26" ht="12" customHeight="1" x14ac:dyDescent="0.5">
      <c r="A267" s="96" t="s">
        <v>392</v>
      </c>
      <c r="C267" s="86" t="s">
        <v>1015</v>
      </c>
      <c r="D267" s="86" t="s">
        <v>1648</v>
      </c>
      <c r="E267" s="86" t="s">
        <v>2176</v>
      </c>
      <c r="F267" s="90">
        <f>VLOOKUP(C267,'WSS-26'!$C$1:$AU$617,25,)</f>
        <v>2257438.1640188908</v>
      </c>
      <c r="G267" s="89">
        <f t="shared" si="148"/>
        <v>1812298.7631355359</v>
      </c>
      <c r="H267" s="89">
        <f t="shared" si="148"/>
        <v>2650.5673607765439</v>
      </c>
      <c r="I267" s="89">
        <f t="shared" si="148"/>
        <v>339666.51454260899</v>
      </c>
      <c r="J267" s="89">
        <f t="shared" si="148"/>
        <v>1739.6912708502391</v>
      </c>
      <c r="K267" s="89">
        <f t="shared" si="148"/>
        <v>18221.624843976209</v>
      </c>
      <c r="L267" s="89">
        <f t="shared" si="148"/>
        <v>0</v>
      </c>
      <c r="M267" s="89">
        <f t="shared" si="148"/>
        <v>3142.9328147907622</v>
      </c>
      <c r="N267" s="89">
        <f t="shared" si="148"/>
        <v>0</v>
      </c>
      <c r="O267" s="89">
        <f t="shared" si="148"/>
        <v>0</v>
      </c>
      <c r="P267" s="89">
        <f t="shared" si="148"/>
        <v>0</v>
      </c>
      <c r="Q267" s="89">
        <f t="shared" si="149"/>
        <v>79004.140142031509</v>
      </c>
      <c r="R267" s="89">
        <f t="shared" si="149"/>
        <v>49.236545401421871</v>
      </c>
      <c r="S267" s="89">
        <f t="shared" si="149"/>
        <v>607.25072661753643</v>
      </c>
      <c r="T267" s="89">
        <f t="shared" si="149"/>
        <v>16.412181800473952</v>
      </c>
      <c r="U267" s="89">
        <f t="shared" si="149"/>
        <v>41.030454501184884</v>
      </c>
      <c r="V267" s="89">
        <f t="shared" si="149"/>
        <v>0</v>
      </c>
      <c r="W267" s="89">
        <f t="shared" si="149"/>
        <v>0</v>
      </c>
      <c r="X267" s="91">
        <f>SUM(G267:W267)</f>
        <v>2257438.1640188908</v>
      </c>
      <c r="Y267" s="87" t="str">
        <f>IF(ABS(F267-X267)&lt;0.01,"ok","err")</f>
        <v>ok</v>
      </c>
      <c r="Z267" s="203" t="str">
        <f>IF(Y267="err",X267-F267,"")</f>
        <v/>
      </c>
    </row>
    <row r="268" spans="1:26" ht="12" customHeight="1" x14ac:dyDescent="0.5">
      <c r="A268" s="86" t="s">
        <v>1468</v>
      </c>
      <c r="D268" s="86" t="s">
        <v>1649</v>
      </c>
      <c r="F268" s="89">
        <f t="shared" ref="F268:U268" si="150">F266+F267</f>
        <v>4974535.8995378129</v>
      </c>
      <c r="G268" s="89">
        <f t="shared" si="150"/>
        <v>3664395.5331980325</v>
      </c>
      <c r="H268" s="89">
        <f t="shared" ref="H268" si="151">H266+H267</f>
        <v>8219.9690034192645</v>
      </c>
      <c r="I268" s="89">
        <f t="shared" si="150"/>
        <v>685972.42321741348</v>
      </c>
      <c r="J268" s="89">
        <f>J266+J267</f>
        <v>26841.770415794032</v>
      </c>
      <c r="K268" s="89">
        <f>K266+K267</f>
        <v>274080.97206949146</v>
      </c>
      <c r="L268" s="89">
        <f>L266+L267</f>
        <v>0</v>
      </c>
      <c r="M268" s="89">
        <f t="shared" si="150"/>
        <v>221505.28315851584</v>
      </c>
      <c r="N268" s="89">
        <f t="shared" si="150"/>
        <v>0</v>
      </c>
      <c r="O268" s="89">
        <f t="shared" si="150"/>
        <v>0</v>
      </c>
      <c r="P268" s="89">
        <f t="shared" si="150"/>
        <v>0</v>
      </c>
      <c r="Q268" s="89">
        <f>Q266+Q267</f>
        <v>91905.768630065868</v>
      </c>
      <c r="R268" s="89">
        <f t="shared" si="150"/>
        <v>518.6375026382658</v>
      </c>
      <c r="S268" s="89">
        <f t="shared" si="150"/>
        <v>733.71880954254186</v>
      </c>
      <c r="T268" s="89">
        <f t="shared" si="150"/>
        <v>319.68181682849428</v>
      </c>
      <c r="U268" s="89">
        <f t="shared" si="150"/>
        <v>42.141716069955258</v>
      </c>
      <c r="V268" s="89">
        <f>V266+V267</f>
        <v>0</v>
      </c>
      <c r="W268" s="89">
        <f>W266+W267</f>
        <v>0</v>
      </c>
      <c r="X268" s="91">
        <f>SUM(G268:W268)</f>
        <v>4974535.8995378111</v>
      </c>
      <c r="Y268" s="87" t="str">
        <f>IF(ABS(F268-X268)&lt;0.01,"ok","err")</f>
        <v>ok</v>
      </c>
      <c r="Z268" s="91" t="str">
        <f>IF(Y268="err",X268-F268,"")</f>
        <v/>
      </c>
    </row>
    <row r="269" spans="1:26" ht="12" customHeight="1" x14ac:dyDescent="0.5">
      <c r="F269" s="90"/>
    </row>
    <row r="270" spans="1:26" ht="12" customHeight="1" x14ac:dyDescent="0.5">
      <c r="A270" s="23" t="s">
        <v>128</v>
      </c>
      <c r="F270" s="90"/>
    </row>
    <row r="271" spans="1:26" ht="12" customHeight="1" x14ac:dyDescent="0.5">
      <c r="A271" s="96" t="s">
        <v>392</v>
      </c>
      <c r="C271" s="86" t="s">
        <v>1015</v>
      </c>
      <c r="D271" s="86" t="s">
        <v>1650</v>
      </c>
      <c r="E271" s="86" t="s">
        <v>393</v>
      </c>
      <c r="F271" s="89">
        <f>VLOOKUP(C271,'WSS-26'!$C$1:$AU$617,26,)</f>
        <v>1903307.4052082608</v>
      </c>
      <c r="G271" s="89">
        <f t="shared" ref="G271:W271" si="152">IF(VLOOKUP($E271,$D$5:$W$978,3,)=0,0,(VLOOKUP($E271,$D$5:$W$978,G$1,)/VLOOKUP($E271,$D$5:$W$978,3,))*$F271)</f>
        <v>1503057.3409948642</v>
      </c>
      <c r="H271" s="89">
        <f t="shared" si="152"/>
        <v>2199.1396110143464</v>
      </c>
      <c r="I271" s="89">
        <f t="shared" si="152"/>
        <v>338392.40506961249</v>
      </c>
      <c r="J271" s="89">
        <f t="shared" si="152"/>
        <v>3061.6838966563387</v>
      </c>
      <c r="K271" s="89">
        <f t="shared" si="152"/>
        <v>43975.909080262856</v>
      </c>
      <c r="L271" s="89">
        <f t="shared" si="152"/>
        <v>0</v>
      </c>
      <c r="M271" s="89">
        <f t="shared" si="152"/>
        <v>12581.314877048042</v>
      </c>
      <c r="N271" s="89">
        <f t="shared" si="152"/>
        <v>0</v>
      </c>
      <c r="O271" s="89">
        <f t="shared" si="152"/>
        <v>0</v>
      </c>
      <c r="P271" s="89">
        <f t="shared" si="152"/>
        <v>0</v>
      </c>
      <c r="Q271" s="89">
        <f t="shared" si="152"/>
        <v>0</v>
      </c>
      <c r="R271" s="89">
        <f t="shared" si="152"/>
        <v>0</v>
      </c>
      <c r="S271" s="89">
        <f t="shared" si="152"/>
        <v>0</v>
      </c>
      <c r="T271" s="89">
        <f t="shared" si="152"/>
        <v>39.611678802548639</v>
      </c>
      <c r="U271" s="89">
        <f t="shared" si="152"/>
        <v>0</v>
      </c>
      <c r="V271" s="89">
        <f t="shared" si="152"/>
        <v>0</v>
      </c>
      <c r="W271" s="89">
        <f t="shared" si="152"/>
        <v>0</v>
      </c>
      <c r="X271" s="91">
        <f>SUM(G271:W271)</f>
        <v>1903307.405208261</v>
      </c>
      <c r="Y271" s="87" t="str">
        <f>IF(ABS(F271-X271)&lt;0.01,"ok","err")</f>
        <v>ok</v>
      </c>
      <c r="Z271" s="203" t="str">
        <f>IF(Y271="err",X271-F271,"")</f>
        <v/>
      </c>
    </row>
    <row r="272" spans="1:26" ht="12" customHeight="1" x14ac:dyDescent="0.5">
      <c r="F272" s="90"/>
    </row>
    <row r="273" spans="1:26" ht="12" customHeight="1" x14ac:dyDescent="0.5">
      <c r="A273" s="23" t="s">
        <v>127</v>
      </c>
      <c r="F273" s="90"/>
    </row>
    <row r="274" spans="1:26" ht="12" customHeight="1" x14ac:dyDescent="0.5">
      <c r="A274" s="96" t="s">
        <v>392</v>
      </c>
      <c r="C274" s="86" t="s">
        <v>1015</v>
      </c>
      <c r="D274" s="86" t="s">
        <v>1651</v>
      </c>
      <c r="E274" s="86" t="s">
        <v>394</v>
      </c>
      <c r="F274" s="89">
        <f>VLOOKUP(C274,'WSS-26'!$C$1:$AU$617,27,)</f>
        <v>1131970.7649802638</v>
      </c>
      <c r="G274" s="89">
        <f t="shared" ref="G274:W274" si="153">IF(VLOOKUP($E274,$D$5:$W$978,3,)=0,0,(VLOOKUP($E274,$D$5:$W$978,G$1,)/VLOOKUP($E274,$D$5:$W$978,3,))*$F274)</f>
        <v>682863.90754958161</v>
      </c>
      <c r="H274" s="89">
        <f t="shared" si="153"/>
        <v>999.10564092674531</v>
      </c>
      <c r="I274" s="89">
        <f t="shared" si="153"/>
        <v>275959.11569648969</v>
      </c>
      <c r="J274" s="89">
        <f t="shared" si="153"/>
        <v>5632.9063891860769</v>
      </c>
      <c r="K274" s="89">
        <f t="shared" si="153"/>
        <v>86282.098525770256</v>
      </c>
      <c r="L274" s="89">
        <f t="shared" si="153"/>
        <v>16873.412396994587</v>
      </c>
      <c r="M274" s="89">
        <f t="shared" si="153"/>
        <v>15432.58631489968</v>
      </c>
      <c r="N274" s="89">
        <f t="shared" si="153"/>
        <v>29890.771667109741</v>
      </c>
      <c r="O274" s="89">
        <f t="shared" si="153"/>
        <v>14819.631120990365</v>
      </c>
      <c r="P274" s="89">
        <f t="shared" si="153"/>
        <v>914.80934117197887</v>
      </c>
      <c r="Q274" s="89">
        <f t="shared" si="153"/>
        <v>0</v>
      </c>
      <c r="R274" s="89">
        <f t="shared" si="153"/>
        <v>166.96852490535937</v>
      </c>
      <c r="S274" s="89">
        <f t="shared" si="153"/>
        <v>2057.732468972531</v>
      </c>
      <c r="T274" s="89">
        <f t="shared" si="153"/>
        <v>77.719343265302143</v>
      </c>
      <c r="U274" s="89">
        <f t="shared" si="153"/>
        <v>0</v>
      </c>
      <c r="V274" s="89">
        <f t="shared" si="153"/>
        <v>0</v>
      </c>
      <c r="W274" s="89">
        <f t="shared" si="153"/>
        <v>0</v>
      </c>
      <c r="X274" s="91">
        <f>SUM(G274:W274)</f>
        <v>1131970.7649802638</v>
      </c>
      <c r="Y274" s="87" t="str">
        <f>IF(ABS(F274-X274)&lt;0.01,"ok","err")</f>
        <v>ok</v>
      </c>
      <c r="Z274" s="203" t="str">
        <f>IF(Y274="err",X274-F274,"")</f>
        <v/>
      </c>
    </row>
    <row r="275" spans="1:26" ht="12" customHeight="1" x14ac:dyDescent="0.5">
      <c r="F275" s="90"/>
    </row>
    <row r="276" spans="1:26" ht="12" customHeight="1" x14ac:dyDescent="0.5">
      <c r="A276" s="23" t="s">
        <v>144</v>
      </c>
      <c r="F276" s="90"/>
    </row>
    <row r="277" spans="1:26" ht="12" customHeight="1" x14ac:dyDescent="0.5">
      <c r="A277" s="96" t="s">
        <v>392</v>
      </c>
      <c r="C277" s="86" t="s">
        <v>1015</v>
      </c>
      <c r="D277" s="86" t="s">
        <v>1652</v>
      </c>
      <c r="E277" s="86" t="s">
        <v>395</v>
      </c>
      <c r="F277" s="89">
        <f>VLOOKUP(C277,'WSS-26'!$C$1:$AU$617,28,)</f>
        <v>2179679.4484033175</v>
      </c>
      <c r="G277" s="89">
        <f t="shared" ref="G277:W277" si="154">IF(VLOOKUP($E277,$D$5:$W$978,3,)=0,0,(VLOOKUP($E277,$D$5:$W$978,G$1,)/VLOOKUP($E277,$D$5:$W$978,3,))*$F277)</f>
        <v>0</v>
      </c>
      <c r="H277" s="89">
        <f t="shared" si="154"/>
        <v>0</v>
      </c>
      <c r="I277" s="89">
        <f t="shared" si="154"/>
        <v>0</v>
      </c>
      <c r="J277" s="89">
        <f t="shared" si="154"/>
        <v>0</v>
      </c>
      <c r="K277" s="89">
        <f t="shared" si="154"/>
        <v>0</v>
      </c>
      <c r="L277" s="89">
        <f t="shared" si="154"/>
        <v>0</v>
      </c>
      <c r="M277" s="89">
        <f t="shared" si="154"/>
        <v>0</v>
      </c>
      <c r="N277" s="89">
        <f t="shared" si="154"/>
        <v>0</v>
      </c>
      <c r="O277" s="89">
        <f t="shared" si="154"/>
        <v>0</v>
      </c>
      <c r="P277" s="89">
        <f t="shared" si="154"/>
        <v>0</v>
      </c>
      <c r="Q277" s="89">
        <f t="shared" si="154"/>
        <v>2179679.4484033175</v>
      </c>
      <c r="R277" s="89">
        <f t="shared" si="154"/>
        <v>0</v>
      </c>
      <c r="S277" s="89">
        <f t="shared" si="154"/>
        <v>0</v>
      </c>
      <c r="T277" s="89">
        <f t="shared" si="154"/>
        <v>0</v>
      </c>
      <c r="U277" s="89">
        <f t="shared" si="154"/>
        <v>0</v>
      </c>
      <c r="V277" s="89">
        <f t="shared" si="154"/>
        <v>0</v>
      </c>
      <c r="W277" s="89">
        <f t="shared" si="154"/>
        <v>0</v>
      </c>
      <c r="X277" s="91">
        <f>SUM(G277:W277)</f>
        <v>2179679.4484033175</v>
      </c>
      <c r="Y277" s="87" t="str">
        <f>IF(ABS(F277-X277)&lt;0.01,"ok","err")</f>
        <v>ok</v>
      </c>
      <c r="Z277" s="203" t="str">
        <f>IF(Y277="err",X277-F277,"")</f>
        <v/>
      </c>
    </row>
    <row r="278" spans="1:26" ht="12" customHeight="1" x14ac:dyDescent="0.5">
      <c r="F278" s="90"/>
    </row>
    <row r="279" spans="1:26" ht="12" customHeight="1" x14ac:dyDescent="0.5">
      <c r="A279" s="23" t="s">
        <v>292</v>
      </c>
      <c r="F279" s="90"/>
    </row>
    <row r="280" spans="1:26" ht="12" customHeight="1" x14ac:dyDescent="0.5">
      <c r="A280" s="96" t="s">
        <v>392</v>
      </c>
      <c r="C280" s="86" t="s">
        <v>1015</v>
      </c>
      <c r="D280" s="86" t="s">
        <v>1653</v>
      </c>
      <c r="E280" s="86" t="s">
        <v>396</v>
      </c>
      <c r="F280" s="89">
        <f>VLOOKUP(C280,'WSS-26'!$C$1:$AU$617,30,)</f>
        <v>28207727.550637387</v>
      </c>
      <c r="G280" s="89">
        <f t="shared" ref="G280:W280" si="155">IF(VLOOKUP($E280,$D$5:$W$978,3,)=0,0,(VLOOKUP($E280,$D$5:$W$978,G$1,)/VLOOKUP($E280,$D$5:$W$978,3,))*$F280)</f>
        <v>18297388.02550384</v>
      </c>
      <c r="H280" s="89">
        <f t="shared" si="155"/>
        <v>26760.741923122423</v>
      </c>
      <c r="I280" s="89">
        <f t="shared" si="155"/>
        <v>6858703.5893615065</v>
      </c>
      <c r="J280" s="89">
        <f t="shared" si="155"/>
        <v>175643.25968117506</v>
      </c>
      <c r="K280" s="89">
        <f t="shared" si="155"/>
        <v>919848.72198596504</v>
      </c>
      <c r="L280" s="89">
        <f t="shared" si="155"/>
        <v>42253.803036509089</v>
      </c>
      <c r="M280" s="89">
        <f t="shared" si="155"/>
        <v>793294.43936191092</v>
      </c>
      <c r="N280" s="89">
        <f t="shared" si="155"/>
        <v>265121.90140554728</v>
      </c>
      <c r="O280" s="89">
        <f t="shared" si="155"/>
        <v>20712.648547308378</v>
      </c>
      <c r="P280" s="89">
        <f t="shared" si="155"/>
        <v>2071.2648547308381</v>
      </c>
      <c r="Q280" s="89">
        <f t="shared" si="155"/>
        <v>797644.09555684566</v>
      </c>
      <c r="R280" s="89">
        <f t="shared" si="155"/>
        <v>497.10356513540103</v>
      </c>
      <c r="S280" s="89">
        <f t="shared" si="155"/>
        <v>6130.9439700032799</v>
      </c>
      <c r="T280" s="89">
        <f t="shared" si="155"/>
        <v>828.50594189233504</v>
      </c>
      <c r="U280" s="89">
        <f t="shared" si="155"/>
        <v>828.50594189233504</v>
      </c>
      <c r="V280" s="89">
        <f t="shared" si="155"/>
        <v>0</v>
      </c>
      <c r="W280" s="89">
        <f t="shared" si="155"/>
        <v>0</v>
      </c>
      <c r="X280" s="91">
        <f>SUM(G280:W280)</f>
        <v>28207727.550637387</v>
      </c>
      <c r="Y280" s="87" t="str">
        <f>IF(ABS(F280-X280)&lt;0.01,"ok","err")</f>
        <v>ok</v>
      </c>
      <c r="Z280" s="203" t="str">
        <f>IF(Y280="err",X280-F280,"")</f>
        <v/>
      </c>
    </row>
    <row r="281" spans="1:26" ht="12" customHeight="1" x14ac:dyDescent="0.5">
      <c r="F281" s="90"/>
    </row>
    <row r="282" spans="1:26" ht="12" customHeight="1" x14ac:dyDescent="0.5">
      <c r="A282" s="23" t="s">
        <v>1630</v>
      </c>
      <c r="F282" s="90"/>
    </row>
    <row r="283" spans="1:26" ht="12" customHeight="1" x14ac:dyDescent="0.5">
      <c r="A283" s="96" t="s">
        <v>392</v>
      </c>
      <c r="C283" s="86" t="s">
        <v>1015</v>
      </c>
      <c r="D283" s="86" t="s">
        <v>1654</v>
      </c>
      <c r="E283" s="86" t="s">
        <v>396</v>
      </c>
      <c r="F283" s="89">
        <f>VLOOKUP(C283,'WSS-26'!$C$1:$AU$617,32,)</f>
        <v>3368177.9589057751</v>
      </c>
      <c r="G283" s="89">
        <f t="shared" ref="G283:W283" si="156">IF(VLOOKUP($E283,$D$5:$W$978,3,)=0,0,(VLOOKUP($E283,$D$5:$W$978,G$1,)/VLOOKUP($E283,$D$5:$W$978,3,))*$F283)</f>
        <v>2184821.8344570589</v>
      </c>
      <c r="H283" s="89">
        <f t="shared" si="156"/>
        <v>3195.3988830762792</v>
      </c>
      <c r="I283" s="89">
        <f t="shared" si="156"/>
        <v>818971.83014423121</v>
      </c>
      <c r="J283" s="89">
        <f t="shared" si="156"/>
        <v>20972.896693875271</v>
      </c>
      <c r="K283" s="89">
        <f t="shared" si="156"/>
        <v>109835.65355837272</v>
      </c>
      <c r="L283" s="89">
        <f t="shared" si="156"/>
        <v>5045.3666574888621</v>
      </c>
      <c r="M283" s="89">
        <f t="shared" si="156"/>
        <v>94724.285775403638</v>
      </c>
      <c r="N283" s="89">
        <f t="shared" si="156"/>
        <v>31657.202556792861</v>
      </c>
      <c r="O283" s="89">
        <f t="shared" si="156"/>
        <v>2473.2189497494423</v>
      </c>
      <c r="P283" s="89">
        <f t="shared" si="156"/>
        <v>247.32189497494423</v>
      </c>
      <c r="Q283" s="89">
        <f t="shared" si="156"/>
        <v>95243.661754851011</v>
      </c>
      <c r="R283" s="89">
        <f t="shared" si="156"/>
        <v>59.357254793986606</v>
      </c>
      <c r="S283" s="89">
        <f t="shared" si="156"/>
        <v>732.07280912583485</v>
      </c>
      <c r="T283" s="89">
        <f t="shared" si="156"/>
        <v>98.928757989977683</v>
      </c>
      <c r="U283" s="89">
        <f t="shared" si="156"/>
        <v>98.928757989977683</v>
      </c>
      <c r="V283" s="89">
        <f t="shared" si="156"/>
        <v>0</v>
      </c>
      <c r="W283" s="89">
        <f t="shared" si="156"/>
        <v>0</v>
      </c>
      <c r="X283" s="91">
        <f>SUM(G283:W283)</f>
        <v>3368177.9589057742</v>
      </c>
      <c r="Y283" s="87" t="str">
        <f>IF(ABS(F283-X283)&lt;0.01,"ok","err")</f>
        <v>ok</v>
      </c>
      <c r="Z283" s="203" t="str">
        <f>IF(Y283="err",X283-F283,"")</f>
        <v/>
      </c>
    </row>
    <row r="284" spans="1:26" ht="12" customHeight="1" x14ac:dyDescent="0.5">
      <c r="F284" s="90"/>
    </row>
    <row r="285" spans="1:26" ht="12" customHeight="1" x14ac:dyDescent="0.5">
      <c r="A285" s="23" t="s">
        <v>1629</v>
      </c>
      <c r="F285" s="90"/>
    </row>
    <row r="286" spans="1:26" ht="12" customHeight="1" x14ac:dyDescent="0.5">
      <c r="A286" s="96" t="s">
        <v>392</v>
      </c>
      <c r="C286" s="86" t="s">
        <v>1015</v>
      </c>
      <c r="D286" s="86" t="s">
        <v>1655</v>
      </c>
      <c r="E286" s="86" t="s">
        <v>397</v>
      </c>
      <c r="F286" s="89">
        <f>VLOOKUP(C286,'WSS-26'!$C$1:$AU$617,34,)</f>
        <v>0</v>
      </c>
      <c r="G286" s="89">
        <f t="shared" ref="G286:W286" si="157">IF(VLOOKUP($E286,$D$5:$W$978,3,)=0,0,(VLOOKUP($E286,$D$5:$W$978,G$1,)/VLOOKUP($E286,$D$5:$W$978,3,))*$F286)</f>
        <v>0</v>
      </c>
      <c r="H286" s="89">
        <f t="shared" si="157"/>
        <v>0</v>
      </c>
      <c r="I286" s="89">
        <f t="shared" si="157"/>
        <v>0</v>
      </c>
      <c r="J286" s="89">
        <f t="shared" si="157"/>
        <v>0</v>
      </c>
      <c r="K286" s="89">
        <f t="shared" si="157"/>
        <v>0</v>
      </c>
      <c r="L286" s="89">
        <f t="shared" si="157"/>
        <v>0</v>
      </c>
      <c r="M286" s="89">
        <f t="shared" si="157"/>
        <v>0</v>
      </c>
      <c r="N286" s="89">
        <f t="shared" si="157"/>
        <v>0</v>
      </c>
      <c r="O286" s="89">
        <f t="shared" si="157"/>
        <v>0</v>
      </c>
      <c r="P286" s="89">
        <f t="shared" si="157"/>
        <v>0</v>
      </c>
      <c r="Q286" s="89">
        <f t="shared" si="157"/>
        <v>0</v>
      </c>
      <c r="R286" s="89">
        <f t="shared" si="157"/>
        <v>0</v>
      </c>
      <c r="S286" s="89">
        <f t="shared" si="157"/>
        <v>0</v>
      </c>
      <c r="T286" s="89">
        <f t="shared" si="157"/>
        <v>0</v>
      </c>
      <c r="U286" s="89">
        <f t="shared" si="157"/>
        <v>0</v>
      </c>
      <c r="V286" s="89">
        <f t="shared" si="157"/>
        <v>0</v>
      </c>
      <c r="W286" s="89">
        <f t="shared" si="157"/>
        <v>0</v>
      </c>
      <c r="X286" s="91">
        <f>SUM(G286:W286)</f>
        <v>0</v>
      </c>
      <c r="Y286" s="87" t="str">
        <f>IF(ABS(F286-X286)&lt;0.01,"ok","err")</f>
        <v>ok</v>
      </c>
      <c r="Z286" s="203" t="str">
        <f>IF(Y286="err",X286-F286,"")</f>
        <v/>
      </c>
    </row>
    <row r="287" spans="1:26" ht="12" customHeight="1" x14ac:dyDescent="0.5">
      <c r="F287" s="90"/>
    </row>
    <row r="288" spans="1:26" ht="12" customHeight="1" x14ac:dyDescent="0.5">
      <c r="A288" s="86" t="s">
        <v>62</v>
      </c>
      <c r="D288" s="86" t="s">
        <v>406</v>
      </c>
      <c r="F288" s="89">
        <f>F243+F249+F252+F255+F263+F268+F271+F274+F277+F280+F283+F286</f>
        <v>173228432</v>
      </c>
      <c r="G288" s="89">
        <f t="shared" ref="G288:U288" si="158">G243+G249+G252+G255+G263+G268+G271+G274+G277+G280+G283+G286</f>
        <v>84160595.111224994</v>
      </c>
      <c r="H288" s="89">
        <f t="shared" ref="H288" si="159">H243+H249+H252+H255+H263+H268+H271+H274+H277+H280+H283+H286</f>
        <v>137925.53774423766</v>
      </c>
      <c r="I288" s="89">
        <f t="shared" si="158"/>
        <v>23716635.476122238</v>
      </c>
      <c r="J288" s="89">
        <f>J243+J249+J252+J255+J263+J268+J271+J274+J277+J280+J283+J286</f>
        <v>1220713.302464758</v>
      </c>
      <c r="K288" s="89">
        <f>K243+K249+K252+K255+K263+K268+K271+K274+K277+K280+K283+K286</f>
        <v>13547749.008209158</v>
      </c>
      <c r="L288" s="89">
        <f>L243+L249+L252+L255+L263+L268+L271+L274+L277+L280+L283+L286</f>
        <v>594908.60130814847</v>
      </c>
      <c r="M288" s="89">
        <f t="shared" si="158"/>
        <v>12874018.994538624</v>
      </c>
      <c r="N288" s="89">
        <f t="shared" si="158"/>
        <v>22703490.410837635</v>
      </c>
      <c r="O288" s="89">
        <f t="shared" si="158"/>
        <v>7070766.8487955704</v>
      </c>
      <c r="P288" s="89">
        <f>P243+P249+P252+P255+P263+P268+P271+P274+P277+P280+P283+P286</f>
        <v>3129137.7313022576</v>
      </c>
      <c r="Q288" s="89">
        <f>Q243+Q249+Q252+Q255+Q263+Q268+Q271+Q274+Q277+Q280+Q283+Q286</f>
        <v>4023216.8638044139</v>
      </c>
      <c r="R288" s="89">
        <f t="shared" si="158"/>
        <v>17713.245739742295</v>
      </c>
      <c r="S288" s="89">
        <f t="shared" si="158"/>
        <v>25269.896063498054</v>
      </c>
      <c r="T288" s="89">
        <f t="shared" si="158"/>
        <v>5020.714823854848</v>
      </c>
      <c r="U288" s="89">
        <f t="shared" si="158"/>
        <v>1270.2570208447794</v>
      </c>
      <c r="V288" s="89">
        <f>V243+V249+V252+V255+V263+V268+V271+V274+V277+V280+V283+V286</f>
        <v>0</v>
      </c>
      <c r="W288" s="89">
        <f>W243+W249+W252+W255+W263+W268+W271+W274+W277+W280+W283+W286</f>
        <v>0</v>
      </c>
      <c r="X288" s="91">
        <f>SUM(G288:W288)</f>
        <v>173228431.99999994</v>
      </c>
      <c r="Y288" s="87" t="str">
        <f>IF(ABS(F288-X288)&lt;0.01,"ok","err")</f>
        <v>ok</v>
      </c>
      <c r="Z288" s="91" t="str">
        <f>IF(Y288="err",X288-F288,"")</f>
        <v/>
      </c>
    </row>
    <row r="291" spans="1:26" ht="12" customHeight="1" x14ac:dyDescent="0.5">
      <c r="A291" s="22" t="s">
        <v>812</v>
      </c>
    </row>
    <row r="293" spans="1:26" ht="12" customHeight="1" x14ac:dyDescent="0.5">
      <c r="A293" s="23" t="s">
        <v>137</v>
      </c>
    </row>
    <row r="294" spans="1:26" ht="12" customHeight="1" x14ac:dyDescent="0.5">
      <c r="A294" s="96" t="s">
        <v>2273</v>
      </c>
      <c r="C294" s="86" t="s">
        <v>814</v>
      </c>
      <c r="D294" s="86" t="s">
        <v>1656</v>
      </c>
      <c r="E294" s="86" t="s">
        <v>2406</v>
      </c>
      <c r="F294" s="89">
        <f>VLOOKUP(C294,'WSS-26'!$C$1:$AU$617,6,)</f>
        <v>288540355.83999676</v>
      </c>
      <c r="G294" s="89">
        <f t="shared" ref="G294:P299" si="160">IF(VLOOKUP($E294,$D$5:$W$978,3,)=0,0,(VLOOKUP($E294,$D$5:$W$978,G$1,)/VLOOKUP($E294,$D$5:$W$978,3,))*$F294)</f>
        <v>118244455.02613318</v>
      </c>
      <c r="H294" s="89">
        <f t="shared" si="160"/>
        <v>120758.26922117398</v>
      </c>
      <c r="I294" s="89">
        <f t="shared" si="160"/>
        <v>31880880.116783291</v>
      </c>
      <c r="J294" s="89">
        <f t="shared" si="160"/>
        <v>2045708.9906735711</v>
      </c>
      <c r="K294" s="89">
        <f t="shared" si="160"/>
        <v>29730196.847648963</v>
      </c>
      <c r="L294" s="89">
        <f t="shared" si="160"/>
        <v>1291633.8018415116</v>
      </c>
      <c r="M294" s="89">
        <f t="shared" si="160"/>
        <v>28592317.869158018</v>
      </c>
      <c r="N294" s="89">
        <f t="shared" si="160"/>
        <v>52341402.26935254</v>
      </c>
      <c r="O294" s="89">
        <f t="shared" si="160"/>
        <v>17037914.385019727</v>
      </c>
      <c r="P294" s="89">
        <f t="shared" si="160"/>
        <v>7055376.9044973953</v>
      </c>
      <c r="Q294" s="89">
        <f t="shared" ref="Q294:W299" si="161">IF(VLOOKUP($E294,$D$5:$W$978,3,)=0,0,(VLOOKUP($E294,$D$5:$W$978,Q$1,)/VLOOKUP($E294,$D$5:$W$978,3,))*$F294)</f>
        <v>45987.354803719543</v>
      </c>
      <c r="R294" s="89">
        <f t="shared" si="161"/>
        <v>1673.1615226462829</v>
      </c>
      <c r="S294" s="89">
        <f t="shared" si="161"/>
        <v>27360.006706611337</v>
      </c>
      <c r="T294" s="89">
        <f t="shared" si="161"/>
        <v>3521.7012159936285</v>
      </c>
      <c r="U294" s="89">
        <f t="shared" si="161"/>
        <v>238.14261508223822</v>
      </c>
      <c r="V294" s="89">
        <f t="shared" si="161"/>
        <v>106487.13</v>
      </c>
      <c r="W294" s="89">
        <f t="shared" si="161"/>
        <v>14443.86</v>
      </c>
      <c r="X294" s="91">
        <f t="shared" ref="X294:X300" si="162">SUM(G294:W294)</f>
        <v>288540355.83719337</v>
      </c>
      <c r="Y294" s="87" t="str">
        <f t="shared" ref="Y294:Y300" si="163">IF(ABS(F294-X294)&lt;0.01,"ok","err")</f>
        <v>ok</v>
      </c>
      <c r="Z294" s="203" t="str">
        <f t="shared" ref="Z294:Z300" si="164">IF(Y294="err",X294-F294,"")</f>
        <v/>
      </c>
    </row>
    <row r="295" spans="1:26" ht="12" hidden="1" customHeight="1" x14ac:dyDescent="0.5">
      <c r="A295" s="96" t="s">
        <v>2274</v>
      </c>
      <c r="C295" s="86" t="s">
        <v>814</v>
      </c>
      <c r="D295" s="86" t="s">
        <v>1657</v>
      </c>
      <c r="E295" s="86" t="s">
        <v>2272</v>
      </c>
      <c r="F295" s="90">
        <f>VLOOKUP(C295,'WSS-26'!$C$1:$AU$617,7,)</f>
        <v>0</v>
      </c>
      <c r="G295" s="89">
        <f t="shared" si="160"/>
        <v>0</v>
      </c>
      <c r="H295" s="89">
        <f t="shared" si="160"/>
        <v>0</v>
      </c>
      <c r="I295" s="89">
        <f t="shared" si="160"/>
        <v>0</v>
      </c>
      <c r="J295" s="89">
        <f t="shared" si="160"/>
        <v>0</v>
      </c>
      <c r="K295" s="89">
        <f t="shared" si="160"/>
        <v>0</v>
      </c>
      <c r="L295" s="89">
        <f t="shared" si="160"/>
        <v>0</v>
      </c>
      <c r="M295" s="89">
        <f t="shared" si="160"/>
        <v>0</v>
      </c>
      <c r="N295" s="89">
        <f t="shared" si="160"/>
        <v>0</v>
      </c>
      <c r="O295" s="89">
        <f t="shared" si="160"/>
        <v>0</v>
      </c>
      <c r="P295" s="89">
        <f t="shared" si="160"/>
        <v>0</v>
      </c>
      <c r="Q295" s="89">
        <f t="shared" si="161"/>
        <v>0</v>
      </c>
      <c r="R295" s="89">
        <f t="shared" si="161"/>
        <v>0</v>
      </c>
      <c r="S295" s="89">
        <f t="shared" si="161"/>
        <v>0</v>
      </c>
      <c r="T295" s="89">
        <f t="shared" si="161"/>
        <v>0</v>
      </c>
      <c r="U295" s="89">
        <f t="shared" si="161"/>
        <v>0</v>
      </c>
      <c r="V295" s="89">
        <f t="shared" si="161"/>
        <v>0</v>
      </c>
      <c r="W295" s="89">
        <f t="shared" si="161"/>
        <v>0</v>
      </c>
      <c r="X295" s="91">
        <f t="shared" si="162"/>
        <v>0</v>
      </c>
      <c r="Y295" s="87" t="str">
        <f t="shared" si="163"/>
        <v>ok</v>
      </c>
      <c r="Z295" s="203" t="str">
        <f t="shared" si="164"/>
        <v/>
      </c>
    </row>
    <row r="296" spans="1:26" ht="12" hidden="1" customHeight="1" x14ac:dyDescent="0.5">
      <c r="A296" s="96" t="s">
        <v>2274</v>
      </c>
      <c r="C296" s="86" t="s">
        <v>814</v>
      </c>
      <c r="D296" s="86" t="s">
        <v>1658</v>
      </c>
      <c r="E296" s="86" t="s">
        <v>2272</v>
      </c>
      <c r="F296" s="90">
        <f>VLOOKUP(C296,'WSS-26'!$C$1:$AU$617,8,)</f>
        <v>0</v>
      </c>
      <c r="G296" s="89">
        <f t="shared" si="160"/>
        <v>0</v>
      </c>
      <c r="H296" s="89">
        <f t="shared" si="160"/>
        <v>0</v>
      </c>
      <c r="I296" s="89">
        <f t="shared" si="160"/>
        <v>0</v>
      </c>
      <c r="J296" s="89">
        <f t="shared" si="160"/>
        <v>0</v>
      </c>
      <c r="K296" s="89">
        <f t="shared" si="160"/>
        <v>0</v>
      </c>
      <c r="L296" s="89">
        <f t="shared" si="160"/>
        <v>0</v>
      </c>
      <c r="M296" s="89">
        <f t="shared" si="160"/>
        <v>0</v>
      </c>
      <c r="N296" s="89">
        <f t="shared" si="160"/>
        <v>0</v>
      </c>
      <c r="O296" s="89">
        <f t="shared" si="160"/>
        <v>0</v>
      </c>
      <c r="P296" s="89">
        <f t="shared" si="160"/>
        <v>0</v>
      </c>
      <c r="Q296" s="89">
        <f t="shared" si="161"/>
        <v>0</v>
      </c>
      <c r="R296" s="89">
        <f t="shared" si="161"/>
        <v>0</v>
      </c>
      <c r="S296" s="89">
        <f t="shared" si="161"/>
        <v>0</v>
      </c>
      <c r="T296" s="89">
        <f t="shared" si="161"/>
        <v>0</v>
      </c>
      <c r="U296" s="89">
        <f t="shared" si="161"/>
        <v>0</v>
      </c>
      <c r="V296" s="89">
        <f t="shared" si="161"/>
        <v>0</v>
      </c>
      <c r="W296" s="89">
        <f t="shared" si="161"/>
        <v>0</v>
      </c>
      <c r="X296" s="91">
        <f t="shared" si="162"/>
        <v>0</v>
      </c>
      <c r="Y296" s="87" t="str">
        <f t="shared" si="163"/>
        <v>ok</v>
      </c>
      <c r="Z296" s="203" t="str">
        <f t="shared" si="164"/>
        <v/>
      </c>
    </row>
    <row r="297" spans="1:26" ht="12" customHeight="1" x14ac:dyDescent="0.5">
      <c r="A297" s="96" t="s">
        <v>2276</v>
      </c>
      <c r="C297" s="86" t="s">
        <v>814</v>
      </c>
      <c r="D297" s="86" t="s">
        <v>1659</v>
      </c>
      <c r="E297" s="86" t="s">
        <v>390</v>
      </c>
      <c r="F297" s="90">
        <f>VLOOKUP(C297,'WSS-26'!$C$1:$AU$617,9,)</f>
        <v>0</v>
      </c>
      <c r="G297" s="89">
        <f t="shared" si="160"/>
        <v>0</v>
      </c>
      <c r="H297" s="89">
        <f t="shared" si="160"/>
        <v>0</v>
      </c>
      <c r="I297" s="89">
        <f t="shared" si="160"/>
        <v>0</v>
      </c>
      <c r="J297" s="89">
        <f t="shared" si="160"/>
        <v>0</v>
      </c>
      <c r="K297" s="89">
        <f t="shared" si="160"/>
        <v>0</v>
      </c>
      <c r="L297" s="89">
        <f t="shared" si="160"/>
        <v>0</v>
      </c>
      <c r="M297" s="89">
        <f t="shared" si="160"/>
        <v>0</v>
      </c>
      <c r="N297" s="89">
        <f t="shared" si="160"/>
        <v>0</v>
      </c>
      <c r="O297" s="89">
        <f t="shared" si="160"/>
        <v>0</v>
      </c>
      <c r="P297" s="89">
        <f t="shared" si="160"/>
        <v>0</v>
      </c>
      <c r="Q297" s="89">
        <f t="shared" si="161"/>
        <v>0</v>
      </c>
      <c r="R297" s="89">
        <f t="shared" si="161"/>
        <v>0</v>
      </c>
      <c r="S297" s="89">
        <f t="shared" si="161"/>
        <v>0</v>
      </c>
      <c r="T297" s="89">
        <f t="shared" si="161"/>
        <v>0</v>
      </c>
      <c r="U297" s="89">
        <f t="shared" si="161"/>
        <v>0</v>
      </c>
      <c r="V297" s="89">
        <f t="shared" si="161"/>
        <v>0</v>
      </c>
      <c r="W297" s="89">
        <f t="shared" si="161"/>
        <v>0</v>
      </c>
      <c r="X297" s="91">
        <f t="shared" si="162"/>
        <v>0</v>
      </c>
      <c r="Y297" s="87" t="str">
        <f t="shared" si="163"/>
        <v>ok</v>
      </c>
      <c r="Z297" s="203" t="str">
        <f t="shared" si="164"/>
        <v/>
      </c>
    </row>
    <row r="298" spans="1:26" ht="12" hidden="1" customHeight="1" x14ac:dyDescent="0.5">
      <c r="A298" s="96" t="s">
        <v>2275</v>
      </c>
      <c r="C298" s="86" t="s">
        <v>814</v>
      </c>
      <c r="D298" s="86" t="s">
        <v>1660</v>
      </c>
      <c r="E298" s="86" t="s">
        <v>390</v>
      </c>
      <c r="F298" s="90">
        <f>VLOOKUP(C298,'WSS-26'!$C$1:$AU$617,10,)</f>
        <v>0</v>
      </c>
      <c r="G298" s="89">
        <f t="shared" si="160"/>
        <v>0</v>
      </c>
      <c r="H298" s="89">
        <f t="shared" si="160"/>
        <v>0</v>
      </c>
      <c r="I298" s="89">
        <f t="shared" si="160"/>
        <v>0</v>
      </c>
      <c r="J298" s="89">
        <f t="shared" si="160"/>
        <v>0</v>
      </c>
      <c r="K298" s="89">
        <f t="shared" si="160"/>
        <v>0</v>
      </c>
      <c r="L298" s="89">
        <f t="shared" si="160"/>
        <v>0</v>
      </c>
      <c r="M298" s="89">
        <f t="shared" si="160"/>
        <v>0</v>
      </c>
      <c r="N298" s="89">
        <f t="shared" si="160"/>
        <v>0</v>
      </c>
      <c r="O298" s="89">
        <f t="shared" si="160"/>
        <v>0</v>
      </c>
      <c r="P298" s="89">
        <f t="shared" si="160"/>
        <v>0</v>
      </c>
      <c r="Q298" s="89">
        <f t="shared" si="161"/>
        <v>0</v>
      </c>
      <c r="R298" s="89">
        <f t="shared" si="161"/>
        <v>0</v>
      </c>
      <c r="S298" s="89">
        <f t="shared" si="161"/>
        <v>0</v>
      </c>
      <c r="T298" s="89">
        <f t="shared" si="161"/>
        <v>0</v>
      </c>
      <c r="U298" s="89">
        <f t="shared" si="161"/>
        <v>0</v>
      </c>
      <c r="V298" s="89">
        <f t="shared" si="161"/>
        <v>0</v>
      </c>
      <c r="W298" s="89">
        <f t="shared" si="161"/>
        <v>0</v>
      </c>
      <c r="X298" s="91">
        <f t="shared" si="162"/>
        <v>0</v>
      </c>
      <c r="Y298" s="87" t="str">
        <f t="shared" si="163"/>
        <v>ok</v>
      </c>
      <c r="Z298" s="203" t="str">
        <f t="shared" si="164"/>
        <v/>
      </c>
    </row>
    <row r="299" spans="1:26" ht="12" hidden="1" customHeight="1" x14ac:dyDescent="0.5">
      <c r="A299" s="96" t="s">
        <v>2275</v>
      </c>
      <c r="C299" s="86" t="s">
        <v>814</v>
      </c>
      <c r="D299" s="86" t="s">
        <v>1661</v>
      </c>
      <c r="E299" s="86" t="s">
        <v>390</v>
      </c>
      <c r="F299" s="90">
        <f>VLOOKUP(C299,'WSS-26'!$C$1:$AU$617,11,)</f>
        <v>0</v>
      </c>
      <c r="G299" s="89">
        <f t="shared" si="160"/>
        <v>0</v>
      </c>
      <c r="H299" s="89">
        <f t="shared" si="160"/>
        <v>0</v>
      </c>
      <c r="I299" s="89">
        <f t="shared" si="160"/>
        <v>0</v>
      </c>
      <c r="J299" s="89">
        <f t="shared" si="160"/>
        <v>0</v>
      </c>
      <c r="K299" s="89">
        <f t="shared" si="160"/>
        <v>0</v>
      </c>
      <c r="L299" s="89">
        <f t="shared" si="160"/>
        <v>0</v>
      </c>
      <c r="M299" s="89">
        <f t="shared" si="160"/>
        <v>0</v>
      </c>
      <c r="N299" s="89">
        <f t="shared" si="160"/>
        <v>0</v>
      </c>
      <c r="O299" s="89">
        <f t="shared" si="160"/>
        <v>0</v>
      </c>
      <c r="P299" s="89">
        <f t="shared" si="160"/>
        <v>0</v>
      </c>
      <c r="Q299" s="89">
        <f t="shared" si="161"/>
        <v>0</v>
      </c>
      <c r="R299" s="89">
        <f t="shared" si="161"/>
        <v>0</v>
      </c>
      <c r="S299" s="89">
        <f t="shared" si="161"/>
        <v>0</v>
      </c>
      <c r="T299" s="89">
        <f t="shared" si="161"/>
        <v>0</v>
      </c>
      <c r="U299" s="89">
        <f t="shared" si="161"/>
        <v>0</v>
      </c>
      <c r="V299" s="89">
        <f t="shared" si="161"/>
        <v>0</v>
      </c>
      <c r="W299" s="89">
        <f t="shared" si="161"/>
        <v>0</v>
      </c>
      <c r="X299" s="91">
        <f t="shared" si="162"/>
        <v>0</v>
      </c>
      <c r="Y299" s="87" t="str">
        <f t="shared" si="163"/>
        <v>ok</v>
      </c>
      <c r="Z299" s="203" t="str">
        <f t="shared" si="164"/>
        <v/>
      </c>
    </row>
    <row r="300" spans="1:26" ht="12" customHeight="1" x14ac:dyDescent="0.5">
      <c r="A300" s="86" t="s">
        <v>160</v>
      </c>
      <c r="D300" s="86" t="s">
        <v>1662</v>
      </c>
      <c r="F300" s="89">
        <f t="shared" ref="F300:U300" si="165">SUM(F294:F299)</f>
        <v>288540355.83999676</v>
      </c>
      <c r="G300" s="89">
        <f t="shared" si="165"/>
        <v>118244455.02613318</v>
      </c>
      <c r="H300" s="89">
        <f t="shared" ref="H300" si="166">SUM(H294:H299)</f>
        <v>120758.26922117398</v>
      </c>
      <c r="I300" s="89">
        <f t="shared" si="165"/>
        <v>31880880.116783291</v>
      </c>
      <c r="J300" s="89">
        <f>SUM(J294:J299)</f>
        <v>2045708.9906735711</v>
      </c>
      <c r="K300" s="89">
        <f>SUM(K294:K299)</f>
        <v>29730196.847648963</v>
      </c>
      <c r="L300" s="89">
        <f>SUM(L294:L299)</f>
        <v>1291633.8018415116</v>
      </c>
      <c r="M300" s="89">
        <f t="shared" si="165"/>
        <v>28592317.869158018</v>
      </c>
      <c r="N300" s="89">
        <f t="shared" si="165"/>
        <v>52341402.26935254</v>
      </c>
      <c r="O300" s="89">
        <f t="shared" si="165"/>
        <v>17037914.385019727</v>
      </c>
      <c r="P300" s="89">
        <f t="shared" si="165"/>
        <v>7055376.9044973953</v>
      </c>
      <c r="Q300" s="89">
        <f>SUM(Q294:Q299)</f>
        <v>45987.354803719543</v>
      </c>
      <c r="R300" s="89">
        <f t="shared" si="165"/>
        <v>1673.1615226462829</v>
      </c>
      <c r="S300" s="89">
        <f t="shared" si="165"/>
        <v>27360.006706611337</v>
      </c>
      <c r="T300" s="89">
        <f t="shared" si="165"/>
        <v>3521.7012159936285</v>
      </c>
      <c r="U300" s="89">
        <f t="shared" si="165"/>
        <v>238.14261508223822</v>
      </c>
      <c r="V300" s="89">
        <f>SUM(V294:V299)</f>
        <v>106487.13</v>
      </c>
      <c r="W300" s="89">
        <f>SUM(W294:W299)</f>
        <v>14443.86</v>
      </c>
      <c r="X300" s="91">
        <f t="shared" si="162"/>
        <v>288540355.83719337</v>
      </c>
      <c r="Y300" s="87" t="str">
        <f t="shared" si="163"/>
        <v>ok</v>
      </c>
      <c r="Z300" s="203" t="str">
        <f t="shared" si="164"/>
        <v/>
      </c>
    </row>
    <row r="301" spans="1:26" ht="12" customHeight="1" x14ac:dyDescent="0.5">
      <c r="F301" s="90"/>
      <c r="G301" s="90"/>
      <c r="H301" s="90"/>
    </row>
    <row r="302" spans="1:26" ht="12" customHeight="1" x14ac:dyDescent="0.5">
      <c r="A302" s="23" t="s">
        <v>441</v>
      </c>
      <c r="F302" s="90"/>
      <c r="G302" s="90"/>
      <c r="H302" s="90"/>
    </row>
    <row r="303" spans="1:26" ht="12" customHeight="1" x14ac:dyDescent="0.5">
      <c r="A303" s="96" t="s">
        <v>2247</v>
      </c>
      <c r="C303" s="86" t="s">
        <v>814</v>
      </c>
      <c r="D303" s="86" t="s">
        <v>1663</v>
      </c>
      <c r="E303" s="86" t="s">
        <v>2248</v>
      </c>
      <c r="F303" s="89">
        <f>VLOOKUP(C303,'WSS-26'!$C$1:$AU$617,13,)</f>
        <v>35077932.518008411</v>
      </c>
      <c r="G303" s="89">
        <f t="shared" ref="G303:P305" si="167">IF(VLOOKUP($E303,$D$5:$W$978,3,)=0,0,(VLOOKUP($E303,$D$5:$W$978,G$1,)/VLOOKUP($E303,$D$5:$W$978,3,))*$F303)</f>
        <v>15467212.859995713</v>
      </c>
      <c r="H303" s="89">
        <f t="shared" si="167"/>
        <v>49692.248372678783</v>
      </c>
      <c r="I303" s="89">
        <f t="shared" si="167"/>
        <v>3979511.4523223969</v>
      </c>
      <c r="J303" s="89">
        <f t="shared" si="167"/>
        <v>407280.2809298613</v>
      </c>
      <c r="K303" s="89">
        <f t="shared" si="167"/>
        <v>3550071.8792183171</v>
      </c>
      <c r="L303" s="89">
        <f t="shared" si="167"/>
        <v>152549.48627813905</v>
      </c>
      <c r="M303" s="89">
        <f t="shared" si="167"/>
        <v>3140623.8428006498</v>
      </c>
      <c r="N303" s="89">
        <f t="shared" si="167"/>
        <v>5114929.4604301779</v>
      </c>
      <c r="O303" s="89">
        <f t="shared" si="167"/>
        <v>1773746.9613193632</v>
      </c>
      <c r="P303" s="89">
        <f t="shared" si="167"/>
        <v>1188546.5164390379</v>
      </c>
      <c r="Q303" s="89">
        <f t="shared" ref="Q303:W305" si="168">IF(VLOOKUP($E303,$D$5:$W$978,3,)=0,0,(VLOOKUP($E303,$D$5:$W$978,Q$1,)/VLOOKUP($E303,$D$5:$W$978,3,))*$F303)</f>
        <v>239386.3460668796</v>
      </c>
      <c r="R303" s="89">
        <f t="shared" si="168"/>
        <v>8709.6121313243293</v>
      </c>
      <c r="S303" s="89">
        <f t="shared" si="168"/>
        <v>2346.5822391009415</v>
      </c>
      <c r="T303" s="89">
        <f t="shared" si="168"/>
        <v>3304.3702966797987</v>
      </c>
      <c r="U303" s="89">
        <f t="shared" si="168"/>
        <v>20.619168093331016</v>
      </c>
      <c r="V303" s="89">
        <f t="shared" si="168"/>
        <v>0</v>
      </c>
      <c r="W303" s="89">
        <f t="shared" si="168"/>
        <v>0</v>
      </c>
      <c r="X303" s="91">
        <f>SUM(G303:W303)</f>
        <v>35077932.518008411</v>
      </c>
      <c r="Y303" s="87" t="str">
        <f>IF(ABS(F303-X303)&lt;0.01,"ok","err")</f>
        <v>ok</v>
      </c>
      <c r="Z303" s="203" t="str">
        <f>IF(Y303="err",X303-F303,"")</f>
        <v/>
      </c>
    </row>
    <row r="304" spans="1:26" ht="12" hidden="1" customHeight="1" x14ac:dyDescent="0.5">
      <c r="A304" s="96" t="s">
        <v>2246</v>
      </c>
      <c r="C304" s="86" t="s">
        <v>814</v>
      </c>
      <c r="D304" s="86" t="s">
        <v>1664</v>
      </c>
      <c r="E304" s="86" t="s">
        <v>2248</v>
      </c>
      <c r="F304" s="90">
        <f>VLOOKUP(C304,'WSS-26'!$C$1:$AU$617,14,)</f>
        <v>0</v>
      </c>
      <c r="G304" s="89">
        <f t="shared" si="167"/>
        <v>0</v>
      </c>
      <c r="H304" s="89">
        <f t="shared" si="167"/>
        <v>0</v>
      </c>
      <c r="I304" s="89">
        <f t="shared" si="167"/>
        <v>0</v>
      </c>
      <c r="J304" s="89">
        <f t="shared" si="167"/>
        <v>0</v>
      </c>
      <c r="K304" s="89">
        <f t="shared" si="167"/>
        <v>0</v>
      </c>
      <c r="L304" s="89">
        <f t="shared" si="167"/>
        <v>0</v>
      </c>
      <c r="M304" s="89">
        <f t="shared" si="167"/>
        <v>0</v>
      </c>
      <c r="N304" s="89">
        <f t="shared" si="167"/>
        <v>0</v>
      </c>
      <c r="O304" s="89">
        <f t="shared" si="167"/>
        <v>0</v>
      </c>
      <c r="P304" s="89">
        <f t="shared" si="167"/>
        <v>0</v>
      </c>
      <c r="Q304" s="89">
        <f t="shared" si="168"/>
        <v>0</v>
      </c>
      <c r="R304" s="89">
        <f t="shared" si="168"/>
        <v>0</v>
      </c>
      <c r="S304" s="89">
        <f t="shared" si="168"/>
        <v>0</v>
      </c>
      <c r="T304" s="89">
        <f t="shared" si="168"/>
        <v>0</v>
      </c>
      <c r="U304" s="89">
        <f t="shared" si="168"/>
        <v>0</v>
      </c>
      <c r="V304" s="89">
        <f t="shared" si="168"/>
        <v>0</v>
      </c>
      <c r="W304" s="89">
        <f t="shared" si="168"/>
        <v>0</v>
      </c>
      <c r="X304" s="91">
        <f>SUM(G304:W304)</f>
        <v>0</v>
      </c>
      <c r="Y304" s="87" t="str">
        <f>IF(ABS(F304-X304)&lt;0.01,"ok","err")</f>
        <v>ok</v>
      </c>
      <c r="Z304" s="203" t="str">
        <f>IF(Y304="err",X304-F304,"")</f>
        <v/>
      </c>
    </row>
    <row r="305" spans="1:26" ht="12" hidden="1" customHeight="1" x14ac:dyDescent="0.5">
      <c r="A305" s="96" t="s">
        <v>2246</v>
      </c>
      <c r="C305" s="86" t="s">
        <v>814</v>
      </c>
      <c r="D305" s="86" t="s">
        <v>1665</v>
      </c>
      <c r="E305" s="86" t="s">
        <v>2248</v>
      </c>
      <c r="F305" s="90">
        <f>VLOOKUP(C305,'WSS-26'!$C$1:$AU$617,15,)</f>
        <v>0</v>
      </c>
      <c r="G305" s="89">
        <f t="shared" si="167"/>
        <v>0</v>
      </c>
      <c r="H305" s="89">
        <f t="shared" si="167"/>
        <v>0</v>
      </c>
      <c r="I305" s="89">
        <f t="shared" si="167"/>
        <v>0</v>
      </c>
      <c r="J305" s="89">
        <f t="shared" si="167"/>
        <v>0</v>
      </c>
      <c r="K305" s="89">
        <f t="shared" si="167"/>
        <v>0</v>
      </c>
      <c r="L305" s="89">
        <f t="shared" si="167"/>
        <v>0</v>
      </c>
      <c r="M305" s="89">
        <f t="shared" si="167"/>
        <v>0</v>
      </c>
      <c r="N305" s="89">
        <f t="shared" si="167"/>
        <v>0</v>
      </c>
      <c r="O305" s="89">
        <f t="shared" si="167"/>
        <v>0</v>
      </c>
      <c r="P305" s="89">
        <f t="shared" si="167"/>
        <v>0</v>
      </c>
      <c r="Q305" s="89">
        <f t="shared" si="168"/>
        <v>0</v>
      </c>
      <c r="R305" s="89">
        <f t="shared" si="168"/>
        <v>0</v>
      </c>
      <c r="S305" s="89">
        <f t="shared" si="168"/>
        <v>0</v>
      </c>
      <c r="T305" s="89">
        <f t="shared" si="168"/>
        <v>0</v>
      </c>
      <c r="U305" s="89">
        <f t="shared" si="168"/>
        <v>0</v>
      </c>
      <c r="V305" s="89">
        <f t="shared" si="168"/>
        <v>0</v>
      </c>
      <c r="W305" s="89">
        <f t="shared" si="168"/>
        <v>0</v>
      </c>
      <c r="X305" s="91">
        <f>SUM(G305:W305)</f>
        <v>0</v>
      </c>
      <c r="Y305" s="87" t="str">
        <f>IF(ABS(F305-X305)&lt;0.01,"ok","err")</f>
        <v>ok</v>
      </c>
      <c r="Z305" s="203" t="str">
        <f>IF(Y305="err",X305-F305,"")</f>
        <v/>
      </c>
    </row>
    <row r="306" spans="1:26" ht="12" hidden="1" customHeight="1" x14ac:dyDescent="0.5">
      <c r="A306" s="86" t="s">
        <v>443</v>
      </c>
      <c r="D306" s="86" t="s">
        <v>1666</v>
      </c>
      <c r="F306" s="89">
        <f t="shared" ref="F306:U306" si="169">SUM(F303:F305)</f>
        <v>35077932.518008411</v>
      </c>
      <c r="G306" s="89">
        <f t="shared" si="169"/>
        <v>15467212.859995713</v>
      </c>
      <c r="H306" s="89">
        <f t="shared" ref="H306" si="170">SUM(H303:H305)</f>
        <v>49692.248372678783</v>
      </c>
      <c r="I306" s="89">
        <f t="shared" si="169"/>
        <v>3979511.4523223969</v>
      </c>
      <c r="J306" s="89">
        <f>SUM(J303:J305)</f>
        <v>407280.2809298613</v>
      </c>
      <c r="K306" s="89">
        <f>SUM(K303:K305)</f>
        <v>3550071.8792183171</v>
      </c>
      <c r="L306" s="89">
        <f>SUM(L303:L305)</f>
        <v>152549.48627813905</v>
      </c>
      <c r="M306" s="89">
        <f t="shared" si="169"/>
        <v>3140623.8428006498</v>
      </c>
      <c r="N306" s="89">
        <f t="shared" si="169"/>
        <v>5114929.4604301779</v>
      </c>
      <c r="O306" s="89">
        <f t="shared" si="169"/>
        <v>1773746.9613193632</v>
      </c>
      <c r="P306" s="89">
        <f t="shared" si="169"/>
        <v>1188546.5164390379</v>
      </c>
      <c r="Q306" s="89">
        <f>SUM(Q303:Q305)</f>
        <v>239386.3460668796</v>
      </c>
      <c r="R306" s="89">
        <f t="shared" si="169"/>
        <v>8709.6121313243293</v>
      </c>
      <c r="S306" s="89">
        <f t="shared" si="169"/>
        <v>2346.5822391009415</v>
      </c>
      <c r="T306" s="89">
        <f t="shared" si="169"/>
        <v>3304.3702966797987</v>
      </c>
      <c r="U306" s="89">
        <f t="shared" si="169"/>
        <v>20.619168093331016</v>
      </c>
      <c r="V306" s="89">
        <f>SUM(V303:V305)</f>
        <v>0</v>
      </c>
      <c r="W306" s="89">
        <f>SUM(W303:W305)</f>
        <v>0</v>
      </c>
      <c r="X306" s="91">
        <f>SUM(G306:W306)</f>
        <v>35077932.518008411</v>
      </c>
      <c r="Y306" s="87" t="str">
        <f>IF(ABS(F306-X306)&lt;0.01,"ok","err")</f>
        <v>ok</v>
      </c>
      <c r="Z306" s="91" t="str">
        <f>IF(Y306="err",X306-F306,"")</f>
        <v/>
      </c>
    </row>
    <row r="307" spans="1:26" ht="12" customHeight="1" x14ac:dyDescent="0.5">
      <c r="F307" s="90"/>
      <c r="G307" s="90"/>
      <c r="H307" s="90"/>
    </row>
    <row r="308" spans="1:26" ht="12" customHeight="1" x14ac:dyDescent="0.5">
      <c r="A308" s="23" t="s">
        <v>1627</v>
      </c>
      <c r="F308" s="90"/>
      <c r="G308" s="90"/>
      <c r="H308" s="90"/>
    </row>
    <row r="309" spans="1:26" ht="12" customHeight="1" x14ac:dyDescent="0.5">
      <c r="A309" s="96" t="s">
        <v>145</v>
      </c>
      <c r="C309" s="86" t="s">
        <v>814</v>
      </c>
      <c r="D309" s="86" t="s">
        <v>1667</v>
      </c>
      <c r="E309" s="86" t="s">
        <v>2252</v>
      </c>
      <c r="F309" s="89">
        <f>VLOOKUP(C309,'WSS-26'!$C$1:$AU$617,17,)</f>
        <v>0</v>
      </c>
      <c r="G309" s="89">
        <f t="shared" ref="G309:W309" si="171">IF(VLOOKUP($E309,$D$5:$W$978,3,)=0,0,(VLOOKUP($E309,$D$5:$W$978,G$1,)/VLOOKUP($E309,$D$5:$W$978,3,))*$F309)</f>
        <v>0</v>
      </c>
      <c r="H309" s="89">
        <f t="shared" si="171"/>
        <v>0</v>
      </c>
      <c r="I309" s="89">
        <f t="shared" si="171"/>
        <v>0</v>
      </c>
      <c r="J309" s="89">
        <f t="shared" si="171"/>
        <v>0</v>
      </c>
      <c r="K309" s="89">
        <f t="shared" si="171"/>
        <v>0</v>
      </c>
      <c r="L309" s="89">
        <f t="shared" si="171"/>
        <v>0</v>
      </c>
      <c r="M309" s="89">
        <f t="shared" si="171"/>
        <v>0</v>
      </c>
      <c r="N309" s="89">
        <f t="shared" si="171"/>
        <v>0</v>
      </c>
      <c r="O309" s="89">
        <f t="shared" si="171"/>
        <v>0</v>
      </c>
      <c r="P309" s="89">
        <f t="shared" si="171"/>
        <v>0</v>
      </c>
      <c r="Q309" s="89">
        <f t="shared" si="171"/>
        <v>0</v>
      </c>
      <c r="R309" s="89">
        <f t="shared" si="171"/>
        <v>0</v>
      </c>
      <c r="S309" s="89">
        <f t="shared" si="171"/>
        <v>0</v>
      </c>
      <c r="T309" s="89">
        <f t="shared" si="171"/>
        <v>0</v>
      </c>
      <c r="U309" s="89">
        <f t="shared" si="171"/>
        <v>0</v>
      </c>
      <c r="V309" s="89">
        <f t="shared" si="171"/>
        <v>0</v>
      </c>
      <c r="W309" s="89">
        <f t="shared" si="171"/>
        <v>0</v>
      </c>
      <c r="X309" s="91">
        <f>SUM(G309:W309)</f>
        <v>0</v>
      </c>
      <c r="Y309" s="87" t="str">
        <f>IF(ABS(F309-X309)&lt;0.01,"ok","err")</f>
        <v>ok</v>
      </c>
      <c r="Z309" s="203" t="str">
        <f>IF(Y309="err",X309-F309,"")</f>
        <v/>
      </c>
    </row>
    <row r="310" spans="1:26" ht="12" customHeight="1" x14ac:dyDescent="0.5">
      <c r="F310" s="90"/>
    </row>
    <row r="311" spans="1:26" ht="12" customHeight="1" x14ac:dyDescent="0.5">
      <c r="A311" s="23" t="s">
        <v>1628</v>
      </c>
      <c r="F311" s="90"/>
      <c r="G311" s="90"/>
      <c r="H311" s="90"/>
    </row>
    <row r="312" spans="1:26" ht="12" customHeight="1" x14ac:dyDescent="0.5">
      <c r="A312" s="96" t="s">
        <v>147</v>
      </c>
      <c r="C312" s="86" t="s">
        <v>814</v>
      </c>
      <c r="D312" s="86" t="s">
        <v>1668</v>
      </c>
      <c r="E312" s="86" t="s">
        <v>2252</v>
      </c>
      <c r="F312" s="89">
        <f>VLOOKUP(C312,'WSS-26'!$C$1:$AU$617,18,)</f>
        <v>7353571.5914639523</v>
      </c>
      <c r="G312" s="89">
        <f t="shared" ref="G312:W312" si="172">IF(VLOOKUP($E312,$D$5:$W$978,3,)=0,0,(VLOOKUP($E312,$D$5:$W$978,G$1,)/VLOOKUP($E312,$D$5:$W$978,3,))*$F312)</f>
        <v>3541553.6008435888</v>
      </c>
      <c r="H312" s="89">
        <f t="shared" si="172"/>
        <v>11378.117231026668</v>
      </c>
      <c r="I312" s="89">
        <f t="shared" si="172"/>
        <v>911195.3938399856</v>
      </c>
      <c r="J312" s="89">
        <f t="shared" si="172"/>
        <v>93255.647189699201</v>
      </c>
      <c r="K312" s="89">
        <f t="shared" si="172"/>
        <v>812865.89645490143</v>
      </c>
      <c r="L312" s="89">
        <f t="shared" si="172"/>
        <v>34929.511045426501</v>
      </c>
      <c r="M312" s="89">
        <f t="shared" si="172"/>
        <v>719113.89466511505</v>
      </c>
      <c r="N312" s="89">
        <f t="shared" si="172"/>
        <v>1171173.9543909316</v>
      </c>
      <c r="O312" s="89">
        <f t="shared" si="172"/>
        <v>0</v>
      </c>
      <c r="P312" s="89">
        <f t="shared" si="172"/>
        <v>0</v>
      </c>
      <c r="Q312" s="89">
        <f t="shared" si="172"/>
        <v>54812.692084860973</v>
      </c>
      <c r="R312" s="89">
        <f t="shared" si="172"/>
        <v>1994.2544584371376</v>
      </c>
      <c r="S312" s="89">
        <f t="shared" si="172"/>
        <v>537.30086045805251</v>
      </c>
      <c r="T312" s="89">
        <f t="shared" si="172"/>
        <v>756.60719411151763</v>
      </c>
      <c r="U312" s="89">
        <f t="shared" si="172"/>
        <v>4.7212054083902961</v>
      </c>
      <c r="V312" s="89">
        <f t="shared" si="172"/>
        <v>0</v>
      </c>
      <c r="W312" s="89">
        <f t="shared" si="172"/>
        <v>0</v>
      </c>
      <c r="X312" s="91">
        <f>SUM(G312:W312)</f>
        <v>7353571.5914639514</v>
      </c>
      <c r="Y312" s="87" t="str">
        <f>IF(ABS(F312-X312)&lt;0.01,"ok","err")</f>
        <v>ok</v>
      </c>
      <c r="Z312" s="203" t="str">
        <f>IF(Y312="err",X312-F312,"")</f>
        <v/>
      </c>
    </row>
    <row r="313" spans="1:26" ht="12" customHeight="1" x14ac:dyDescent="0.5">
      <c r="F313" s="90"/>
    </row>
    <row r="314" spans="1:26" ht="12" customHeight="1" x14ac:dyDescent="0.5">
      <c r="A314" s="23" t="s">
        <v>146</v>
      </c>
      <c r="F314" s="90"/>
    </row>
    <row r="315" spans="1:26" ht="12" customHeight="1" x14ac:dyDescent="0.5">
      <c r="A315" s="96" t="s">
        <v>791</v>
      </c>
      <c r="C315" s="86" t="s">
        <v>814</v>
      </c>
      <c r="D315" s="86" t="s">
        <v>1669</v>
      </c>
      <c r="E315" s="86" t="s">
        <v>2252</v>
      </c>
      <c r="F315" s="89">
        <f>VLOOKUP(C315,'WSS-26'!$C$1:$AU$617,19,)</f>
        <v>0</v>
      </c>
      <c r="G315" s="89">
        <f t="shared" ref="G315:P319" si="173">IF(VLOOKUP($E315,$D$5:$W$978,3,)=0,0,(VLOOKUP($E315,$D$5:$W$978,G$1,)/VLOOKUP($E315,$D$5:$W$978,3,))*$F315)</f>
        <v>0</v>
      </c>
      <c r="H315" s="89">
        <f t="shared" si="173"/>
        <v>0</v>
      </c>
      <c r="I315" s="89">
        <f t="shared" si="173"/>
        <v>0</v>
      </c>
      <c r="J315" s="89">
        <f t="shared" si="173"/>
        <v>0</v>
      </c>
      <c r="K315" s="89">
        <f t="shared" si="173"/>
        <v>0</v>
      </c>
      <c r="L315" s="89">
        <f t="shared" si="173"/>
        <v>0</v>
      </c>
      <c r="M315" s="89">
        <f t="shared" si="173"/>
        <v>0</v>
      </c>
      <c r="N315" s="89">
        <f t="shared" si="173"/>
        <v>0</v>
      </c>
      <c r="O315" s="89">
        <f t="shared" si="173"/>
        <v>0</v>
      </c>
      <c r="P315" s="89">
        <f t="shared" si="173"/>
        <v>0</v>
      </c>
      <c r="Q315" s="89">
        <f t="shared" ref="Q315:W319" si="174">IF(VLOOKUP($E315,$D$5:$W$978,3,)=0,0,(VLOOKUP($E315,$D$5:$W$978,Q$1,)/VLOOKUP($E315,$D$5:$W$978,3,))*$F315)</f>
        <v>0</v>
      </c>
      <c r="R315" s="89">
        <f t="shared" si="174"/>
        <v>0</v>
      </c>
      <c r="S315" s="89">
        <f t="shared" si="174"/>
        <v>0</v>
      </c>
      <c r="T315" s="89">
        <f t="shared" si="174"/>
        <v>0</v>
      </c>
      <c r="U315" s="89">
        <f t="shared" si="174"/>
        <v>0</v>
      </c>
      <c r="V315" s="89">
        <f t="shared" si="174"/>
        <v>0</v>
      </c>
      <c r="W315" s="89">
        <f t="shared" si="174"/>
        <v>0</v>
      </c>
      <c r="X315" s="91">
        <f t="shared" ref="X315:X320" si="175">SUM(G315:W315)</f>
        <v>0</v>
      </c>
      <c r="Y315" s="87" t="str">
        <f t="shared" ref="Y315:Y320" si="176">IF(ABS(F315-X315)&lt;0.01,"ok","err")</f>
        <v>ok</v>
      </c>
      <c r="Z315" s="203" t="str">
        <f t="shared" ref="Z315:Z320" si="177">IF(Y315="err",X315-F315,"")</f>
        <v/>
      </c>
    </row>
    <row r="316" spans="1:26" ht="12" customHeight="1" x14ac:dyDescent="0.5">
      <c r="A316" s="96" t="s">
        <v>792</v>
      </c>
      <c r="C316" s="86" t="s">
        <v>814</v>
      </c>
      <c r="D316" s="86" t="s">
        <v>1670</v>
      </c>
      <c r="E316" s="86" t="s">
        <v>2252</v>
      </c>
      <c r="F316" s="90">
        <f>VLOOKUP(C316,'WSS-26'!$C$1:$AU$617,20,)</f>
        <v>5848687.6286234111</v>
      </c>
      <c r="G316" s="89">
        <f t="shared" si="173"/>
        <v>2816786.4382261289</v>
      </c>
      <c r="H316" s="89">
        <f t="shared" si="173"/>
        <v>9049.6233916292531</v>
      </c>
      <c r="I316" s="89">
        <f t="shared" si="173"/>
        <v>724722.28779234632</v>
      </c>
      <c r="J316" s="89">
        <f t="shared" si="173"/>
        <v>74171.189228754098</v>
      </c>
      <c r="K316" s="89">
        <f t="shared" si="173"/>
        <v>646515.5949313594</v>
      </c>
      <c r="L316" s="89">
        <f t="shared" si="173"/>
        <v>27781.302811057591</v>
      </c>
      <c r="M316" s="89">
        <f t="shared" si="173"/>
        <v>571949.62842018786</v>
      </c>
      <c r="N316" s="89">
        <f t="shared" si="173"/>
        <v>931497.10080520657</v>
      </c>
      <c r="O316" s="89">
        <f t="shared" si="173"/>
        <v>0</v>
      </c>
      <c r="P316" s="89">
        <f t="shared" si="173"/>
        <v>0</v>
      </c>
      <c r="Q316" s="89">
        <f t="shared" si="174"/>
        <v>43595.456996761088</v>
      </c>
      <c r="R316" s="89">
        <f t="shared" si="174"/>
        <v>1586.1369178655591</v>
      </c>
      <c r="S316" s="89">
        <f t="shared" si="174"/>
        <v>427.3440268205934</v>
      </c>
      <c r="T316" s="89">
        <f t="shared" si="174"/>
        <v>601.77004886499549</v>
      </c>
      <c r="U316" s="89">
        <f t="shared" si="174"/>
        <v>3.7550264277423162</v>
      </c>
      <c r="V316" s="89">
        <f t="shared" si="174"/>
        <v>0</v>
      </c>
      <c r="W316" s="89">
        <f t="shared" si="174"/>
        <v>0</v>
      </c>
      <c r="X316" s="91">
        <f t="shared" si="175"/>
        <v>5848687.6286234111</v>
      </c>
      <c r="Y316" s="87" t="str">
        <f t="shared" si="176"/>
        <v>ok</v>
      </c>
      <c r="Z316" s="203" t="str">
        <f t="shared" si="177"/>
        <v/>
      </c>
    </row>
    <row r="317" spans="1:26" ht="12" customHeight="1" x14ac:dyDescent="0.5">
      <c r="A317" s="96" t="s">
        <v>793</v>
      </c>
      <c r="C317" s="86" t="s">
        <v>814</v>
      </c>
      <c r="D317" s="86" t="s">
        <v>1671</v>
      </c>
      <c r="E317" s="86" t="s">
        <v>904</v>
      </c>
      <c r="F317" s="90">
        <f>VLOOKUP(C317,'WSS-26'!$C$1:$AU$617,21,)</f>
        <v>11368475.22127467</v>
      </c>
      <c r="G317" s="89">
        <f t="shared" si="173"/>
        <v>9119125.5930963568</v>
      </c>
      <c r="H317" s="89">
        <f t="shared" si="173"/>
        <v>13337.125835733732</v>
      </c>
      <c r="I317" s="89">
        <f t="shared" si="173"/>
        <v>1709134.0947142125</v>
      </c>
      <c r="J317" s="89">
        <f t="shared" si="173"/>
        <v>8753.7791863020157</v>
      </c>
      <c r="K317" s="89">
        <f t="shared" si="173"/>
        <v>91687.578694262411</v>
      </c>
      <c r="L317" s="89">
        <f t="shared" si="173"/>
        <v>4211.7239481264414</v>
      </c>
      <c r="M317" s="89">
        <f t="shared" si="173"/>
        <v>15814.610511102228</v>
      </c>
      <c r="N317" s="89">
        <f t="shared" si="173"/>
        <v>5285.300640786123</v>
      </c>
      <c r="O317" s="89">
        <f t="shared" si="173"/>
        <v>0</v>
      </c>
      <c r="P317" s="89">
        <f t="shared" si="173"/>
        <v>0</v>
      </c>
      <c r="Q317" s="89">
        <f t="shared" si="174"/>
        <v>397533.06186850317</v>
      </c>
      <c r="R317" s="89">
        <f t="shared" si="174"/>
        <v>247.74846753684955</v>
      </c>
      <c r="S317" s="89">
        <f t="shared" si="174"/>
        <v>3055.5644329544775</v>
      </c>
      <c r="T317" s="89">
        <f t="shared" si="174"/>
        <v>82.582822512283173</v>
      </c>
      <c r="U317" s="89">
        <f t="shared" si="174"/>
        <v>206.45705628070792</v>
      </c>
      <c r="V317" s="89">
        <f t="shared" si="174"/>
        <v>0</v>
      </c>
      <c r="W317" s="89">
        <f t="shared" si="174"/>
        <v>0</v>
      </c>
      <c r="X317" s="91">
        <f t="shared" si="175"/>
        <v>11368475.22127467</v>
      </c>
      <c r="Y317" s="87" t="str">
        <f t="shared" si="176"/>
        <v>ok</v>
      </c>
      <c r="Z317" s="203" t="str">
        <f t="shared" si="177"/>
        <v/>
      </c>
    </row>
    <row r="318" spans="1:26" ht="12" customHeight="1" x14ac:dyDescent="0.5">
      <c r="A318" s="96" t="s">
        <v>794</v>
      </c>
      <c r="C318" s="86" t="s">
        <v>814</v>
      </c>
      <c r="D318" s="86" t="s">
        <v>1672</v>
      </c>
      <c r="E318" s="86" t="s">
        <v>733</v>
      </c>
      <c r="F318" s="90">
        <f>VLOOKUP(C318,'WSS-26'!$C$1:$AU$617,22,)</f>
        <v>2632989.6932173292</v>
      </c>
      <c r="G318" s="89">
        <f t="shared" si="173"/>
        <v>2174534.434430195</v>
      </c>
      <c r="H318" s="89">
        <f t="shared" si="173"/>
        <v>6538.9972310626172</v>
      </c>
      <c r="I318" s="89">
        <f t="shared" si="173"/>
        <v>406595.4519399057</v>
      </c>
      <c r="J318" s="89">
        <f t="shared" si="173"/>
        <v>29472.183289121775</v>
      </c>
      <c r="K318" s="89">
        <f t="shared" si="173"/>
        <v>0</v>
      </c>
      <c r="L318" s="89">
        <f t="shared" si="173"/>
        <v>0</v>
      </c>
      <c r="M318" s="89">
        <f t="shared" si="173"/>
        <v>0</v>
      </c>
      <c r="N318" s="89">
        <f t="shared" si="173"/>
        <v>0</v>
      </c>
      <c r="O318" s="89">
        <f t="shared" si="173"/>
        <v>0</v>
      </c>
      <c r="P318" s="89">
        <f t="shared" si="173"/>
        <v>0</v>
      </c>
      <c r="Q318" s="89">
        <f t="shared" si="174"/>
        <v>15147.715746251</v>
      </c>
      <c r="R318" s="89">
        <f t="shared" si="174"/>
        <v>551.12052543106017</v>
      </c>
      <c r="S318" s="89">
        <f t="shared" si="174"/>
        <v>148.48533058427495</v>
      </c>
      <c r="T318" s="89">
        <f t="shared" si="174"/>
        <v>0</v>
      </c>
      <c r="U318" s="89">
        <f t="shared" si="174"/>
        <v>1.3047247778897424</v>
      </c>
      <c r="V318" s="89">
        <f t="shared" si="174"/>
        <v>0</v>
      </c>
      <c r="W318" s="89">
        <f t="shared" si="174"/>
        <v>0</v>
      </c>
      <c r="X318" s="91">
        <f t="shared" si="175"/>
        <v>2632989.6932173292</v>
      </c>
      <c r="Y318" s="87" t="str">
        <f t="shared" si="176"/>
        <v>ok</v>
      </c>
      <c r="Z318" s="203" t="str">
        <f t="shared" si="177"/>
        <v/>
      </c>
    </row>
    <row r="319" spans="1:26" ht="12" customHeight="1" x14ac:dyDescent="0.5">
      <c r="A319" s="96" t="s">
        <v>795</v>
      </c>
      <c r="C319" s="86" t="s">
        <v>814</v>
      </c>
      <c r="D319" s="86" t="s">
        <v>1673</v>
      </c>
      <c r="E319" s="86" t="s">
        <v>903</v>
      </c>
      <c r="F319" s="90">
        <f>VLOOKUP(C319,'WSS-26'!$C$1:$AU$617,23,)</f>
        <v>5315352.2236691518</v>
      </c>
      <c r="G319" s="89">
        <f t="shared" si="173"/>
        <v>4267229.2929768655</v>
      </c>
      <c r="H319" s="89">
        <f t="shared" si="173"/>
        <v>6241.0121967666792</v>
      </c>
      <c r="I319" s="89">
        <f t="shared" si="173"/>
        <v>799777.01810701669</v>
      </c>
      <c r="J319" s="89">
        <f t="shared" si="173"/>
        <v>4096.2680672276656</v>
      </c>
      <c r="K319" s="89">
        <f t="shared" si="173"/>
        <v>42904.543600372788</v>
      </c>
      <c r="L319" s="89">
        <f t="shared" si="173"/>
        <v>0</v>
      </c>
      <c r="M319" s="89">
        <f t="shared" si="173"/>
        <v>7400.3333478688483</v>
      </c>
      <c r="N319" s="89">
        <f t="shared" si="173"/>
        <v>0</v>
      </c>
      <c r="O319" s="89">
        <f t="shared" si="173"/>
        <v>0</v>
      </c>
      <c r="P319" s="89">
        <f t="shared" si="173"/>
        <v>0</v>
      </c>
      <c r="Q319" s="89">
        <f t="shared" si="174"/>
        <v>186022.73970393563</v>
      </c>
      <c r="R319" s="89">
        <f t="shared" si="174"/>
        <v>115.93211511021696</v>
      </c>
      <c r="S319" s="89">
        <f t="shared" si="174"/>
        <v>1429.8294196926759</v>
      </c>
      <c r="T319" s="89">
        <f t="shared" si="174"/>
        <v>38.644038370072316</v>
      </c>
      <c r="U319" s="89">
        <f t="shared" si="174"/>
        <v>96.610095925180786</v>
      </c>
      <c r="V319" s="89">
        <f t="shared" si="174"/>
        <v>0</v>
      </c>
      <c r="W319" s="89">
        <f t="shared" si="174"/>
        <v>0</v>
      </c>
      <c r="X319" s="91">
        <f t="shared" si="175"/>
        <v>5315352.2236691536</v>
      </c>
      <c r="Y319" s="87" t="str">
        <f t="shared" si="176"/>
        <v>ok</v>
      </c>
      <c r="Z319" s="203" t="str">
        <f t="shared" si="177"/>
        <v/>
      </c>
    </row>
    <row r="320" spans="1:26" ht="12" customHeight="1" x14ac:dyDescent="0.5">
      <c r="A320" s="86" t="s">
        <v>151</v>
      </c>
      <c r="D320" s="86" t="s">
        <v>1674</v>
      </c>
      <c r="F320" s="89">
        <f>SUM(F315:F319)</f>
        <v>25165504.766784564</v>
      </c>
      <c r="G320" s="89">
        <f t="shared" ref="G320:U320" si="178">SUM(G315:G319)</f>
        <v>18377675.758729547</v>
      </c>
      <c r="H320" s="89">
        <f t="shared" ref="H320" si="179">SUM(H315:H319)</f>
        <v>35166.75865519228</v>
      </c>
      <c r="I320" s="89">
        <f t="shared" si="178"/>
        <v>3640228.8525534808</v>
      </c>
      <c r="J320" s="89">
        <f>SUM(J315:J319)</f>
        <v>116493.41977140555</v>
      </c>
      <c r="K320" s="89">
        <f>SUM(K315:K319)</f>
        <v>781107.71722599457</v>
      </c>
      <c r="L320" s="89">
        <f>SUM(L315:L319)</f>
        <v>31993.026759184031</v>
      </c>
      <c r="M320" s="89">
        <f t="shared" si="178"/>
        <v>595164.57227915898</v>
      </c>
      <c r="N320" s="89">
        <f t="shared" si="178"/>
        <v>936782.40144599264</v>
      </c>
      <c r="O320" s="89">
        <f t="shared" si="178"/>
        <v>0</v>
      </c>
      <c r="P320" s="89">
        <f t="shared" si="178"/>
        <v>0</v>
      </c>
      <c r="Q320" s="89">
        <f>SUM(Q315:Q319)</f>
        <v>642298.97431545088</v>
      </c>
      <c r="R320" s="89">
        <f t="shared" si="178"/>
        <v>2500.9380259436857</v>
      </c>
      <c r="S320" s="89">
        <f t="shared" si="178"/>
        <v>5061.2232100520214</v>
      </c>
      <c r="T320" s="89">
        <f t="shared" si="178"/>
        <v>722.99690974735097</v>
      </c>
      <c r="U320" s="89">
        <f t="shared" si="178"/>
        <v>308.12690341152074</v>
      </c>
      <c r="V320" s="89">
        <f>SUM(V315:V319)</f>
        <v>0</v>
      </c>
      <c r="W320" s="89">
        <f>SUM(W315:W319)</f>
        <v>0</v>
      </c>
      <c r="X320" s="91">
        <f t="shared" si="175"/>
        <v>25165504.76678456</v>
      </c>
      <c r="Y320" s="87" t="str">
        <f t="shared" si="176"/>
        <v>ok</v>
      </c>
      <c r="Z320" s="91" t="str">
        <f t="shared" si="177"/>
        <v/>
      </c>
    </row>
    <row r="321" spans="1:26" ht="12" customHeight="1" x14ac:dyDescent="0.5">
      <c r="F321" s="90"/>
    </row>
    <row r="322" spans="1:26" ht="12" customHeight="1" x14ac:dyDescent="0.5">
      <c r="A322" s="23" t="s">
        <v>790</v>
      </c>
      <c r="F322" s="90"/>
    </row>
    <row r="323" spans="1:26" ht="12" customHeight="1" x14ac:dyDescent="0.5">
      <c r="A323" s="96" t="s">
        <v>389</v>
      </c>
      <c r="C323" s="86" t="s">
        <v>814</v>
      </c>
      <c r="D323" s="86" t="s">
        <v>1675</v>
      </c>
      <c r="E323" s="86" t="s">
        <v>2177</v>
      </c>
      <c r="F323" s="89">
        <f>VLOOKUP(C323,'WSS-26'!$C$1:$AU$617,24,)</f>
        <v>3838199.390866559</v>
      </c>
      <c r="G323" s="89">
        <f t="shared" ref="G323:P324" si="180">IF(VLOOKUP($E323,$D$5:$W$978,3,)=0,0,(VLOOKUP($E323,$D$5:$W$978,G$1,)/VLOOKUP($E323,$D$5:$W$978,3,))*$F323)</f>
        <v>2616290.3902027463</v>
      </c>
      <c r="H323" s="89">
        <f t="shared" si="180"/>
        <v>7867.3923697485025</v>
      </c>
      <c r="I323" s="89">
        <f t="shared" si="180"/>
        <v>489195.18438863615</v>
      </c>
      <c r="J323" s="89">
        <f t="shared" si="180"/>
        <v>35459.447639341815</v>
      </c>
      <c r="K323" s="89">
        <f t="shared" si="180"/>
        <v>361429.4685947079</v>
      </c>
      <c r="L323" s="89">
        <f t="shared" si="180"/>
        <v>0</v>
      </c>
      <c r="M323" s="89">
        <f t="shared" si="180"/>
        <v>308460.83639954479</v>
      </c>
      <c r="N323" s="89">
        <f t="shared" si="180"/>
        <v>0</v>
      </c>
      <c r="O323" s="89">
        <f t="shared" si="180"/>
        <v>0</v>
      </c>
      <c r="P323" s="89">
        <f t="shared" si="180"/>
        <v>0</v>
      </c>
      <c r="Q323" s="89">
        <f t="shared" ref="Q323:W324" si="181">IF(VLOOKUP($E323,$D$5:$W$978,3,)=0,0,(VLOOKUP($E323,$D$5:$W$978,Q$1,)/VLOOKUP($E323,$D$5:$W$978,3,))*$F323)</f>
        <v>18224.969222354019</v>
      </c>
      <c r="R323" s="89">
        <f t="shared" si="181"/>
        <v>663.08047906659033</v>
      </c>
      <c r="S323" s="89">
        <f t="shared" si="181"/>
        <v>178.65007669814719</v>
      </c>
      <c r="T323" s="89">
        <f t="shared" si="181"/>
        <v>428.40171452668199</v>
      </c>
      <c r="U323" s="89">
        <f t="shared" si="181"/>
        <v>1.5697791877675249</v>
      </c>
      <c r="V323" s="89">
        <f t="shared" si="181"/>
        <v>0</v>
      </c>
      <c r="W323" s="89">
        <f t="shared" si="181"/>
        <v>0</v>
      </c>
      <c r="X323" s="91">
        <f>SUM(G323:W323)</f>
        <v>3838199.3908665595</v>
      </c>
      <c r="Y323" s="87" t="str">
        <f>IF(ABS(F323-X323)&lt;0.01,"ok","err")</f>
        <v>ok</v>
      </c>
      <c r="Z323" s="203" t="str">
        <f>IF(Y323="err",X323-F323,"")</f>
        <v/>
      </c>
    </row>
    <row r="324" spans="1:26" ht="12" customHeight="1" x14ac:dyDescent="0.5">
      <c r="A324" s="96" t="s">
        <v>392</v>
      </c>
      <c r="C324" s="86" t="s">
        <v>814</v>
      </c>
      <c r="D324" s="86" t="s">
        <v>1676</v>
      </c>
      <c r="E324" s="86" t="s">
        <v>2176</v>
      </c>
      <c r="F324" s="90">
        <f>VLOOKUP(C324,'WSS-26'!$C$1:$AU$617,25,)</f>
        <v>3188879.6905575609</v>
      </c>
      <c r="G324" s="89">
        <f t="shared" si="180"/>
        <v>2560071.328242653</v>
      </c>
      <c r="H324" s="89">
        <f t="shared" si="180"/>
        <v>3744.2179192131107</v>
      </c>
      <c r="I324" s="89">
        <f t="shared" si="180"/>
        <v>479816.30994448625</v>
      </c>
      <c r="J324" s="89">
        <f t="shared" si="180"/>
        <v>2457.5052596692858</v>
      </c>
      <c r="K324" s="89">
        <f t="shared" si="180"/>
        <v>25740.049193847404</v>
      </c>
      <c r="L324" s="89">
        <f t="shared" si="180"/>
        <v>0</v>
      </c>
      <c r="M324" s="89">
        <f t="shared" si="180"/>
        <v>4439.7382757232854</v>
      </c>
      <c r="N324" s="89">
        <f t="shared" si="180"/>
        <v>0</v>
      </c>
      <c r="O324" s="89">
        <f t="shared" si="180"/>
        <v>0</v>
      </c>
      <c r="P324" s="89">
        <f t="shared" si="180"/>
        <v>0</v>
      </c>
      <c r="Q324" s="89">
        <f t="shared" si="181"/>
        <v>111602.03720502855</v>
      </c>
      <c r="R324" s="89">
        <f t="shared" si="181"/>
        <v>69.552035651017533</v>
      </c>
      <c r="S324" s="89">
        <f t="shared" si="181"/>
        <v>857.80843969588295</v>
      </c>
      <c r="T324" s="89">
        <f t="shared" si="181"/>
        <v>23.184011883672508</v>
      </c>
      <c r="U324" s="89">
        <f t="shared" si="181"/>
        <v>57.960029709181271</v>
      </c>
      <c r="V324" s="89">
        <f t="shared" si="181"/>
        <v>0</v>
      </c>
      <c r="W324" s="89">
        <f t="shared" si="181"/>
        <v>0</v>
      </c>
      <c r="X324" s="91">
        <f>SUM(G324:W324)</f>
        <v>3188879.6905575604</v>
      </c>
      <c r="Y324" s="87" t="str">
        <f>IF(ABS(F324-X324)&lt;0.01,"ok","err")</f>
        <v>ok</v>
      </c>
      <c r="Z324" s="203" t="str">
        <f>IF(Y324="err",X324-F324,"")</f>
        <v/>
      </c>
    </row>
    <row r="325" spans="1:26" ht="12" customHeight="1" x14ac:dyDescent="0.5">
      <c r="A325" s="86" t="s">
        <v>1468</v>
      </c>
      <c r="D325" s="86" t="s">
        <v>1677</v>
      </c>
      <c r="F325" s="89">
        <f t="shared" ref="F325:U325" si="182">F323+F324</f>
        <v>7027079.0814241199</v>
      </c>
      <c r="G325" s="89">
        <f t="shared" si="182"/>
        <v>5176361.7184453998</v>
      </c>
      <c r="H325" s="89">
        <f t="shared" ref="H325" si="183">H323+H324</f>
        <v>11611.610288961612</v>
      </c>
      <c r="I325" s="89">
        <f t="shared" si="182"/>
        <v>969011.49433312239</v>
      </c>
      <c r="J325" s="89">
        <f>J323+J324</f>
        <v>37916.952899011099</v>
      </c>
      <c r="K325" s="89">
        <f>K323+K324</f>
        <v>387169.5177885553</v>
      </c>
      <c r="L325" s="89">
        <f>L323+L324</f>
        <v>0</v>
      </c>
      <c r="M325" s="89">
        <f t="shared" si="182"/>
        <v>312900.57467526809</v>
      </c>
      <c r="N325" s="89">
        <f t="shared" si="182"/>
        <v>0</v>
      </c>
      <c r="O325" s="89">
        <f t="shared" si="182"/>
        <v>0</v>
      </c>
      <c r="P325" s="89">
        <f t="shared" si="182"/>
        <v>0</v>
      </c>
      <c r="Q325" s="89">
        <f>Q323+Q324</f>
        <v>129827.00642738257</v>
      </c>
      <c r="R325" s="89">
        <f t="shared" si="182"/>
        <v>732.63251471760782</v>
      </c>
      <c r="S325" s="89">
        <f t="shared" si="182"/>
        <v>1036.4585163940301</v>
      </c>
      <c r="T325" s="89">
        <f t="shared" si="182"/>
        <v>451.58572641035448</v>
      </c>
      <c r="U325" s="89">
        <f t="shared" si="182"/>
        <v>59.529808896948794</v>
      </c>
      <c r="V325" s="89">
        <f>V323+V324</f>
        <v>0</v>
      </c>
      <c r="W325" s="89">
        <f>W323+W324</f>
        <v>0</v>
      </c>
      <c r="X325" s="91">
        <f>SUM(G325:W325)</f>
        <v>7027079.0814241199</v>
      </c>
      <c r="Y325" s="87" t="str">
        <f>IF(ABS(F325-X325)&lt;0.01,"ok","err")</f>
        <v>ok</v>
      </c>
      <c r="Z325" s="91" t="str">
        <f>IF(Y325="err",X325-F325,"")</f>
        <v/>
      </c>
    </row>
    <row r="326" spans="1:26" ht="12" customHeight="1" x14ac:dyDescent="0.5">
      <c r="F326" s="90"/>
    </row>
    <row r="327" spans="1:26" ht="12" customHeight="1" x14ac:dyDescent="0.5">
      <c r="A327" s="23" t="s">
        <v>128</v>
      </c>
      <c r="F327" s="90"/>
    </row>
    <row r="328" spans="1:26" ht="12" customHeight="1" x14ac:dyDescent="0.5">
      <c r="A328" s="96" t="s">
        <v>392</v>
      </c>
      <c r="C328" s="86" t="s">
        <v>814</v>
      </c>
      <c r="D328" s="86" t="s">
        <v>1678</v>
      </c>
      <c r="E328" s="86" t="s">
        <v>393</v>
      </c>
      <c r="F328" s="89">
        <f>VLOOKUP(C328,'WSS-26'!$C$1:$AU$617,26,)</f>
        <v>2688631.0447375085</v>
      </c>
      <c r="G328" s="89">
        <f t="shared" ref="G328:W328" si="184">IF(VLOOKUP($E328,$D$5:$W$978,3,)=0,0,(VLOOKUP($E328,$D$5:$W$978,G$1,)/VLOOKUP($E328,$D$5:$W$978,3,))*$F328)</f>
        <v>2123233.8076135512</v>
      </c>
      <c r="H328" s="89">
        <f t="shared" si="184"/>
        <v>3106.526572484056</v>
      </c>
      <c r="I328" s="89">
        <f t="shared" si="184"/>
        <v>478016.49018120562</v>
      </c>
      <c r="J328" s="89">
        <f t="shared" si="184"/>
        <v>4324.9652427125493</v>
      </c>
      <c r="K328" s="89">
        <f t="shared" si="184"/>
        <v>62120.808257356352</v>
      </c>
      <c r="L328" s="89">
        <f t="shared" si="184"/>
        <v>0</v>
      </c>
      <c r="M328" s="89">
        <f t="shared" si="184"/>
        <v>17772.491017207976</v>
      </c>
      <c r="N328" s="89">
        <f t="shared" si="184"/>
        <v>0</v>
      </c>
      <c r="O328" s="89">
        <f t="shared" si="184"/>
        <v>0</v>
      </c>
      <c r="P328" s="89">
        <f t="shared" si="184"/>
        <v>0</v>
      </c>
      <c r="Q328" s="89">
        <f t="shared" si="184"/>
        <v>0</v>
      </c>
      <c r="R328" s="89">
        <f t="shared" si="184"/>
        <v>0</v>
      </c>
      <c r="S328" s="89">
        <f t="shared" si="184"/>
        <v>0</v>
      </c>
      <c r="T328" s="89">
        <f t="shared" si="184"/>
        <v>55.955852991098702</v>
      </c>
      <c r="U328" s="89">
        <f t="shared" si="184"/>
        <v>0</v>
      </c>
      <c r="V328" s="89">
        <f t="shared" si="184"/>
        <v>0</v>
      </c>
      <c r="W328" s="89">
        <f t="shared" si="184"/>
        <v>0</v>
      </c>
      <c r="X328" s="91">
        <f>SUM(G328:W328)</f>
        <v>2688631.044737509</v>
      </c>
      <c r="Y328" s="87" t="str">
        <f>IF(ABS(F328-X328)&lt;0.01,"ok","err")</f>
        <v>ok</v>
      </c>
      <c r="Z328" s="203" t="str">
        <f>IF(Y328="err",X328-F328,"")</f>
        <v/>
      </c>
    </row>
    <row r="329" spans="1:26" ht="12" customHeight="1" x14ac:dyDescent="0.5">
      <c r="F329" s="90"/>
    </row>
    <row r="330" spans="1:26" ht="12" customHeight="1" x14ac:dyDescent="0.5">
      <c r="A330" s="23" t="s">
        <v>127</v>
      </c>
      <c r="F330" s="90"/>
    </row>
    <row r="331" spans="1:26" ht="12" customHeight="1" x14ac:dyDescent="0.5">
      <c r="A331" s="96" t="s">
        <v>392</v>
      </c>
      <c r="C331" s="86" t="s">
        <v>814</v>
      </c>
      <c r="D331" s="86" t="s">
        <v>1679</v>
      </c>
      <c r="E331" s="86" t="s">
        <v>2459</v>
      </c>
      <c r="F331" s="89">
        <f>VLOOKUP(C331,'WSS-26'!$C$1:$AU$617,27,)</f>
        <v>1599033.2051107571</v>
      </c>
      <c r="G331" s="89">
        <f t="shared" ref="G331:W331" si="185">IF(VLOOKUP($E331,$D$5:$W$978,3,)=0,0,(VLOOKUP($E331,$D$5:$W$978,G$1,)/VLOOKUP($E331,$D$5:$W$978,3,))*$F331)</f>
        <v>955014.55869423517</v>
      </c>
      <c r="H331" s="89">
        <f t="shared" si="185"/>
        <v>1397.292230867095</v>
      </c>
      <c r="I331" s="89">
        <f t="shared" si="185"/>
        <v>385940.69796462182</v>
      </c>
      <c r="J331" s="89">
        <f t="shared" si="185"/>
        <v>7877.86197214396</v>
      </c>
      <c r="K331" s="89">
        <f t="shared" si="185"/>
        <v>120669.22755149133</v>
      </c>
      <c r="L331" s="89">
        <f t="shared" si="185"/>
        <v>23598.193308835242</v>
      </c>
      <c r="M331" s="89">
        <f t="shared" si="185"/>
        <v>21583.136033536059</v>
      </c>
      <c r="N331" s="89">
        <f t="shared" si="185"/>
        <v>41803.530391774693</v>
      </c>
      <c r="O331" s="89">
        <f t="shared" si="185"/>
        <v>20725.891819075743</v>
      </c>
      <c r="P331" s="89">
        <f t="shared" si="185"/>
        <v>1279.400228346798</v>
      </c>
      <c r="Q331" s="89">
        <f t="shared" si="185"/>
        <v>0</v>
      </c>
      <c r="R331" s="89">
        <f t="shared" si="185"/>
        <v>233.51266682188975</v>
      </c>
      <c r="S331" s="89">
        <f t="shared" si="185"/>
        <v>2877.8274031475494</v>
      </c>
      <c r="T331" s="89">
        <f t="shared" si="185"/>
        <v>108.69384585995138</v>
      </c>
      <c r="U331" s="89">
        <f t="shared" si="185"/>
        <v>15923.380999999999</v>
      </c>
      <c r="V331" s="89">
        <f t="shared" si="185"/>
        <v>0</v>
      </c>
      <c r="W331" s="89">
        <f t="shared" si="185"/>
        <v>0</v>
      </c>
      <c r="X331" s="91">
        <f>SUM(G331:W331)</f>
        <v>1599033.2051107569</v>
      </c>
      <c r="Y331" s="87" t="str">
        <f>IF(ABS(F331-X331)&lt;0.01,"ok","err")</f>
        <v>ok</v>
      </c>
      <c r="Z331" s="203" t="str">
        <f>IF(Y331="err",X331-F331,"")</f>
        <v/>
      </c>
    </row>
    <row r="332" spans="1:26" ht="12" customHeight="1" x14ac:dyDescent="0.5">
      <c r="F332" s="90"/>
    </row>
    <row r="333" spans="1:26" ht="12" customHeight="1" x14ac:dyDescent="0.5">
      <c r="A333" s="23" t="s">
        <v>144</v>
      </c>
      <c r="F333" s="90"/>
    </row>
    <row r="334" spans="1:26" ht="12" customHeight="1" x14ac:dyDescent="0.5">
      <c r="A334" s="96" t="s">
        <v>392</v>
      </c>
      <c r="C334" s="86" t="s">
        <v>814</v>
      </c>
      <c r="D334" s="86" t="s">
        <v>1680</v>
      </c>
      <c r="E334" s="86" t="s">
        <v>395</v>
      </c>
      <c r="F334" s="89">
        <f>VLOOKUP(C334,'WSS-26'!$C$1:$AU$617,28,)</f>
        <v>3079036.9524739203</v>
      </c>
      <c r="G334" s="89">
        <f t="shared" ref="G334:W334" si="186">IF(VLOOKUP($E334,$D$5:$W$978,3,)=0,0,(VLOOKUP($E334,$D$5:$W$978,G$1,)/VLOOKUP($E334,$D$5:$W$978,3,))*$F334)</f>
        <v>0</v>
      </c>
      <c r="H334" s="89">
        <f t="shared" si="186"/>
        <v>0</v>
      </c>
      <c r="I334" s="89">
        <f t="shared" si="186"/>
        <v>0</v>
      </c>
      <c r="J334" s="89">
        <f t="shared" si="186"/>
        <v>0</v>
      </c>
      <c r="K334" s="89">
        <f t="shared" si="186"/>
        <v>0</v>
      </c>
      <c r="L334" s="89">
        <f t="shared" si="186"/>
        <v>0</v>
      </c>
      <c r="M334" s="89">
        <f t="shared" si="186"/>
        <v>0</v>
      </c>
      <c r="N334" s="89">
        <f t="shared" si="186"/>
        <v>0</v>
      </c>
      <c r="O334" s="89">
        <f t="shared" si="186"/>
        <v>0</v>
      </c>
      <c r="P334" s="89">
        <f t="shared" si="186"/>
        <v>0</v>
      </c>
      <c r="Q334" s="89">
        <f t="shared" si="186"/>
        <v>3079036.9524739203</v>
      </c>
      <c r="R334" s="89">
        <f t="shared" si="186"/>
        <v>0</v>
      </c>
      <c r="S334" s="89">
        <f t="shared" si="186"/>
        <v>0</v>
      </c>
      <c r="T334" s="89">
        <f t="shared" si="186"/>
        <v>0</v>
      </c>
      <c r="U334" s="89">
        <f t="shared" si="186"/>
        <v>0</v>
      </c>
      <c r="V334" s="89">
        <f t="shared" si="186"/>
        <v>0</v>
      </c>
      <c r="W334" s="89">
        <f t="shared" si="186"/>
        <v>0</v>
      </c>
      <c r="X334" s="91">
        <f>SUM(G334:W334)</f>
        <v>3079036.9524739203</v>
      </c>
      <c r="Y334" s="87" t="str">
        <f>IF(ABS(F334-X334)&lt;0.01,"ok","err")</f>
        <v>ok</v>
      </c>
      <c r="Z334" s="203" t="str">
        <f>IF(Y334="err",X334-F334,"")</f>
        <v/>
      </c>
    </row>
    <row r="335" spans="1:26" ht="12" customHeight="1" x14ac:dyDescent="0.5">
      <c r="F335" s="90"/>
    </row>
    <row r="336" spans="1:26" ht="12" customHeight="1" x14ac:dyDescent="0.5">
      <c r="A336" s="23" t="s">
        <v>292</v>
      </c>
      <c r="F336" s="90"/>
    </row>
    <row r="337" spans="1:26" ht="12" customHeight="1" x14ac:dyDescent="0.5">
      <c r="A337" s="96" t="s">
        <v>392</v>
      </c>
      <c r="C337" s="86" t="s">
        <v>814</v>
      </c>
      <c r="D337" s="86" t="s">
        <v>1681</v>
      </c>
      <c r="E337" s="86" t="s">
        <v>396</v>
      </c>
      <c r="F337" s="89">
        <f>VLOOKUP(C337,'WSS-26'!$C$1:$AU$617,30,)</f>
        <v>0</v>
      </c>
      <c r="G337" s="89">
        <f t="shared" ref="G337:W337" si="187">IF(VLOOKUP($E337,$D$5:$W$978,3,)=0,0,(VLOOKUP($E337,$D$5:$W$978,G$1,)/VLOOKUP($E337,$D$5:$W$978,3,))*$F337)</f>
        <v>0</v>
      </c>
      <c r="H337" s="89">
        <f t="shared" si="187"/>
        <v>0</v>
      </c>
      <c r="I337" s="89">
        <f t="shared" si="187"/>
        <v>0</v>
      </c>
      <c r="J337" s="89">
        <f t="shared" si="187"/>
        <v>0</v>
      </c>
      <c r="K337" s="89">
        <f t="shared" si="187"/>
        <v>0</v>
      </c>
      <c r="L337" s="89">
        <f t="shared" si="187"/>
        <v>0</v>
      </c>
      <c r="M337" s="89">
        <f t="shared" si="187"/>
        <v>0</v>
      </c>
      <c r="N337" s="89">
        <f t="shared" si="187"/>
        <v>0</v>
      </c>
      <c r="O337" s="89">
        <f t="shared" si="187"/>
        <v>0</v>
      </c>
      <c r="P337" s="89">
        <f t="shared" si="187"/>
        <v>0</v>
      </c>
      <c r="Q337" s="89">
        <f t="shared" si="187"/>
        <v>0</v>
      </c>
      <c r="R337" s="89">
        <f t="shared" si="187"/>
        <v>0</v>
      </c>
      <c r="S337" s="89">
        <f t="shared" si="187"/>
        <v>0</v>
      </c>
      <c r="T337" s="89">
        <f t="shared" si="187"/>
        <v>0</v>
      </c>
      <c r="U337" s="89">
        <f t="shared" si="187"/>
        <v>0</v>
      </c>
      <c r="V337" s="89">
        <f t="shared" si="187"/>
        <v>0</v>
      </c>
      <c r="W337" s="89">
        <f t="shared" si="187"/>
        <v>0</v>
      </c>
      <c r="X337" s="91">
        <f>SUM(G337:W337)</f>
        <v>0</v>
      </c>
      <c r="Y337" s="87" t="str">
        <f>IF(ABS(F337-X337)&lt;0.01,"ok","err")</f>
        <v>ok</v>
      </c>
      <c r="Z337" s="203" t="str">
        <f>IF(Y337="err",X337-F337,"")</f>
        <v/>
      </c>
    </row>
    <row r="338" spans="1:26" ht="12" customHeight="1" x14ac:dyDescent="0.5">
      <c r="F338" s="90"/>
    </row>
    <row r="339" spans="1:26" ht="12" customHeight="1" x14ac:dyDescent="0.5">
      <c r="A339" s="23" t="s">
        <v>1630</v>
      </c>
      <c r="F339" s="90"/>
    </row>
    <row r="340" spans="1:26" ht="12" customHeight="1" x14ac:dyDescent="0.5">
      <c r="A340" s="96" t="s">
        <v>392</v>
      </c>
      <c r="C340" s="86" t="s">
        <v>814</v>
      </c>
      <c r="D340" s="86" t="s">
        <v>1682</v>
      </c>
      <c r="E340" s="86" t="s">
        <v>396</v>
      </c>
      <c r="F340" s="89">
        <f>VLOOKUP(C340,'WSS-26'!$C$1:$AU$617,32,)</f>
        <v>0</v>
      </c>
      <c r="G340" s="89">
        <f t="shared" ref="G340:W340" si="188">IF(VLOOKUP($E340,$D$5:$W$978,3,)=0,0,(VLOOKUP($E340,$D$5:$W$978,G$1,)/VLOOKUP($E340,$D$5:$W$978,3,))*$F340)</f>
        <v>0</v>
      </c>
      <c r="H340" s="89">
        <f t="shared" si="188"/>
        <v>0</v>
      </c>
      <c r="I340" s="89">
        <f t="shared" si="188"/>
        <v>0</v>
      </c>
      <c r="J340" s="89">
        <f t="shared" si="188"/>
        <v>0</v>
      </c>
      <c r="K340" s="89">
        <f t="shared" si="188"/>
        <v>0</v>
      </c>
      <c r="L340" s="89">
        <f t="shared" si="188"/>
        <v>0</v>
      </c>
      <c r="M340" s="89">
        <f t="shared" si="188"/>
        <v>0</v>
      </c>
      <c r="N340" s="89">
        <f t="shared" si="188"/>
        <v>0</v>
      </c>
      <c r="O340" s="89">
        <f t="shared" si="188"/>
        <v>0</v>
      </c>
      <c r="P340" s="89">
        <f t="shared" si="188"/>
        <v>0</v>
      </c>
      <c r="Q340" s="89">
        <f t="shared" si="188"/>
        <v>0</v>
      </c>
      <c r="R340" s="89">
        <f t="shared" si="188"/>
        <v>0</v>
      </c>
      <c r="S340" s="89">
        <f t="shared" si="188"/>
        <v>0</v>
      </c>
      <c r="T340" s="89">
        <f t="shared" si="188"/>
        <v>0</v>
      </c>
      <c r="U340" s="89">
        <f t="shared" si="188"/>
        <v>0</v>
      </c>
      <c r="V340" s="89">
        <f t="shared" si="188"/>
        <v>0</v>
      </c>
      <c r="W340" s="89">
        <f t="shared" si="188"/>
        <v>0</v>
      </c>
      <c r="X340" s="91">
        <f>SUM(G340:W340)</f>
        <v>0</v>
      </c>
      <c r="Y340" s="87" t="str">
        <f>IF(ABS(F340-X340)&lt;0.01,"ok","err")</f>
        <v>ok</v>
      </c>
      <c r="Z340" s="203" t="str">
        <f>IF(Y340="err",X340-F340,"")</f>
        <v/>
      </c>
    </row>
    <row r="341" spans="1:26" ht="12" customHeight="1" x14ac:dyDescent="0.5">
      <c r="F341" s="90"/>
    </row>
    <row r="342" spans="1:26" ht="12" customHeight="1" x14ac:dyDescent="0.5">
      <c r="A342" s="23" t="s">
        <v>1629</v>
      </c>
      <c r="F342" s="90"/>
    </row>
    <row r="343" spans="1:26" ht="12" customHeight="1" x14ac:dyDescent="0.5">
      <c r="A343" s="96" t="s">
        <v>392</v>
      </c>
      <c r="C343" s="86" t="s">
        <v>814</v>
      </c>
      <c r="D343" s="86" t="s">
        <v>1683</v>
      </c>
      <c r="E343" s="86" t="s">
        <v>397</v>
      </c>
      <c r="F343" s="89">
        <f>VLOOKUP(C343,'WSS-26'!$C$1:$AU$617,34,)</f>
        <v>0</v>
      </c>
      <c r="G343" s="89">
        <f t="shared" ref="G343:W343" si="189">IF(VLOOKUP($E343,$D$5:$W$978,3,)=0,0,(VLOOKUP($E343,$D$5:$W$978,G$1,)/VLOOKUP($E343,$D$5:$W$978,3,))*$F343)</f>
        <v>0</v>
      </c>
      <c r="H343" s="89">
        <f t="shared" si="189"/>
        <v>0</v>
      </c>
      <c r="I343" s="89">
        <f t="shared" si="189"/>
        <v>0</v>
      </c>
      <c r="J343" s="89">
        <f t="shared" si="189"/>
        <v>0</v>
      </c>
      <c r="K343" s="89">
        <f t="shared" si="189"/>
        <v>0</v>
      </c>
      <c r="L343" s="89">
        <f t="shared" si="189"/>
        <v>0</v>
      </c>
      <c r="M343" s="89">
        <f t="shared" si="189"/>
        <v>0</v>
      </c>
      <c r="N343" s="89">
        <f t="shared" si="189"/>
        <v>0</v>
      </c>
      <c r="O343" s="89">
        <f t="shared" si="189"/>
        <v>0</v>
      </c>
      <c r="P343" s="89">
        <f t="shared" si="189"/>
        <v>0</v>
      </c>
      <c r="Q343" s="89">
        <f t="shared" si="189"/>
        <v>0</v>
      </c>
      <c r="R343" s="89">
        <f t="shared" si="189"/>
        <v>0</v>
      </c>
      <c r="S343" s="89">
        <f t="shared" si="189"/>
        <v>0</v>
      </c>
      <c r="T343" s="89">
        <f t="shared" si="189"/>
        <v>0</v>
      </c>
      <c r="U343" s="89">
        <f t="shared" si="189"/>
        <v>0</v>
      </c>
      <c r="V343" s="89">
        <f t="shared" si="189"/>
        <v>0</v>
      </c>
      <c r="W343" s="89">
        <f t="shared" si="189"/>
        <v>0</v>
      </c>
      <c r="X343" s="91">
        <f>SUM(G343:W343)</f>
        <v>0</v>
      </c>
      <c r="Y343" s="87" t="str">
        <f>IF(ABS(F343-X343)&lt;0.01,"ok","err")</f>
        <v>ok</v>
      </c>
      <c r="Z343" s="203" t="str">
        <f>IF(Y343="err",X343-F343,"")</f>
        <v/>
      </c>
    </row>
    <row r="344" spans="1:26" ht="12" customHeight="1" x14ac:dyDescent="0.5">
      <c r="F344" s="90"/>
    </row>
    <row r="345" spans="1:26" ht="12" customHeight="1" x14ac:dyDescent="0.5">
      <c r="A345" s="86" t="s">
        <v>62</v>
      </c>
      <c r="D345" s="86" t="s">
        <v>1684</v>
      </c>
      <c r="F345" s="89">
        <f>F300+F306+F309+F312+F320+F325+F328+F331+F334+F337+F340+F343</f>
        <v>370531144.99999994</v>
      </c>
      <c r="G345" s="89">
        <f t="shared" ref="G345:U345" si="190">G300+G306+G309+G312+G320+G325+G328+G331+G334+G337+G340+G343</f>
        <v>163885507.33045521</v>
      </c>
      <c r="H345" s="89">
        <f t="shared" ref="H345" si="191">H300+H306+H309+H312+H320+H325+H328+H331+H334+H337+H340+H343</f>
        <v>233110.82257238447</v>
      </c>
      <c r="I345" s="89">
        <f t="shared" si="190"/>
        <v>42244784.497978106</v>
      </c>
      <c r="J345" s="89">
        <f>J300+J306+J309+J312+J320+J325+J328+J331+J334+J337+J340+J343</f>
        <v>2712858.1186784049</v>
      </c>
      <c r="K345" s="89">
        <f>K300+K306+K309+K312+K320+K325+K328+K331+K334+K337+K340+K343</f>
        <v>35444201.894145571</v>
      </c>
      <c r="L345" s="89">
        <f>L300+L306+L309+L312+L320+L325+L328+L331+L334+L337+L340+L343</f>
        <v>1534704.0192330964</v>
      </c>
      <c r="M345" s="89">
        <f t="shared" si="190"/>
        <v>33399476.380628955</v>
      </c>
      <c r="N345" s="89">
        <f t="shared" si="190"/>
        <v>59606091.616011411</v>
      </c>
      <c r="O345" s="89">
        <f t="shared" si="190"/>
        <v>18832387.238158166</v>
      </c>
      <c r="P345" s="89">
        <f>P300+P306+P309+P312+P320+P325+P328+P331+P334+P337+P340+P343</f>
        <v>8245202.8211647803</v>
      </c>
      <c r="Q345" s="89">
        <f>Q300+Q306+Q309+Q312+Q320+Q325+Q328+Q331+Q334+Q337+Q340+Q343</f>
        <v>4191349.326172214</v>
      </c>
      <c r="R345" s="89">
        <f t="shared" si="190"/>
        <v>15844.111319890933</v>
      </c>
      <c r="S345" s="89">
        <f t="shared" si="190"/>
        <v>39219.398935763937</v>
      </c>
      <c r="T345" s="89">
        <f t="shared" si="190"/>
        <v>8921.911041793699</v>
      </c>
      <c r="U345" s="89">
        <f t="shared" si="190"/>
        <v>16554.52070089243</v>
      </c>
      <c r="V345" s="89">
        <f>V300+V306+V309+V312+V320+V325+V328+V331+V334+V337+V340+V343</f>
        <v>106487.13</v>
      </c>
      <c r="W345" s="89">
        <f>W300+W306+W309+W312+W320+W325+W328+W331+W334+W337+W340+W343</f>
        <v>14443.86</v>
      </c>
      <c r="X345" s="91">
        <f>SUM(G345:W345)</f>
        <v>370531144.99719661</v>
      </c>
      <c r="Y345" s="87" t="str">
        <f>IF(ABS(F345-X345)&lt;0.01,"ok","err")</f>
        <v>ok</v>
      </c>
      <c r="Z345" s="203" t="str">
        <f>IF(Y345="err",X345-F345,"")</f>
        <v/>
      </c>
    </row>
    <row r="348" spans="1:26" ht="12" customHeight="1" x14ac:dyDescent="0.5">
      <c r="A348" s="22" t="s">
        <v>63</v>
      </c>
    </row>
    <row r="350" spans="1:26" ht="12" customHeight="1" x14ac:dyDescent="0.5">
      <c r="A350" s="23" t="s">
        <v>137</v>
      </c>
    </row>
    <row r="351" spans="1:26" ht="12" customHeight="1" x14ac:dyDescent="0.5">
      <c r="A351" s="96" t="s">
        <v>2273</v>
      </c>
      <c r="C351" s="86" t="s">
        <v>66</v>
      </c>
      <c r="D351" s="86" t="s">
        <v>69</v>
      </c>
      <c r="E351" s="86" t="s">
        <v>2272</v>
      </c>
      <c r="F351" s="89">
        <f>VLOOKUP(C351,'WSS-26'!$C$1:$AU$617,6,)</f>
        <v>0</v>
      </c>
      <c r="G351" s="89">
        <f t="shared" ref="G351:P356" si="192">IF(VLOOKUP($E351,$D$5:$W$978,3,)=0,0,(VLOOKUP($E351,$D$5:$W$978,G$1,)/VLOOKUP($E351,$D$5:$W$978,3,))*$F351)</f>
        <v>0</v>
      </c>
      <c r="H351" s="89">
        <f t="shared" si="192"/>
        <v>0</v>
      </c>
      <c r="I351" s="89">
        <f t="shared" si="192"/>
        <v>0</v>
      </c>
      <c r="J351" s="89">
        <f t="shared" si="192"/>
        <v>0</v>
      </c>
      <c r="K351" s="89">
        <f t="shared" si="192"/>
        <v>0</v>
      </c>
      <c r="L351" s="89">
        <f t="shared" si="192"/>
        <v>0</v>
      </c>
      <c r="M351" s="89">
        <f t="shared" si="192"/>
        <v>0</v>
      </c>
      <c r="N351" s="89">
        <f t="shared" si="192"/>
        <v>0</v>
      </c>
      <c r="O351" s="89">
        <f t="shared" si="192"/>
        <v>0</v>
      </c>
      <c r="P351" s="89">
        <f t="shared" si="192"/>
        <v>0</v>
      </c>
      <c r="Q351" s="89">
        <f t="shared" ref="Q351:W356" si="193">IF(VLOOKUP($E351,$D$5:$W$978,3,)=0,0,(VLOOKUP($E351,$D$5:$W$978,Q$1,)/VLOOKUP($E351,$D$5:$W$978,3,))*$F351)</f>
        <v>0</v>
      </c>
      <c r="R351" s="89">
        <f t="shared" si="193"/>
        <v>0</v>
      </c>
      <c r="S351" s="89">
        <f t="shared" si="193"/>
        <v>0</v>
      </c>
      <c r="T351" s="89">
        <f t="shared" si="193"/>
        <v>0</v>
      </c>
      <c r="U351" s="89">
        <f t="shared" si="193"/>
        <v>0</v>
      </c>
      <c r="V351" s="89">
        <f t="shared" si="193"/>
        <v>0</v>
      </c>
      <c r="W351" s="89">
        <f t="shared" si="193"/>
        <v>0</v>
      </c>
      <c r="X351" s="91">
        <f t="shared" ref="X351:X356" si="194">SUM(G351:W351)</f>
        <v>0</v>
      </c>
      <c r="Y351" s="87" t="str">
        <f t="shared" ref="Y351:Y356" si="195">IF(ABS(F351-X351)&lt;0.01,"ok","err")</f>
        <v>ok</v>
      </c>
      <c r="Z351" s="203" t="str">
        <f t="shared" ref="Z351:Z356" si="196">IF(Y351="err",X351-F351,"")</f>
        <v/>
      </c>
    </row>
    <row r="352" spans="1:26" ht="12" hidden="1" customHeight="1" x14ac:dyDescent="0.5">
      <c r="A352" s="96" t="s">
        <v>2274</v>
      </c>
      <c r="C352" s="86" t="s">
        <v>66</v>
      </c>
      <c r="D352" s="86" t="s">
        <v>70</v>
      </c>
      <c r="E352" s="86" t="s">
        <v>2272</v>
      </c>
      <c r="F352" s="90">
        <f>VLOOKUP(C352,'WSS-26'!$C$1:$AU$617,7,)</f>
        <v>0</v>
      </c>
      <c r="G352" s="89">
        <f t="shared" si="192"/>
        <v>0</v>
      </c>
      <c r="H352" s="89">
        <f t="shared" si="192"/>
        <v>0</v>
      </c>
      <c r="I352" s="89">
        <f t="shared" si="192"/>
        <v>0</v>
      </c>
      <c r="J352" s="89">
        <f t="shared" si="192"/>
        <v>0</v>
      </c>
      <c r="K352" s="89">
        <f t="shared" si="192"/>
        <v>0</v>
      </c>
      <c r="L352" s="89">
        <f t="shared" si="192"/>
        <v>0</v>
      </c>
      <c r="M352" s="89">
        <f t="shared" si="192"/>
        <v>0</v>
      </c>
      <c r="N352" s="89">
        <f t="shared" si="192"/>
        <v>0</v>
      </c>
      <c r="O352" s="89">
        <f t="shared" si="192"/>
        <v>0</v>
      </c>
      <c r="P352" s="89">
        <f t="shared" si="192"/>
        <v>0</v>
      </c>
      <c r="Q352" s="89">
        <f t="shared" si="193"/>
        <v>0</v>
      </c>
      <c r="R352" s="89">
        <f t="shared" si="193"/>
        <v>0</v>
      </c>
      <c r="S352" s="89">
        <f t="shared" si="193"/>
        <v>0</v>
      </c>
      <c r="T352" s="89">
        <f t="shared" si="193"/>
        <v>0</v>
      </c>
      <c r="U352" s="89">
        <f t="shared" si="193"/>
        <v>0</v>
      </c>
      <c r="V352" s="89">
        <f t="shared" si="193"/>
        <v>0</v>
      </c>
      <c r="W352" s="89">
        <f t="shared" si="193"/>
        <v>0</v>
      </c>
      <c r="X352" s="91">
        <f t="shared" si="194"/>
        <v>0</v>
      </c>
      <c r="Y352" s="87" t="str">
        <f t="shared" si="195"/>
        <v>ok</v>
      </c>
      <c r="Z352" s="203" t="str">
        <f t="shared" si="196"/>
        <v/>
      </c>
    </row>
    <row r="353" spans="1:26" ht="12" hidden="1" customHeight="1" x14ac:dyDescent="0.5">
      <c r="A353" s="96" t="s">
        <v>2274</v>
      </c>
      <c r="C353" s="86" t="s">
        <v>66</v>
      </c>
      <c r="D353" s="86" t="s">
        <v>71</v>
      </c>
      <c r="E353" s="86" t="s">
        <v>2272</v>
      </c>
      <c r="F353" s="90">
        <f>VLOOKUP(C353,'WSS-26'!$C$1:$AU$617,8,)</f>
        <v>0</v>
      </c>
      <c r="G353" s="89">
        <f t="shared" si="192"/>
        <v>0</v>
      </c>
      <c r="H353" s="89">
        <f t="shared" si="192"/>
        <v>0</v>
      </c>
      <c r="I353" s="89">
        <f t="shared" si="192"/>
        <v>0</v>
      </c>
      <c r="J353" s="89">
        <f t="shared" si="192"/>
        <v>0</v>
      </c>
      <c r="K353" s="89">
        <f t="shared" si="192"/>
        <v>0</v>
      </c>
      <c r="L353" s="89">
        <f t="shared" si="192"/>
        <v>0</v>
      </c>
      <c r="M353" s="89">
        <f t="shared" si="192"/>
        <v>0</v>
      </c>
      <c r="N353" s="89">
        <f t="shared" si="192"/>
        <v>0</v>
      </c>
      <c r="O353" s="89">
        <f t="shared" si="192"/>
        <v>0</v>
      </c>
      <c r="P353" s="89">
        <f t="shared" si="192"/>
        <v>0</v>
      </c>
      <c r="Q353" s="89">
        <f t="shared" si="193"/>
        <v>0</v>
      </c>
      <c r="R353" s="89">
        <f t="shared" si="193"/>
        <v>0</v>
      </c>
      <c r="S353" s="89">
        <f t="shared" si="193"/>
        <v>0</v>
      </c>
      <c r="T353" s="89">
        <f t="shared" si="193"/>
        <v>0</v>
      </c>
      <c r="U353" s="89">
        <f t="shared" si="193"/>
        <v>0</v>
      </c>
      <c r="V353" s="89">
        <f t="shared" si="193"/>
        <v>0</v>
      </c>
      <c r="W353" s="89">
        <f t="shared" si="193"/>
        <v>0</v>
      </c>
      <c r="X353" s="91">
        <f t="shared" si="194"/>
        <v>0</v>
      </c>
      <c r="Y353" s="87" t="str">
        <f t="shared" si="195"/>
        <v>ok</v>
      </c>
      <c r="Z353" s="203" t="str">
        <f t="shared" si="196"/>
        <v/>
      </c>
    </row>
    <row r="354" spans="1:26" ht="12" customHeight="1" x14ac:dyDescent="0.5">
      <c r="A354" s="96" t="s">
        <v>2276</v>
      </c>
      <c r="C354" s="86" t="s">
        <v>66</v>
      </c>
      <c r="D354" s="86" t="s">
        <v>72</v>
      </c>
      <c r="E354" s="86" t="s">
        <v>390</v>
      </c>
      <c r="F354" s="90">
        <f>VLOOKUP(C354,'WSS-26'!$C$1:$AU$617,9,)</f>
        <v>0</v>
      </c>
      <c r="G354" s="89">
        <f t="shared" si="192"/>
        <v>0</v>
      </c>
      <c r="H354" s="89">
        <f t="shared" si="192"/>
        <v>0</v>
      </c>
      <c r="I354" s="89">
        <f t="shared" si="192"/>
        <v>0</v>
      </c>
      <c r="J354" s="89">
        <f t="shared" si="192"/>
        <v>0</v>
      </c>
      <c r="K354" s="89">
        <f t="shared" si="192"/>
        <v>0</v>
      </c>
      <c r="L354" s="89">
        <f t="shared" si="192"/>
        <v>0</v>
      </c>
      <c r="M354" s="89">
        <f t="shared" si="192"/>
        <v>0</v>
      </c>
      <c r="N354" s="89">
        <f t="shared" si="192"/>
        <v>0</v>
      </c>
      <c r="O354" s="89">
        <f t="shared" si="192"/>
        <v>0</v>
      </c>
      <c r="P354" s="89">
        <f t="shared" si="192"/>
        <v>0</v>
      </c>
      <c r="Q354" s="89">
        <f t="shared" si="193"/>
        <v>0</v>
      </c>
      <c r="R354" s="89">
        <f t="shared" si="193"/>
        <v>0</v>
      </c>
      <c r="S354" s="89">
        <f t="shared" si="193"/>
        <v>0</v>
      </c>
      <c r="T354" s="89">
        <f t="shared" si="193"/>
        <v>0</v>
      </c>
      <c r="U354" s="89">
        <f t="shared" si="193"/>
        <v>0</v>
      </c>
      <c r="V354" s="89">
        <f t="shared" si="193"/>
        <v>0</v>
      </c>
      <c r="W354" s="89">
        <f t="shared" si="193"/>
        <v>0</v>
      </c>
      <c r="X354" s="91">
        <f t="shared" si="194"/>
        <v>0</v>
      </c>
      <c r="Y354" s="87" t="str">
        <f t="shared" si="195"/>
        <v>ok</v>
      </c>
      <c r="Z354" s="203" t="str">
        <f t="shared" si="196"/>
        <v/>
      </c>
    </row>
    <row r="355" spans="1:26" ht="12" hidden="1" customHeight="1" x14ac:dyDescent="0.5">
      <c r="A355" s="96" t="s">
        <v>2275</v>
      </c>
      <c r="C355" s="86" t="s">
        <v>66</v>
      </c>
      <c r="D355" s="86" t="s">
        <v>73</v>
      </c>
      <c r="E355" s="86" t="s">
        <v>390</v>
      </c>
      <c r="F355" s="90">
        <f>VLOOKUP(C355,'WSS-26'!$C$1:$AU$617,10,)</f>
        <v>0</v>
      </c>
      <c r="G355" s="89">
        <f t="shared" si="192"/>
        <v>0</v>
      </c>
      <c r="H355" s="89">
        <f t="shared" si="192"/>
        <v>0</v>
      </c>
      <c r="I355" s="89">
        <f t="shared" si="192"/>
        <v>0</v>
      </c>
      <c r="J355" s="89">
        <f t="shared" si="192"/>
        <v>0</v>
      </c>
      <c r="K355" s="89">
        <f t="shared" si="192"/>
        <v>0</v>
      </c>
      <c r="L355" s="89">
        <f t="shared" si="192"/>
        <v>0</v>
      </c>
      <c r="M355" s="89">
        <f t="shared" si="192"/>
        <v>0</v>
      </c>
      <c r="N355" s="89">
        <f t="shared" si="192"/>
        <v>0</v>
      </c>
      <c r="O355" s="89">
        <f t="shared" si="192"/>
        <v>0</v>
      </c>
      <c r="P355" s="89">
        <f t="shared" si="192"/>
        <v>0</v>
      </c>
      <c r="Q355" s="89">
        <f t="shared" si="193"/>
        <v>0</v>
      </c>
      <c r="R355" s="89">
        <f t="shared" si="193"/>
        <v>0</v>
      </c>
      <c r="S355" s="89">
        <f t="shared" si="193"/>
        <v>0</v>
      </c>
      <c r="T355" s="89">
        <f t="shared" si="193"/>
        <v>0</v>
      </c>
      <c r="U355" s="89">
        <f t="shared" si="193"/>
        <v>0</v>
      </c>
      <c r="V355" s="89">
        <f t="shared" si="193"/>
        <v>0</v>
      </c>
      <c r="W355" s="89">
        <f t="shared" si="193"/>
        <v>0</v>
      </c>
      <c r="X355" s="91">
        <f t="shared" si="194"/>
        <v>0</v>
      </c>
      <c r="Y355" s="87" t="str">
        <f t="shared" si="195"/>
        <v>ok</v>
      </c>
      <c r="Z355" s="203" t="str">
        <f t="shared" si="196"/>
        <v/>
      </c>
    </row>
    <row r="356" spans="1:26" ht="12" hidden="1" customHeight="1" x14ac:dyDescent="0.5">
      <c r="A356" s="96" t="s">
        <v>2275</v>
      </c>
      <c r="C356" s="86" t="s">
        <v>66</v>
      </c>
      <c r="D356" s="86" t="s">
        <v>74</v>
      </c>
      <c r="E356" s="86" t="s">
        <v>390</v>
      </c>
      <c r="F356" s="90">
        <f>VLOOKUP(C356,'WSS-26'!$C$1:$AU$617,11,)</f>
        <v>0</v>
      </c>
      <c r="G356" s="89">
        <f t="shared" si="192"/>
        <v>0</v>
      </c>
      <c r="H356" s="89">
        <f t="shared" si="192"/>
        <v>0</v>
      </c>
      <c r="I356" s="89">
        <f t="shared" si="192"/>
        <v>0</v>
      </c>
      <c r="J356" s="89">
        <f t="shared" si="192"/>
        <v>0</v>
      </c>
      <c r="K356" s="89">
        <f t="shared" si="192"/>
        <v>0</v>
      </c>
      <c r="L356" s="89">
        <f t="shared" si="192"/>
        <v>0</v>
      </c>
      <c r="M356" s="89">
        <f t="shared" si="192"/>
        <v>0</v>
      </c>
      <c r="N356" s="89">
        <f t="shared" si="192"/>
        <v>0</v>
      </c>
      <c r="O356" s="89">
        <f t="shared" si="192"/>
        <v>0</v>
      </c>
      <c r="P356" s="89">
        <f t="shared" si="192"/>
        <v>0</v>
      </c>
      <c r="Q356" s="89">
        <f t="shared" si="193"/>
        <v>0</v>
      </c>
      <c r="R356" s="89">
        <f t="shared" si="193"/>
        <v>0</v>
      </c>
      <c r="S356" s="89">
        <f t="shared" si="193"/>
        <v>0</v>
      </c>
      <c r="T356" s="89">
        <f t="shared" si="193"/>
        <v>0</v>
      </c>
      <c r="U356" s="89">
        <f t="shared" si="193"/>
        <v>0</v>
      </c>
      <c r="V356" s="89">
        <f t="shared" si="193"/>
        <v>0</v>
      </c>
      <c r="W356" s="89">
        <f t="shared" si="193"/>
        <v>0</v>
      </c>
      <c r="X356" s="91">
        <f t="shared" si="194"/>
        <v>0</v>
      </c>
      <c r="Y356" s="87" t="str">
        <f t="shared" si="195"/>
        <v>ok</v>
      </c>
      <c r="Z356" s="203" t="str">
        <f t="shared" si="196"/>
        <v/>
      </c>
    </row>
    <row r="357" spans="1:26" ht="12" customHeight="1" x14ac:dyDescent="0.5">
      <c r="A357" s="86" t="s">
        <v>160</v>
      </c>
      <c r="D357" s="86" t="s">
        <v>75</v>
      </c>
      <c r="F357" s="89">
        <f t="shared" ref="F357:U357" si="197">SUM(F351:F356)</f>
        <v>0</v>
      </c>
      <c r="G357" s="89">
        <f t="shared" si="197"/>
        <v>0</v>
      </c>
      <c r="H357" s="89">
        <f t="shared" ref="H357" si="198">SUM(H351:H356)</f>
        <v>0</v>
      </c>
      <c r="I357" s="89">
        <f t="shared" si="197"/>
        <v>0</v>
      </c>
      <c r="J357" s="89">
        <f>SUM(J351:J356)</f>
        <v>0</v>
      </c>
      <c r="K357" s="89">
        <f>SUM(K351:K356)</f>
        <v>0</v>
      </c>
      <c r="L357" s="89">
        <f>SUM(L351:L356)</f>
        <v>0</v>
      </c>
      <c r="M357" s="89">
        <f t="shared" si="197"/>
        <v>0</v>
      </c>
      <c r="N357" s="89">
        <f t="shared" si="197"/>
        <v>0</v>
      </c>
      <c r="O357" s="89">
        <f t="shared" si="197"/>
        <v>0</v>
      </c>
      <c r="P357" s="89">
        <f t="shared" si="197"/>
        <v>0</v>
      </c>
      <c r="Q357" s="89">
        <f>SUM(Q351:Q356)</f>
        <v>0</v>
      </c>
      <c r="R357" s="89">
        <f t="shared" si="197"/>
        <v>0</v>
      </c>
      <c r="S357" s="89">
        <f t="shared" si="197"/>
        <v>0</v>
      </c>
      <c r="T357" s="89">
        <f t="shared" si="197"/>
        <v>0</v>
      </c>
      <c r="U357" s="89">
        <f t="shared" si="197"/>
        <v>0</v>
      </c>
      <c r="V357" s="89">
        <f>SUM(V351:V356)</f>
        <v>0</v>
      </c>
      <c r="W357" s="89">
        <f>SUM(W351:W356)</f>
        <v>0</v>
      </c>
      <c r="X357" s="91">
        <f>SUM(G357:W357)</f>
        <v>0</v>
      </c>
      <c r="Y357" s="87" t="str">
        <f>IF(ABS(F357-X357)&lt;0.01,"ok","err")</f>
        <v>ok</v>
      </c>
      <c r="Z357" s="91" t="str">
        <f>IF(Y357="err",X357-F357,"")</f>
        <v/>
      </c>
    </row>
    <row r="358" spans="1:26" ht="12" customHeight="1" x14ac:dyDescent="0.5">
      <c r="F358" s="90"/>
      <c r="G358" s="90"/>
      <c r="H358" s="90"/>
    </row>
    <row r="359" spans="1:26" ht="12" customHeight="1" x14ac:dyDescent="0.5">
      <c r="A359" s="23" t="s">
        <v>441</v>
      </c>
      <c r="F359" s="90"/>
      <c r="G359" s="90"/>
      <c r="H359" s="90"/>
    </row>
    <row r="360" spans="1:26" ht="12" customHeight="1" x14ac:dyDescent="0.5">
      <c r="A360" s="96" t="s">
        <v>2247</v>
      </c>
      <c r="C360" s="86" t="s">
        <v>66</v>
      </c>
      <c r="D360" s="86" t="s">
        <v>76</v>
      </c>
      <c r="E360" s="86" t="s">
        <v>2248</v>
      </c>
      <c r="F360" s="89">
        <f>VLOOKUP(C360,'WSS-26'!$C$1:$AU$617,13,)</f>
        <v>0</v>
      </c>
      <c r="G360" s="89">
        <f t="shared" ref="G360:P362" si="199">IF(VLOOKUP($E360,$D$5:$W$978,3,)=0,0,(VLOOKUP($E360,$D$5:$W$978,G$1,)/VLOOKUP($E360,$D$5:$W$978,3,))*$F360)</f>
        <v>0</v>
      </c>
      <c r="H360" s="89">
        <f t="shared" si="199"/>
        <v>0</v>
      </c>
      <c r="I360" s="89">
        <f t="shared" si="199"/>
        <v>0</v>
      </c>
      <c r="J360" s="89">
        <f t="shared" si="199"/>
        <v>0</v>
      </c>
      <c r="K360" s="89">
        <f t="shared" si="199"/>
        <v>0</v>
      </c>
      <c r="L360" s="89">
        <f t="shared" si="199"/>
        <v>0</v>
      </c>
      <c r="M360" s="89">
        <f t="shared" si="199"/>
        <v>0</v>
      </c>
      <c r="N360" s="89">
        <f t="shared" si="199"/>
        <v>0</v>
      </c>
      <c r="O360" s="89">
        <f t="shared" si="199"/>
        <v>0</v>
      </c>
      <c r="P360" s="89">
        <f t="shared" si="199"/>
        <v>0</v>
      </c>
      <c r="Q360" s="89">
        <f t="shared" ref="Q360:W362" si="200">IF(VLOOKUP($E360,$D$5:$W$978,3,)=0,0,(VLOOKUP($E360,$D$5:$W$978,Q$1,)/VLOOKUP($E360,$D$5:$W$978,3,))*$F360)</f>
        <v>0</v>
      </c>
      <c r="R360" s="89">
        <f t="shared" si="200"/>
        <v>0</v>
      </c>
      <c r="S360" s="89">
        <f t="shared" si="200"/>
        <v>0</v>
      </c>
      <c r="T360" s="89">
        <f t="shared" si="200"/>
        <v>0</v>
      </c>
      <c r="U360" s="89">
        <f t="shared" si="200"/>
        <v>0</v>
      </c>
      <c r="V360" s="89">
        <f t="shared" si="200"/>
        <v>0</v>
      </c>
      <c r="W360" s="89">
        <f t="shared" si="200"/>
        <v>0</v>
      </c>
      <c r="X360" s="91">
        <f>SUM(G360:W360)</f>
        <v>0</v>
      </c>
      <c r="Y360" s="87" t="str">
        <f>IF(ABS(F360-X360)&lt;0.01,"ok","err")</f>
        <v>ok</v>
      </c>
      <c r="Z360" s="203" t="str">
        <f>IF(Y360="err",X360-F360,"")</f>
        <v/>
      </c>
    </row>
    <row r="361" spans="1:26" ht="12" hidden="1" customHeight="1" x14ac:dyDescent="0.5">
      <c r="A361" s="96" t="s">
        <v>2246</v>
      </c>
      <c r="C361" s="86" t="s">
        <v>66</v>
      </c>
      <c r="D361" s="86" t="s">
        <v>77</v>
      </c>
      <c r="E361" s="86" t="s">
        <v>2248</v>
      </c>
      <c r="F361" s="90">
        <f>VLOOKUP(C361,'WSS-26'!$C$1:$AU$617,14,)</f>
        <v>0</v>
      </c>
      <c r="G361" s="89">
        <f t="shared" si="199"/>
        <v>0</v>
      </c>
      <c r="H361" s="89">
        <f t="shared" si="199"/>
        <v>0</v>
      </c>
      <c r="I361" s="89">
        <f t="shared" si="199"/>
        <v>0</v>
      </c>
      <c r="J361" s="89">
        <f t="shared" si="199"/>
        <v>0</v>
      </c>
      <c r="K361" s="89">
        <f t="shared" si="199"/>
        <v>0</v>
      </c>
      <c r="L361" s="89">
        <f t="shared" si="199"/>
        <v>0</v>
      </c>
      <c r="M361" s="89">
        <f t="shared" si="199"/>
        <v>0</v>
      </c>
      <c r="N361" s="89">
        <f t="shared" si="199"/>
        <v>0</v>
      </c>
      <c r="O361" s="89">
        <f t="shared" si="199"/>
        <v>0</v>
      </c>
      <c r="P361" s="89">
        <f t="shared" si="199"/>
        <v>0</v>
      </c>
      <c r="Q361" s="89">
        <f t="shared" si="200"/>
        <v>0</v>
      </c>
      <c r="R361" s="89">
        <f t="shared" si="200"/>
        <v>0</v>
      </c>
      <c r="S361" s="89">
        <f t="shared" si="200"/>
        <v>0</v>
      </c>
      <c r="T361" s="89">
        <f t="shared" si="200"/>
        <v>0</v>
      </c>
      <c r="U361" s="89">
        <f t="shared" si="200"/>
        <v>0</v>
      </c>
      <c r="V361" s="89">
        <f t="shared" si="200"/>
        <v>0</v>
      </c>
      <c r="W361" s="89">
        <f t="shared" si="200"/>
        <v>0</v>
      </c>
      <c r="X361" s="91">
        <f>SUM(G361:W361)</f>
        <v>0</v>
      </c>
      <c r="Y361" s="87" t="str">
        <f>IF(ABS(F361-X361)&lt;0.01,"ok","err")</f>
        <v>ok</v>
      </c>
      <c r="Z361" s="203" t="str">
        <f>IF(Y361="err",X361-F361,"")</f>
        <v/>
      </c>
    </row>
    <row r="362" spans="1:26" ht="12" hidden="1" customHeight="1" x14ac:dyDescent="0.5">
      <c r="A362" s="96" t="s">
        <v>2246</v>
      </c>
      <c r="C362" s="86" t="s">
        <v>66</v>
      </c>
      <c r="D362" s="86" t="s">
        <v>78</v>
      </c>
      <c r="E362" s="86" t="s">
        <v>2248</v>
      </c>
      <c r="F362" s="90">
        <f>VLOOKUP(C362,'WSS-26'!$C$1:$AU$617,15,)</f>
        <v>0</v>
      </c>
      <c r="G362" s="89">
        <f t="shared" si="199"/>
        <v>0</v>
      </c>
      <c r="H362" s="89">
        <f t="shared" si="199"/>
        <v>0</v>
      </c>
      <c r="I362" s="89">
        <f t="shared" si="199"/>
        <v>0</v>
      </c>
      <c r="J362" s="89">
        <f t="shared" si="199"/>
        <v>0</v>
      </c>
      <c r="K362" s="89">
        <f t="shared" si="199"/>
        <v>0</v>
      </c>
      <c r="L362" s="89">
        <f t="shared" si="199"/>
        <v>0</v>
      </c>
      <c r="M362" s="89">
        <f t="shared" si="199"/>
        <v>0</v>
      </c>
      <c r="N362" s="89">
        <f t="shared" si="199"/>
        <v>0</v>
      </c>
      <c r="O362" s="89">
        <f t="shared" si="199"/>
        <v>0</v>
      </c>
      <c r="P362" s="89">
        <f t="shared" si="199"/>
        <v>0</v>
      </c>
      <c r="Q362" s="89">
        <f t="shared" si="200"/>
        <v>0</v>
      </c>
      <c r="R362" s="89">
        <f t="shared" si="200"/>
        <v>0</v>
      </c>
      <c r="S362" s="89">
        <f t="shared" si="200"/>
        <v>0</v>
      </c>
      <c r="T362" s="89">
        <f t="shared" si="200"/>
        <v>0</v>
      </c>
      <c r="U362" s="89">
        <f t="shared" si="200"/>
        <v>0</v>
      </c>
      <c r="V362" s="89">
        <f t="shared" si="200"/>
        <v>0</v>
      </c>
      <c r="W362" s="89">
        <f t="shared" si="200"/>
        <v>0</v>
      </c>
      <c r="X362" s="91">
        <f>SUM(G362:W362)</f>
        <v>0</v>
      </c>
      <c r="Y362" s="87" t="str">
        <f>IF(ABS(F362-X362)&lt;0.01,"ok","err")</f>
        <v>ok</v>
      </c>
      <c r="Z362" s="203" t="str">
        <f>IF(Y362="err",X362-F362,"")</f>
        <v/>
      </c>
    </row>
    <row r="363" spans="1:26" ht="12" hidden="1" customHeight="1" x14ac:dyDescent="0.5">
      <c r="A363" s="86" t="s">
        <v>443</v>
      </c>
      <c r="D363" s="86" t="s">
        <v>79</v>
      </c>
      <c r="F363" s="89">
        <f t="shared" ref="F363:U363" si="201">SUM(F360:F362)</f>
        <v>0</v>
      </c>
      <c r="G363" s="89">
        <f t="shared" si="201"/>
        <v>0</v>
      </c>
      <c r="H363" s="89">
        <f t="shared" ref="H363" si="202">SUM(H360:H362)</f>
        <v>0</v>
      </c>
      <c r="I363" s="89">
        <f t="shared" si="201"/>
        <v>0</v>
      </c>
      <c r="J363" s="89">
        <f>SUM(J360:J362)</f>
        <v>0</v>
      </c>
      <c r="K363" s="89">
        <f>SUM(K360:K362)</f>
        <v>0</v>
      </c>
      <c r="L363" s="89">
        <f>SUM(L360:L362)</f>
        <v>0</v>
      </c>
      <c r="M363" s="89">
        <f t="shared" si="201"/>
        <v>0</v>
      </c>
      <c r="N363" s="89">
        <f t="shared" si="201"/>
        <v>0</v>
      </c>
      <c r="O363" s="89">
        <f t="shared" si="201"/>
        <v>0</v>
      </c>
      <c r="P363" s="89">
        <f t="shared" si="201"/>
        <v>0</v>
      </c>
      <c r="Q363" s="89">
        <f>SUM(Q360:Q362)</f>
        <v>0</v>
      </c>
      <c r="R363" s="89">
        <f t="shared" si="201"/>
        <v>0</v>
      </c>
      <c r="S363" s="89">
        <f t="shared" si="201"/>
        <v>0</v>
      </c>
      <c r="T363" s="89">
        <f t="shared" si="201"/>
        <v>0</v>
      </c>
      <c r="U363" s="89">
        <f t="shared" si="201"/>
        <v>0</v>
      </c>
      <c r="V363" s="89">
        <f>SUM(V360:V362)</f>
        <v>0</v>
      </c>
      <c r="W363" s="89">
        <f>SUM(W360:W362)</f>
        <v>0</v>
      </c>
      <c r="X363" s="91">
        <f>SUM(G363:W363)</f>
        <v>0</v>
      </c>
      <c r="Y363" s="87" t="str">
        <f>IF(ABS(F363-X363)&lt;0.01,"ok","err")</f>
        <v>ok</v>
      </c>
      <c r="Z363" s="91" t="str">
        <f>IF(Y363="err",X363-F363,"")</f>
        <v/>
      </c>
    </row>
    <row r="364" spans="1:26" ht="12" customHeight="1" x14ac:dyDescent="0.5">
      <c r="F364" s="90"/>
      <c r="G364" s="90"/>
      <c r="H364" s="90"/>
    </row>
    <row r="365" spans="1:26" ht="12" customHeight="1" x14ac:dyDescent="0.5">
      <c r="A365" s="23" t="s">
        <v>1627</v>
      </c>
      <c r="F365" s="90"/>
      <c r="G365" s="90"/>
      <c r="H365" s="90"/>
    </row>
    <row r="366" spans="1:26" ht="12" customHeight="1" x14ac:dyDescent="0.5">
      <c r="A366" s="96" t="s">
        <v>145</v>
      </c>
      <c r="C366" s="86" t="s">
        <v>66</v>
      </c>
      <c r="D366" s="86" t="s">
        <v>80</v>
      </c>
      <c r="E366" s="86" t="s">
        <v>2252</v>
      </c>
      <c r="F366" s="89">
        <f>VLOOKUP(C366,'WSS-26'!$C$1:$AU$617,17,)</f>
        <v>0</v>
      </c>
      <c r="G366" s="89">
        <f t="shared" ref="G366:W366" si="203">IF(VLOOKUP($E366,$D$5:$W$978,3,)=0,0,(VLOOKUP($E366,$D$5:$W$978,G$1,)/VLOOKUP($E366,$D$5:$W$978,3,))*$F366)</f>
        <v>0</v>
      </c>
      <c r="H366" s="89">
        <f t="shared" si="203"/>
        <v>0</v>
      </c>
      <c r="I366" s="89">
        <f t="shared" si="203"/>
        <v>0</v>
      </c>
      <c r="J366" s="89">
        <f t="shared" si="203"/>
        <v>0</v>
      </c>
      <c r="K366" s="89">
        <f t="shared" si="203"/>
        <v>0</v>
      </c>
      <c r="L366" s="89">
        <f t="shared" si="203"/>
        <v>0</v>
      </c>
      <c r="M366" s="89">
        <f t="shared" si="203"/>
        <v>0</v>
      </c>
      <c r="N366" s="89">
        <f t="shared" si="203"/>
        <v>0</v>
      </c>
      <c r="O366" s="89">
        <f t="shared" si="203"/>
        <v>0</v>
      </c>
      <c r="P366" s="89">
        <f t="shared" si="203"/>
        <v>0</v>
      </c>
      <c r="Q366" s="89">
        <f t="shared" si="203"/>
        <v>0</v>
      </c>
      <c r="R366" s="89">
        <f t="shared" si="203"/>
        <v>0</v>
      </c>
      <c r="S366" s="89">
        <f t="shared" si="203"/>
        <v>0</v>
      </c>
      <c r="T366" s="89">
        <f t="shared" si="203"/>
        <v>0</v>
      </c>
      <c r="U366" s="89">
        <f t="shared" si="203"/>
        <v>0</v>
      </c>
      <c r="V366" s="89">
        <f t="shared" si="203"/>
        <v>0</v>
      </c>
      <c r="W366" s="89">
        <f t="shared" si="203"/>
        <v>0</v>
      </c>
      <c r="X366" s="91">
        <f>SUM(G366:W366)</f>
        <v>0</v>
      </c>
      <c r="Y366" s="87" t="str">
        <f>IF(ABS(F366-X366)&lt;0.01,"ok","err")</f>
        <v>ok</v>
      </c>
      <c r="Z366" s="203" t="str">
        <f>IF(Y366="err",X366-F366,"")</f>
        <v/>
      </c>
    </row>
    <row r="367" spans="1:26" ht="12" customHeight="1" x14ac:dyDescent="0.5">
      <c r="F367" s="90"/>
    </row>
    <row r="368" spans="1:26" ht="12" customHeight="1" x14ac:dyDescent="0.5">
      <c r="A368" s="23" t="s">
        <v>1628</v>
      </c>
      <c r="F368" s="90"/>
      <c r="G368" s="90"/>
      <c r="H368" s="90"/>
    </row>
    <row r="369" spans="1:26" ht="12" customHeight="1" x14ac:dyDescent="0.5">
      <c r="A369" s="96" t="s">
        <v>147</v>
      </c>
      <c r="C369" s="86" t="s">
        <v>66</v>
      </c>
      <c r="D369" s="86" t="s">
        <v>81</v>
      </c>
      <c r="E369" s="86" t="s">
        <v>2252</v>
      </c>
      <c r="F369" s="89">
        <f>VLOOKUP(C369,'WSS-26'!$C$1:$AU$617,18,)</f>
        <v>0</v>
      </c>
      <c r="G369" s="89">
        <f t="shared" ref="G369:W369" si="204">IF(VLOOKUP($E369,$D$5:$W$978,3,)=0,0,(VLOOKUP($E369,$D$5:$W$978,G$1,)/VLOOKUP($E369,$D$5:$W$978,3,))*$F369)</f>
        <v>0</v>
      </c>
      <c r="H369" s="89">
        <f t="shared" si="204"/>
        <v>0</v>
      </c>
      <c r="I369" s="89">
        <f t="shared" si="204"/>
        <v>0</v>
      </c>
      <c r="J369" s="89">
        <f t="shared" si="204"/>
        <v>0</v>
      </c>
      <c r="K369" s="89">
        <f t="shared" si="204"/>
        <v>0</v>
      </c>
      <c r="L369" s="89">
        <f t="shared" si="204"/>
        <v>0</v>
      </c>
      <c r="M369" s="89">
        <f t="shared" si="204"/>
        <v>0</v>
      </c>
      <c r="N369" s="89">
        <f t="shared" si="204"/>
        <v>0</v>
      </c>
      <c r="O369" s="89">
        <f t="shared" si="204"/>
        <v>0</v>
      </c>
      <c r="P369" s="89">
        <f t="shared" si="204"/>
        <v>0</v>
      </c>
      <c r="Q369" s="89">
        <f t="shared" si="204"/>
        <v>0</v>
      </c>
      <c r="R369" s="89">
        <f t="shared" si="204"/>
        <v>0</v>
      </c>
      <c r="S369" s="89">
        <f t="shared" si="204"/>
        <v>0</v>
      </c>
      <c r="T369" s="89">
        <f t="shared" si="204"/>
        <v>0</v>
      </c>
      <c r="U369" s="89">
        <f t="shared" si="204"/>
        <v>0</v>
      </c>
      <c r="V369" s="89">
        <f t="shared" si="204"/>
        <v>0</v>
      </c>
      <c r="W369" s="89">
        <f t="shared" si="204"/>
        <v>0</v>
      </c>
      <c r="X369" s="91">
        <f>SUM(G369:W369)</f>
        <v>0</v>
      </c>
      <c r="Y369" s="87" t="str">
        <f>IF(ABS(F369-X369)&lt;0.01,"ok","err")</f>
        <v>ok</v>
      </c>
      <c r="Z369" s="203" t="str">
        <f>IF(Y369="err",X369-F369,"")</f>
        <v/>
      </c>
    </row>
    <row r="370" spans="1:26" ht="12" customHeight="1" x14ac:dyDescent="0.5">
      <c r="F370" s="90"/>
    </row>
    <row r="371" spans="1:26" ht="12" customHeight="1" x14ac:dyDescent="0.5">
      <c r="A371" s="23" t="s">
        <v>146</v>
      </c>
      <c r="F371" s="90"/>
    </row>
    <row r="372" spans="1:26" ht="12" customHeight="1" x14ac:dyDescent="0.5">
      <c r="A372" s="96" t="s">
        <v>791</v>
      </c>
      <c r="C372" s="86" t="s">
        <v>66</v>
      </c>
      <c r="D372" s="86" t="s">
        <v>82</v>
      </c>
      <c r="E372" s="86" t="s">
        <v>2252</v>
      </c>
      <c r="F372" s="89">
        <f>VLOOKUP(C372,'WSS-26'!$C$1:$AU$617,19,)</f>
        <v>0</v>
      </c>
      <c r="G372" s="89">
        <f t="shared" ref="G372:P376" si="205">IF(VLOOKUP($E372,$D$5:$W$978,3,)=0,0,(VLOOKUP($E372,$D$5:$W$978,G$1,)/VLOOKUP($E372,$D$5:$W$978,3,))*$F372)</f>
        <v>0</v>
      </c>
      <c r="H372" s="89">
        <f t="shared" si="205"/>
        <v>0</v>
      </c>
      <c r="I372" s="89">
        <f t="shared" si="205"/>
        <v>0</v>
      </c>
      <c r="J372" s="89">
        <f t="shared" si="205"/>
        <v>0</v>
      </c>
      <c r="K372" s="89">
        <f t="shared" si="205"/>
        <v>0</v>
      </c>
      <c r="L372" s="89">
        <f t="shared" si="205"/>
        <v>0</v>
      </c>
      <c r="M372" s="89">
        <f t="shared" si="205"/>
        <v>0</v>
      </c>
      <c r="N372" s="89">
        <f t="shared" si="205"/>
        <v>0</v>
      </c>
      <c r="O372" s="89">
        <f t="shared" si="205"/>
        <v>0</v>
      </c>
      <c r="P372" s="89">
        <f t="shared" si="205"/>
        <v>0</v>
      </c>
      <c r="Q372" s="89">
        <f t="shared" ref="Q372:W376" si="206">IF(VLOOKUP($E372,$D$5:$W$978,3,)=0,0,(VLOOKUP($E372,$D$5:$W$978,Q$1,)/VLOOKUP($E372,$D$5:$W$978,3,))*$F372)</f>
        <v>0</v>
      </c>
      <c r="R372" s="89">
        <f t="shared" si="206"/>
        <v>0</v>
      </c>
      <c r="S372" s="89">
        <f t="shared" si="206"/>
        <v>0</v>
      </c>
      <c r="T372" s="89">
        <f t="shared" si="206"/>
        <v>0</v>
      </c>
      <c r="U372" s="89">
        <f t="shared" si="206"/>
        <v>0</v>
      </c>
      <c r="V372" s="89">
        <f t="shared" si="206"/>
        <v>0</v>
      </c>
      <c r="W372" s="89">
        <f t="shared" si="206"/>
        <v>0</v>
      </c>
      <c r="X372" s="91">
        <f t="shared" ref="X372:X377" si="207">SUM(G372:W372)</f>
        <v>0</v>
      </c>
      <c r="Y372" s="87" t="str">
        <f t="shared" ref="Y372:Y377" si="208">IF(ABS(F372-X372)&lt;0.01,"ok","err")</f>
        <v>ok</v>
      </c>
      <c r="Z372" s="203" t="str">
        <f t="shared" ref="Z372:Z377" si="209">IF(Y372="err",X372-F372,"")</f>
        <v/>
      </c>
    </row>
    <row r="373" spans="1:26" ht="12" customHeight="1" x14ac:dyDescent="0.5">
      <c r="A373" s="96" t="s">
        <v>792</v>
      </c>
      <c r="C373" s="86" t="s">
        <v>66</v>
      </c>
      <c r="D373" s="86" t="s">
        <v>83</v>
      </c>
      <c r="E373" s="86" t="s">
        <v>2252</v>
      </c>
      <c r="F373" s="90">
        <f>VLOOKUP(C373,'WSS-26'!$C$1:$AU$617,20,)</f>
        <v>0</v>
      </c>
      <c r="G373" s="89">
        <f t="shared" si="205"/>
        <v>0</v>
      </c>
      <c r="H373" s="89">
        <f t="shared" si="205"/>
        <v>0</v>
      </c>
      <c r="I373" s="89">
        <f t="shared" si="205"/>
        <v>0</v>
      </c>
      <c r="J373" s="89">
        <f t="shared" si="205"/>
        <v>0</v>
      </c>
      <c r="K373" s="89">
        <f t="shared" si="205"/>
        <v>0</v>
      </c>
      <c r="L373" s="89">
        <f t="shared" si="205"/>
        <v>0</v>
      </c>
      <c r="M373" s="89">
        <f t="shared" si="205"/>
        <v>0</v>
      </c>
      <c r="N373" s="89">
        <f t="shared" si="205"/>
        <v>0</v>
      </c>
      <c r="O373" s="89">
        <f t="shared" si="205"/>
        <v>0</v>
      </c>
      <c r="P373" s="89">
        <f t="shared" si="205"/>
        <v>0</v>
      </c>
      <c r="Q373" s="89">
        <f t="shared" si="206"/>
        <v>0</v>
      </c>
      <c r="R373" s="89">
        <f t="shared" si="206"/>
        <v>0</v>
      </c>
      <c r="S373" s="89">
        <f t="shared" si="206"/>
        <v>0</v>
      </c>
      <c r="T373" s="89">
        <f t="shared" si="206"/>
        <v>0</v>
      </c>
      <c r="U373" s="89">
        <f t="shared" si="206"/>
        <v>0</v>
      </c>
      <c r="V373" s="89">
        <f t="shared" si="206"/>
        <v>0</v>
      </c>
      <c r="W373" s="89">
        <f t="shared" si="206"/>
        <v>0</v>
      </c>
      <c r="X373" s="91">
        <f t="shared" si="207"/>
        <v>0</v>
      </c>
      <c r="Y373" s="87" t="str">
        <f t="shared" si="208"/>
        <v>ok</v>
      </c>
      <c r="Z373" s="203" t="str">
        <f t="shared" si="209"/>
        <v/>
      </c>
    </row>
    <row r="374" spans="1:26" ht="12" customHeight="1" x14ac:dyDescent="0.5">
      <c r="A374" s="96" t="s">
        <v>793</v>
      </c>
      <c r="C374" s="86" t="s">
        <v>66</v>
      </c>
      <c r="D374" s="86" t="s">
        <v>84</v>
      </c>
      <c r="E374" s="86" t="s">
        <v>904</v>
      </c>
      <c r="F374" s="90">
        <f>VLOOKUP(C374,'WSS-26'!$C$1:$AU$617,21,)</f>
        <v>0</v>
      </c>
      <c r="G374" s="89">
        <f t="shared" si="205"/>
        <v>0</v>
      </c>
      <c r="H374" s="89">
        <f t="shared" si="205"/>
        <v>0</v>
      </c>
      <c r="I374" s="89">
        <f t="shared" si="205"/>
        <v>0</v>
      </c>
      <c r="J374" s="89">
        <f t="shared" si="205"/>
        <v>0</v>
      </c>
      <c r="K374" s="89">
        <f t="shared" si="205"/>
        <v>0</v>
      </c>
      <c r="L374" s="89">
        <f t="shared" si="205"/>
        <v>0</v>
      </c>
      <c r="M374" s="89">
        <f t="shared" si="205"/>
        <v>0</v>
      </c>
      <c r="N374" s="89">
        <f t="shared" si="205"/>
        <v>0</v>
      </c>
      <c r="O374" s="89">
        <f t="shared" si="205"/>
        <v>0</v>
      </c>
      <c r="P374" s="89">
        <f t="shared" si="205"/>
        <v>0</v>
      </c>
      <c r="Q374" s="89">
        <f t="shared" si="206"/>
        <v>0</v>
      </c>
      <c r="R374" s="89">
        <f t="shared" si="206"/>
        <v>0</v>
      </c>
      <c r="S374" s="89">
        <f t="shared" si="206"/>
        <v>0</v>
      </c>
      <c r="T374" s="89">
        <f t="shared" si="206"/>
        <v>0</v>
      </c>
      <c r="U374" s="89">
        <f t="shared" si="206"/>
        <v>0</v>
      </c>
      <c r="V374" s="89">
        <f t="shared" si="206"/>
        <v>0</v>
      </c>
      <c r="W374" s="89">
        <f t="shared" si="206"/>
        <v>0</v>
      </c>
      <c r="X374" s="91">
        <f t="shared" si="207"/>
        <v>0</v>
      </c>
      <c r="Y374" s="87" t="str">
        <f t="shared" si="208"/>
        <v>ok</v>
      </c>
      <c r="Z374" s="203" t="str">
        <f t="shared" si="209"/>
        <v/>
      </c>
    </row>
    <row r="375" spans="1:26" ht="12" customHeight="1" x14ac:dyDescent="0.5">
      <c r="A375" s="96" t="s">
        <v>794</v>
      </c>
      <c r="C375" s="86" t="s">
        <v>66</v>
      </c>
      <c r="D375" s="86" t="s">
        <v>85</v>
      </c>
      <c r="E375" s="86" t="s">
        <v>733</v>
      </c>
      <c r="F375" s="90">
        <f>VLOOKUP(C375,'WSS-26'!$C$1:$AU$617,22,)</f>
        <v>0</v>
      </c>
      <c r="G375" s="89">
        <f t="shared" si="205"/>
        <v>0</v>
      </c>
      <c r="H375" s="89">
        <f t="shared" si="205"/>
        <v>0</v>
      </c>
      <c r="I375" s="89">
        <f t="shared" si="205"/>
        <v>0</v>
      </c>
      <c r="J375" s="89">
        <f t="shared" si="205"/>
        <v>0</v>
      </c>
      <c r="K375" s="89">
        <f t="shared" si="205"/>
        <v>0</v>
      </c>
      <c r="L375" s="89">
        <f t="shared" si="205"/>
        <v>0</v>
      </c>
      <c r="M375" s="89">
        <f t="shared" si="205"/>
        <v>0</v>
      </c>
      <c r="N375" s="89">
        <f t="shared" si="205"/>
        <v>0</v>
      </c>
      <c r="O375" s="89">
        <f t="shared" si="205"/>
        <v>0</v>
      </c>
      <c r="P375" s="89">
        <f t="shared" si="205"/>
        <v>0</v>
      </c>
      <c r="Q375" s="89">
        <f t="shared" si="206"/>
        <v>0</v>
      </c>
      <c r="R375" s="89">
        <f t="shared" si="206"/>
        <v>0</v>
      </c>
      <c r="S375" s="89">
        <f t="shared" si="206"/>
        <v>0</v>
      </c>
      <c r="T375" s="89">
        <f t="shared" si="206"/>
        <v>0</v>
      </c>
      <c r="U375" s="89">
        <f t="shared" si="206"/>
        <v>0</v>
      </c>
      <c r="V375" s="89">
        <f t="shared" si="206"/>
        <v>0</v>
      </c>
      <c r="W375" s="89">
        <f t="shared" si="206"/>
        <v>0</v>
      </c>
      <c r="X375" s="91">
        <f t="shared" si="207"/>
        <v>0</v>
      </c>
      <c r="Y375" s="87" t="str">
        <f t="shared" si="208"/>
        <v>ok</v>
      </c>
      <c r="Z375" s="203" t="str">
        <f t="shared" si="209"/>
        <v/>
      </c>
    </row>
    <row r="376" spans="1:26" ht="12" customHeight="1" x14ac:dyDescent="0.5">
      <c r="A376" s="96" t="s">
        <v>795</v>
      </c>
      <c r="C376" s="86" t="s">
        <v>66</v>
      </c>
      <c r="D376" s="86" t="s">
        <v>86</v>
      </c>
      <c r="E376" s="86" t="s">
        <v>903</v>
      </c>
      <c r="F376" s="90">
        <f>VLOOKUP(C376,'WSS-26'!$C$1:$AU$617,23,)</f>
        <v>0</v>
      </c>
      <c r="G376" s="89">
        <f t="shared" si="205"/>
        <v>0</v>
      </c>
      <c r="H376" s="89">
        <f t="shared" si="205"/>
        <v>0</v>
      </c>
      <c r="I376" s="89">
        <f t="shared" si="205"/>
        <v>0</v>
      </c>
      <c r="J376" s="89">
        <f t="shared" si="205"/>
        <v>0</v>
      </c>
      <c r="K376" s="89">
        <f t="shared" si="205"/>
        <v>0</v>
      </c>
      <c r="L376" s="89">
        <f t="shared" si="205"/>
        <v>0</v>
      </c>
      <c r="M376" s="89">
        <f t="shared" si="205"/>
        <v>0</v>
      </c>
      <c r="N376" s="89">
        <f t="shared" si="205"/>
        <v>0</v>
      </c>
      <c r="O376" s="89">
        <f t="shared" si="205"/>
        <v>0</v>
      </c>
      <c r="P376" s="89">
        <f t="shared" si="205"/>
        <v>0</v>
      </c>
      <c r="Q376" s="89">
        <f t="shared" si="206"/>
        <v>0</v>
      </c>
      <c r="R376" s="89">
        <f t="shared" si="206"/>
        <v>0</v>
      </c>
      <c r="S376" s="89">
        <f t="shared" si="206"/>
        <v>0</v>
      </c>
      <c r="T376" s="89">
        <f t="shared" si="206"/>
        <v>0</v>
      </c>
      <c r="U376" s="89">
        <f t="shared" si="206"/>
        <v>0</v>
      </c>
      <c r="V376" s="89">
        <f t="shared" si="206"/>
        <v>0</v>
      </c>
      <c r="W376" s="89">
        <f t="shared" si="206"/>
        <v>0</v>
      </c>
      <c r="X376" s="91">
        <f t="shared" si="207"/>
        <v>0</v>
      </c>
      <c r="Y376" s="87" t="str">
        <f t="shared" si="208"/>
        <v>ok</v>
      </c>
      <c r="Z376" s="203" t="str">
        <f t="shared" si="209"/>
        <v/>
      </c>
    </row>
    <row r="377" spans="1:26" ht="12" customHeight="1" x14ac:dyDescent="0.5">
      <c r="A377" s="86" t="s">
        <v>151</v>
      </c>
      <c r="D377" s="86" t="s">
        <v>87</v>
      </c>
      <c r="F377" s="89">
        <f t="shared" ref="F377:U377" si="210">SUM(F372:F376)</f>
        <v>0</v>
      </c>
      <c r="G377" s="89">
        <f t="shared" si="210"/>
        <v>0</v>
      </c>
      <c r="H377" s="89">
        <f t="shared" ref="H377" si="211">SUM(H372:H376)</f>
        <v>0</v>
      </c>
      <c r="I377" s="89">
        <f t="shared" si="210"/>
        <v>0</v>
      </c>
      <c r="J377" s="89">
        <f>SUM(J372:J376)</f>
        <v>0</v>
      </c>
      <c r="K377" s="89">
        <f>SUM(K372:K376)</f>
        <v>0</v>
      </c>
      <c r="L377" s="89">
        <f>SUM(L372:L376)</f>
        <v>0</v>
      </c>
      <c r="M377" s="89">
        <f t="shared" si="210"/>
        <v>0</v>
      </c>
      <c r="N377" s="89">
        <f t="shared" si="210"/>
        <v>0</v>
      </c>
      <c r="O377" s="89">
        <f t="shared" si="210"/>
        <v>0</v>
      </c>
      <c r="P377" s="89">
        <f t="shared" si="210"/>
        <v>0</v>
      </c>
      <c r="Q377" s="89">
        <f>SUM(Q372:Q376)</f>
        <v>0</v>
      </c>
      <c r="R377" s="89">
        <f t="shared" si="210"/>
        <v>0</v>
      </c>
      <c r="S377" s="89">
        <f t="shared" si="210"/>
        <v>0</v>
      </c>
      <c r="T377" s="89">
        <f t="shared" si="210"/>
        <v>0</v>
      </c>
      <c r="U377" s="89">
        <f t="shared" si="210"/>
        <v>0</v>
      </c>
      <c r="V377" s="89">
        <f>SUM(V372:V376)</f>
        <v>0</v>
      </c>
      <c r="W377" s="89">
        <f>SUM(W372:W376)</f>
        <v>0</v>
      </c>
      <c r="X377" s="91">
        <f t="shared" si="207"/>
        <v>0</v>
      </c>
      <c r="Y377" s="87" t="str">
        <f t="shared" si="208"/>
        <v>ok</v>
      </c>
      <c r="Z377" s="91" t="str">
        <f t="shared" si="209"/>
        <v/>
      </c>
    </row>
    <row r="378" spans="1:26" ht="12" customHeight="1" x14ac:dyDescent="0.5">
      <c r="F378" s="90"/>
    </row>
    <row r="379" spans="1:26" ht="12" customHeight="1" x14ac:dyDescent="0.5">
      <c r="A379" s="23" t="s">
        <v>790</v>
      </c>
      <c r="F379" s="90"/>
    </row>
    <row r="380" spans="1:26" ht="12" customHeight="1" x14ac:dyDescent="0.5">
      <c r="A380" s="96" t="s">
        <v>389</v>
      </c>
      <c r="C380" s="86" t="s">
        <v>66</v>
      </c>
      <c r="D380" s="86" t="s">
        <v>88</v>
      </c>
      <c r="E380" s="86" t="s">
        <v>2177</v>
      </c>
      <c r="F380" s="89">
        <f>VLOOKUP(C380,'WSS-26'!$C$1:$AU$617,24,)</f>
        <v>0</v>
      </c>
      <c r="G380" s="89">
        <f t="shared" ref="G380:P381" si="212">IF(VLOOKUP($E380,$D$5:$W$978,3,)=0,0,(VLOOKUP($E380,$D$5:$W$978,G$1,)/VLOOKUP($E380,$D$5:$W$978,3,))*$F380)</f>
        <v>0</v>
      </c>
      <c r="H380" s="89">
        <f t="shared" si="212"/>
        <v>0</v>
      </c>
      <c r="I380" s="89">
        <f t="shared" si="212"/>
        <v>0</v>
      </c>
      <c r="J380" s="89">
        <f t="shared" si="212"/>
        <v>0</v>
      </c>
      <c r="K380" s="89">
        <f t="shared" si="212"/>
        <v>0</v>
      </c>
      <c r="L380" s="89">
        <f t="shared" si="212"/>
        <v>0</v>
      </c>
      <c r="M380" s="89">
        <f t="shared" si="212"/>
        <v>0</v>
      </c>
      <c r="N380" s="89">
        <f t="shared" si="212"/>
        <v>0</v>
      </c>
      <c r="O380" s="89">
        <f t="shared" si="212"/>
        <v>0</v>
      </c>
      <c r="P380" s="89">
        <f t="shared" si="212"/>
        <v>0</v>
      </c>
      <c r="Q380" s="89">
        <f t="shared" ref="Q380:W381" si="213">IF(VLOOKUP($E380,$D$5:$W$978,3,)=0,0,(VLOOKUP($E380,$D$5:$W$978,Q$1,)/VLOOKUP($E380,$D$5:$W$978,3,))*$F380)</f>
        <v>0</v>
      </c>
      <c r="R380" s="89">
        <f t="shared" si="213"/>
        <v>0</v>
      </c>
      <c r="S380" s="89">
        <f t="shared" si="213"/>
        <v>0</v>
      </c>
      <c r="T380" s="89">
        <f t="shared" si="213"/>
        <v>0</v>
      </c>
      <c r="U380" s="89">
        <f t="shared" si="213"/>
        <v>0</v>
      </c>
      <c r="V380" s="89">
        <f t="shared" si="213"/>
        <v>0</v>
      </c>
      <c r="W380" s="89">
        <f t="shared" si="213"/>
        <v>0</v>
      </c>
      <c r="X380" s="91">
        <f>SUM(G380:W380)</f>
        <v>0</v>
      </c>
      <c r="Y380" s="87" t="str">
        <f>IF(ABS(F380-X380)&lt;0.01,"ok","err")</f>
        <v>ok</v>
      </c>
      <c r="Z380" s="203" t="str">
        <f>IF(Y380="err",X380-F380,"")</f>
        <v/>
      </c>
    </row>
    <row r="381" spans="1:26" ht="12" customHeight="1" x14ac:dyDescent="0.5">
      <c r="A381" s="96" t="s">
        <v>392</v>
      </c>
      <c r="C381" s="86" t="s">
        <v>66</v>
      </c>
      <c r="D381" s="86" t="s">
        <v>89</v>
      </c>
      <c r="E381" s="86" t="s">
        <v>2176</v>
      </c>
      <c r="F381" s="90">
        <f>VLOOKUP(C381,'WSS-26'!$C$1:$AU$617,25,)</f>
        <v>0</v>
      </c>
      <c r="G381" s="89">
        <f t="shared" si="212"/>
        <v>0</v>
      </c>
      <c r="H381" s="89">
        <f t="shared" si="212"/>
        <v>0</v>
      </c>
      <c r="I381" s="89">
        <f t="shared" si="212"/>
        <v>0</v>
      </c>
      <c r="J381" s="89">
        <f t="shared" si="212"/>
        <v>0</v>
      </c>
      <c r="K381" s="89">
        <f t="shared" si="212"/>
        <v>0</v>
      </c>
      <c r="L381" s="89">
        <f t="shared" si="212"/>
        <v>0</v>
      </c>
      <c r="M381" s="89">
        <f t="shared" si="212"/>
        <v>0</v>
      </c>
      <c r="N381" s="89">
        <f t="shared" si="212"/>
        <v>0</v>
      </c>
      <c r="O381" s="89">
        <f t="shared" si="212"/>
        <v>0</v>
      </c>
      <c r="P381" s="89">
        <f t="shared" si="212"/>
        <v>0</v>
      </c>
      <c r="Q381" s="89">
        <f t="shared" si="213"/>
        <v>0</v>
      </c>
      <c r="R381" s="89">
        <f t="shared" si="213"/>
        <v>0</v>
      </c>
      <c r="S381" s="89">
        <f t="shared" si="213"/>
        <v>0</v>
      </c>
      <c r="T381" s="89">
        <f t="shared" si="213"/>
        <v>0</v>
      </c>
      <c r="U381" s="89">
        <f t="shared" si="213"/>
        <v>0</v>
      </c>
      <c r="V381" s="89">
        <f t="shared" si="213"/>
        <v>0</v>
      </c>
      <c r="W381" s="89">
        <f t="shared" si="213"/>
        <v>0</v>
      </c>
      <c r="X381" s="91">
        <f>SUM(G381:W381)</f>
        <v>0</v>
      </c>
      <c r="Y381" s="87" t="str">
        <f>IF(ABS(F381-X381)&lt;0.01,"ok","err")</f>
        <v>ok</v>
      </c>
      <c r="Z381" s="203" t="str">
        <f>IF(Y381="err",X381-F381,"")</f>
        <v/>
      </c>
    </row>
    <row r="382" spans="1:26" ht="12" customHeight="1" x14ac:dyDescent="0.5">
      <c r="A382" s="86" t="s">
        <v>1468</v>
      </c>
      <c r="D382" s="86" t="s">
        <v>90</v>
      </c>
      <c r="F382" s="89">
        <f t="shared" ref="F382:U382" si="214">F380+F381</f>
        <v>0</v>
      </c>
      <c r="G382" s="89">
        <f t="shared" si="214"/>
        <v>0</v>
      </c>
      <c r="H382" s="89">
        <f t="shared" ref="H382" si="215">H380+H381</f>
        <v>0</v>
      </c>
      <c r="I382" s="89">
        <f t="shared" si="214"/>
        <v>0</v>
      </c>
      <c r="J382" s="89">
        <f>J380+J381</f>
        <v>0</v>
      </c>
      <c r="K382" s="89">
        <f>K380+K381</f>
        <v>0</v>
      </c>
      <c r="L382" s="89">
        <f>L380+L381</f>
        <v>0</v>
      </c>
      <c r="M382" s="89">
        <f t="shared" si="214"/>
        <v>0</v>
      </c>
      <c r="N382" s="89">
        <f t="shared" si="214"/>
        <v>0</v>
      </c>
      <c r="O382" s="89">
        <f t="shared" si="214"/>
        <v>0</v>
      </c>
      <c r="P382" s="89">
        <f t="shared" si="214"/>
        <v>0</v>
      </c>
      <c r="Q382" s="89">
        <f>Q380+Q381</f>
        <v>0</v>
      </c>
      <c r="R382" s="89">
        <f t="shared" si="214"/>
        <v>0</v>
      </c>
      <c r="S382" s="89">
        <f t="shared" si="214"/>
        <v>0</v>
      </c>
      <c r="T382" s="89">
        <f t="shared" si="214"/>
        <v>0</v>
      </c>
      <c r="U382" s="89">
        <f t="shared" si="214"/>
        <v>0</v>
      </c>
      <c r="V382" s="89">
        <f>V380+V381</f>
        <v>0</v>
      </c>
      <c r="W382" s="89">
        <f>W380+W381</f>
        <v>0</v>
      </c>
      <c r="X382" s="91">
        <f>SUM(G382:W382)</f>
        <v>0</v>
      </c>
      <c r="Y382" s="87" t="str">
        <f>IF(ABS(F382-X382)&lt;0.01,"ok","err")</f>
        <v>ok</v>
      </c>
      <c r="Z382" s="91" t="str">
        <f>IF(Y382="err",X382-F382,"")</f>
        <v/>
      </c>
    </row>
    <row r="383" spans="1:26" ht="12" customHeight="1" x14ac:dyDescent="0.5">
      <c r="F383" s="90"/>
    </row>
    <row r="384" spans="1:26" ht="12" customHeight="1" x14ac:dyDescent="0.5">
      <c r="A384" s="23" t="s">
        <v>128</v>
      </c>
      <c r="F384" s="90"/>
    </row>
    <row r="385" spans="1:26" ht="12" customHeight="1" x14ac:dyDescent="0.5">
      <c r="A385" s="96" t="s">
        <v>392</v>
      </c>
      <c r="C385" s="86" t="s">
        <v>66</v>
      </c>
      <c r="D385" s="86" t="s">
        <v>91</v>
      </c>
      <c r="E385" s="86" t="s">
        <v>393</v>
      </c>
      <c r="F385" s="89">
        <f>VLOOKUP(C385,'WSS-26'!$C$1:$AU$617,26,)</f>
        <v>0</v>
      </c>
      <c r="G385" s="89">
        <f t="shared" ref="G385:W385" si="216">IF(VLOOKUP($E385,$D$5:$W$978,3,)=0,0,(VLOOKUP($E385,$D$5:$W$978,G$1,)/VLOOKUP($E385,$D$5:$W$978,3,))*$F385)</f>
        <v>0</v>
      </c>
      <c r="H385" s="89">
        <f t="shared" si="216"/>
        <v>0</v>
      </c>
      <c r="I385" s="89">
        <f t="shared" si="216"/>
        <v>0</v>
      </c>
      <c r="J385" s="89">
        <f t="shared" si="216"/>
        <v>0</v>
      </c>
      <c r="K385" s="89">
        <f t="shared" si="216"/>
        <v>0</v>
      </c>
      <c r="L385" s="89">
        <f t="shared" si="216"/>
        <v>0</v>
      </c>
      <c r="M385" s="89">
        <f t="shared" si="216"/>
        <v>0</v>
      </c>
      <c r="N385" s="89">
        <f t="shared" si="216"/>
        <v>0</v>
      </c>
      <c r="O385" s="89">
        <f t="shared" si="216"/>
        <v>0</v>
      </c>
      <c r="P385" s="89">
        <f t="shared" si="216"/>
        <v>0</v>
      </c>
      <c r="Q385" s="89">
        <f t="shared" si="216"/>
        <v>0</v>
      </c>
      <c r="R385" s="89">
        <f t="shared" si="216"/>
        <v>0</v>
      </c>
      <c r="S385" s="89">
        <f t="shared" si="216"/>
        <v>0</v>
      </c>
      <c r="T385" s="89">
        <f t="shared" si="216"/>
        <v>0</v>
      </c>
      <c r="U385" s="89">
        <f t="shared" si="216"/>
        <v>0</v>
      </c>
      <c r="V385" s="89">
        <f t="shared" si="216"/>
        <v>0</v>
      </c>
      <c r="W385" s="89">
        <f t="shared" si="216"/>
        <v>0</v>
      </c>
      <c r="X385" s="91">
        <f>SUM(G385:W385)</f>
        <v>0</v>
      </c>
      <c r="Y385" s="87" t="str">
        <f>IF(ABS(F385-X385)&lt;0.01,"ok","err")</f>
        <v>ok</v>
      </c>
      <c r="Z385" s="203" t="str">
        <f>IF(Y385="err",X385-F385,"")</f>
        <v/>
      </c>
    </row>
    <row r="386" spans="1:26" ht="12" customHeight="1" x14ac:dyDescent="0.5">
      <c r="F386" s="90"/>
    </row>
    <row r="387" spans="1:26" ht="12" customHeight="1" x14ac:dyDescent="0.5">
      <c r="A387" s="23" t="s">
        <v>127</v>
      </c>
      <c r="F387" s="90"/>
    </row>
    <row r="388" spans="1:26" ht="12" customHeight="1" x14ac:dyDescent="0.5">
      <c r="A388" s="96" t="s">
        <v>392</v>
      </c>
      <c r="C388" s="86" t="s">
        <v>66</v>
      </c>
      <c r="D388" s="86" t="s">
        <v>92</v>
      </c>
      <c r="E388" s="86" t="s">
        <v>394</v>
      </c>
      <c r="F388" s="89">
        <f>VLOOKUP(C388,'WSS-26'!$C$1:$AU$617,27,)</f>
        <v>0</v>
      </c>
      <c r="G388" s="89">
        <f t="shared" ref="G388:W388" si="217">IF(VLOOKUP($E388,$D$5:$W$978,3,)=0,0,(VLOOKUP($E388,$D$5:$W$978,G$1,)/VLOOKUP($E388,$D$5:$W$978,3,))*$F388)</f>
        <v>0</v>
      </c>
      <c r="H388" s="89">
        <f t="shared" si="217"/>
        <v>0</v>
      </c>
      <c r="I388" s="89">
        <f t="shared" si="217"/>
        <v>0</v>
      </c>
      <c r="J388" s="89">
        <f t="shared" si="217"/>
        <v>0</v>
      </c>
      <c r="K388" s="89">
        <f t="shared" si="217"/>
        <v>0</v>
      </c>
      <c r="L388" s="89">
        <f t="shared" si="217"/>
        <v>0</v>
      </c>
      <c r="M388" s="89">
        <f t="shared" si="217"/>
        <v>0</v>
      </c>
      <c r="N388" s="89">
        <f t="shared" si="217"/>
        <v>0</v>
      </c>
      <c r="O388" s="89">
        <f t="shared" si="217"/>
        <v>0</v>
      </c>
      <c r="P388" s="89">
        <f t="shared" si="217"/>
        <v>0</v>
      </c>
      <c r="Q388" s="89">
        <f t="shared" si="217"/>
        <v>0</v>
      </c>
      <c r="R388" s="89">
        <f t="shared" si="217"/>
        <v>0</v>
      </c>
      <c r="S388" s="89">
        <f t="shared" si="217"/>
        <v>0</v>
      </c>
      <c r="T388" s="89">
        <f t="shared" si="217"/>
        <v>0</v>
      </c>
      <c r="U388" s="89">
        <f t="shared" si="217"/>
        <v>0</v>
      </c>
      <c r="V388" s="89">
        <f t="shared" si="217"/>
        <v>0</v>
      </c>
      <c r="W388" s="89">
        <f t="shared" si="217"/>
        <v>0</v>
      </c>
      <c r="X388" s="91">
        <f>SUM(G388:W388)</f>
        <v>0</v>
      </c>
      <c r="Y388" s="87" t="str">
        <f>IF(ABS(F388-X388)&lt;0.01,"ok","err")</f>
        <v>ok</v>
      </c>
      <c r="Z388" s="203" t="str">
        <f>IF(Y388="err",X388-F388,"")</f>
        <v/>
      </c>
    </row>
    <row r="389" spans="1:26" ht="12" customHeight="1" x14ac:dyDescent="0.5">
      <c r="F389" s="90"/>
    </row>
    <row r="390" spans="1:26" ht="12" customHeight="1" x14ac:dyDescent="0.5">
      <c r="A390" s="23" t="s">
        <v>144</v>
      </c>
      <c r="F390" s="90"/>
    </row>
    <row r="391" spans="1:26" ht="12" customHeight="1" x14ac:dyDescent="0.5">
      <c r="A391" s="96" t="s">
        <v>392</v>
      </c>
      <c r="C391" s="86" t="s">
        <v>66</v>
      </c>
      <c r="D391" s="86" t="s">
        <v>93</v>
      </c>
      <c r="E391" s="86" t="s">
        <v>395</v>
      </c>
      <c r="F391" s="89">
        <f>VLOOKUP(C391,'WSS-26'!$C$1:$AU$617,28,)</f>
        <v>0</v>
      </c>
      <c r="G391" s="89">
        <f t="shared" ref="G391:W391" si="218">IF(VLOOKUP($E391,$D$5:$W$978,3,)=0,0,(VLOOKUP($E391,$D$5:$W$978,G$1,)/VLOOKUP($E391,$D$5:$W$978,3,))*$F391)</f>
        <v>0</v>
      </c>
      <c r="H391" s="89">
        <f t="shared" si="218"/>
        <v>0</v>
      </c>
      <c r="I391" s="89">
        <f t="shared" si="218"/>
        <v>0</v>
      </c>
      <c r="J391" s="89">
        <f t="shared" si="218"/>
        <v>0</v>
      </c>
      <c r="K391" s="89">
        <f t="shared" si="218"/>
        <v>0</v>
      </c>
      <c r="L391" s="89">
        <f t="shared" si="218"/>
        <v>0</v>
      </c>
      <c r="M391" s="89">
        <f t="shared" si="218"/>
        <v>0</v>
      </c>
      <c r="N391" s="89">
        <f t="shared" si="218"/>
        <v>0</v>
      </c>
      <c r="O391" s="89">
        <f t="shared" si="218"/>
        <v>0</v>
      </c>
      <c r="P391" s="89">
        <f t="shared" si="218"/>
        <v>0</v>
      </c>
      <c r="Q391" s="89">
        <f t="shared" si="218"/>
        <v>0</v>
      </c>
      <c r="R391" s="89">
        <f t="shared" si="218"/>
        <v>0</v>
      </c>
      <c r="S391" s="89">
        <f t="shared" si="218"/>
        <v>0</v>
      </c>
      <c r="T391" s="89">
        <f t="shared" si="218"/>
        <v>0</v>
      </c>
      <c r="U391" s="89">
        <f t="shared" si="218"/>
        <v>0</v>
      </c>
      <c r="V391" s="89">
        <f t="shared" si="218"/>
        <v>0</v>
      </c>
      <c r="W391" s="89">
        <f t="shared" si="218"/>
        <v>0</v>
      </c>
      <c r="X391" s="91">
        <f>SUM(G391:W391)</f>
        <v>0</v>
      </c>
      <c r="Y391" s="87" t="str">
        <f>IF(ABS(F391-X391)&lt;0.01,"ok","err")</f>
        <v>ok</v>
      </c>
      <c r="Z391" s="203" t="str">
        <f>IF(Y391="err",X391-F391,"")</f>
        <v/>
      </c>
    </row>
    <row r="392" spans="1:26" ht="12" customHeight="1" x14ac:dyDescent="0.5">
      <c r="F392" s="90"/>
    </row>
    <row r="393" spans="1:26" ht="12" customHeight="1" x14ac:dyDescent="0.5">
      <c r="A393" s="23" t="s">
        <v>292</v>
      </c>
      <c r="F393" s="90"/>
    </row>
    <row r="394" spans="1:26" ht="12" customHeight="1" x14ac:dyDescent="0.5">
      <c r="A394" s="96" t="s">
        <v>392</v>
      </c>
      <c r="C394" s="86" t="s">
        <v>66</v>
      </c>
      <c r="D394" s="86" t="s">
        <v>94</v>
      </c>
      <c r="E394" s="86" t="s">
        <v>396</v>
      </c>
      <c r="F394" s="89">
        <f>VLOOKUP(C394,'WSS-26'!$C$1:$AU$617,30,)</f>
        <v>0</v>
      </c>
      <c r="G394" s="89">
        <f t="shared" ref="G394:W394" si="219">IF(VLOOKUP($E394,$D$5:$W$978,3,)=0,0,(VLOOKUP($E394,$D$5:$W$978,G$1,)/VLOOKUP($E394,$D$5:$W$978,3,))*$F394)</f>
        <v>0</v>
      </c>
      <c r="H394" s="89">
        <f t="shared" si="219"/>
        <v>0</v>
      </c>
      <c r="I394" s="89">
        <f t="shared" si="219"/>
        <v>0</v>
      </c>
      <c r="J394" s="89">
        <f t="shared" si="219"/>
        <v>0</v>
      </c>
      <c r="K394" s="89">
        <f t="shared" si="219"/>
        <v>0</v>
      </c>
      <c r="L394" s="89">
        <f t="shared" si="219"/>
        <v>0</v>
      </c>
      <c r="M394" s="89">
        <f t="shared" si="219"/>
        <v>0</v>
      </c>
      <c r="N394" s="89">
        <f t="shared" si="219"/>
        <v>0</v>
      </c>
      <c r="O394" s="89">
        <f t="shared" si="219"/>
        <v>0</v>
      </c>
      <c r="P394" s="89">
        <f t="shared" si="219"/>
        <v>0</v>
      </c>
      <c r="Q394" s="89">
        <f t="shared" si="219"/>
        <v>0</v>
      </c>
      <c r="R394" s="89">
        <f t="shared" si="219"/>
        <v>0</v>
      </c>
      <c r="S394" s="89">
        <f t="shared" si="219"/>
        <v>0</v>
      </c>
      <c r="T394" s="89">
        <f t="shared" si="219"/>
        <v>0</v>
      </c>
      <c r="U394" s="89">
        <f t="shared" si="219"/>
        <v>0</v>
      </c>
      <c r="V394" s="89">
        <f t="shared" si="219"/>
        <v>0</v>
      </c>
      <c r="W394" s="89">
        <f t="shared" si="219"/>
        <v>0</v>
      </c>
      <c r="X394" s="91">
        <f>SUM(G394:W394)</f>
        <v>0</v>
      </c>
      <c r="Y394" s="87" t="str">
        <f>IF(ABS(F394-X394)&lt;0.01,"ok","err")</f>
        <v>ok</v>
      </c>
      <c r="Z394" s="203" t="str">
        <f>IF(Y394="err",X394-F394,"")</f>
        <v/>
      </c>
    </row>
    <row r="395" spans="1:26" ht="12" customHeight="1" x14ac:dyDescent="0.5">
      <c r="F395" s="90"/>
    </row>
    <row r="396" spans="1:26" ht="12" customHeight="1" x14ac:dyDescent="0.5">
      <c r="A396" s="23" t="s">
        <v>1630</v>
      </c>
      <c r="F396" s="90"/>
    </row>
    <row r="397" spans="1:26" ht="12" customHeight="1" x14ac:dyDescent="0.5">
      <c r="A397" s="96" t="s">
        <v>392</v>
      </c>
      <c r="C397" s="86" t="s">
        <v>66</v>
      </c>
      <c r="D397" s="86" t="s">
        <v>95</v>
      </c>
      <c r="E397" s="86" t="s">
        <v>396</v>
      </c>
      <c r="F397" s="89">
        <f>VLOOKUP(C397,'WSS-26'!$C$1:$AU$617,32,)</f>
        <v>0</v>
      </c>
      <c r="G397" s="89">
        <f t="shared" ref="G397:W397" si="220">IF(VLOOKUP($E397,$D$5:$W$978,3,)=0,0,(VLOOKUP($E397,$D$5:$W$978,G$1,)/VLOOKUP($E397,$D$5:$W$978,3,))*$F397)</f>
        <v>0</v>
      </c>
      <c r="H397" s="89">
        <f t="shared" si="220"/>
        <v>0</v>
      </c>
      <c r="I397" s="89">
        <f t="shared" si="220"/>
        <v>0</v>
      </c>
      <c r="J397" s="89">
        <f t="shared" si="220"/>
        <v>0</v>
      </c>
      <c r="K397" s="89">
        <f t="shared" si="220"/>
        <v>0</v>
      </c>
      <c r="L397" s="89">
        <f t="shared" si="220"/>
        <v>0</v>
      </c>
      <c r="M397" s="89">
        <f t="shared" si="220"/>
        <v>0</v>
      </c>
      <c r="N397" s="89">
        <f t="shared" si="220"/>
        <v>0</v>
      </c>
      <c r="O397" s="89">
        <f t="shared" si="220"/>
        <v>0</v>
      </c>
      <c r="P397" s="89">
        <f t="shared" si="220"/>
        <v>0</v>
      </c>
      <c r="Q397" s="89">
        <f t="shared" si="220"/>
        <v>0</v>
      </c>
      <c r="R397" s="89">
        <f t="shared" si="220"/>
        <v>0</v>
      </c>
      <c r="S397" s="89">
        <f t="shared" si="220"/>
        <v>0</v>
      </c>
      <c r="T397" s="89">
        <f t="shared" si="220"/>
        <v>0</v>
      </c>
      <c r="U397" s="89">
        <f t="shared" si="220"/>
        <v>0</v>
      </c>
      <c r="V397" s="89">
        <f t="shared" si="220"/>
        <v>0</v>
      </c>
      <c r="W397" s="89">
        <f t="shared" si="220"/>
        <v>0</v>
      </c>
      <c r="X397" s="91">
        <f>SUM(G397:W397)</f>
        <v>0</v>
      </c>
      <c r="Y397" s="87" t="str">
        <f>IF(ABS(F397-X397)&lt;0.01,"ok","err")</f>
        <v>ok</v>
      </c>
      <c r="Z397" s="203" t="str">
        <f>IF(Y397="err",X397-F397,"")</f>
        <v/>
      </c>
    </row>
    <row r="398" spans="1:26" ht="12" customHeight="1" x14ac:dyDescent="0.5">
      <c r="F398" s="90"/>
    </row>
    <row r="399" spans="1:26" ht="12" customHeight="1" x14ac:dyDescent="0.5">
      <c r="A399" s="23" t="s">
        <v>1629</v>
      </c>
      <c r="F399" s="90"/>
    </row>
    <row r="400" spans="1:26" ht="12" customHeight="1" x14ac:dyDescent="0.5">
      <c r="A400" s="96" t="s">
        <v>392</v>
      </c>
      <c r="C400" s="86" t="s">
        <v>66</v>
      </c>
      <c r="D400" s="86" t="s">
        <v>1683</v>
      </c>
      <c r="E400" s="86" t="s">
        <v>397</v>
      </c>
      <c r="F400" s="89">
        <f>VLOOKUP(C400,'WSS-26'!$C$1:$AU$617,34,)</f>
        <v>0</v>
      </c>
      <c r="G400" s="89">
        <f t="shared" ref="G400:W400" si="221">IF(VLOOKUP($E400,$D$5:$W$978,3,)=0,0,(VLOOKUP($E400,$D$5:$W$978,G$1,)/VLOOKUP($E400,$D$5:$W$978,3,))*$F400)</f>
        <v>0</v>
      </c>
      <c r="H400" s="89">
        <f t="shared" si="221"/>
        <v>0</v>
      </c>
      <c r="I400" s="89">
        <f t="shared" si="221"/>
        <v>0</v>
      </c>
      <c r="J400" s="89">
        <f t="shared" si="221"/>
        <v>0</v>
      </c>
      <c r="K400" s="89">
        <f t="shared" si="221"/>
        <v>0</v>
      </c>
      <c r="L400" s="89">
        <f t="shared" si="221"/>
        <v>0</v>
      </c>
      <c r="M400" s="89">
        <f t="shared" si="221"/>
        <v>0</v>
      </c>
      <c r="N400" s="89">
        <f t="shared" si="221"/>
        <v>0</v>
      </c>
      <c r="O400" s="89">
        <f t="shared" si="221"/>
        <v>0</v>
      </c>
      <c r="P400" s="89">
        <f t="shared" si="221"/>
        <v>0</v>
      </c>
      <c r="Q400" s="89">
        <f t="shared" si="221"/>
        <v>0</v>
      </c>
      <c r="R400" s="89">
        <f t="shared" si="221"/>
        <v>0</v>
      </c>
      <c r="S400" s="89">
        <f t="shared" si="221"/>
        <v>0</v>
      </c>
      <c r="T400" s="89">
        <f t="shared" si="221"/>
        <v>0</v>
      </c>
      <c r="U400" s="89">
        <f t="shared" si="221"/>
        <v>0</v>
      </c>
      <c r="V400" s="89">
        <f t="shared" si="221"/>
        <v>0</v>
      </c>
      <c r="W400" s="89">
        <f t="shared" si="221"/>
        <v>0</v>
      </c>
      <c r="X400" s="91">
        <f>SUM(G400:W400)</f>
        <v>0</v>
      </c>
      <c r="Y400" s="87" t="str">
        <f>IF(ABS(F400-X400)&lt;0.01,"ok","err")</f>
        <v>ok</v>
      </c>
      <c r="Z400" s="203" t="str">
        <f>IF(Y400="err",X400-F400,"")</f>
        <v/>
      </c>
    </row>
    <row r="401" spans="1:26" ht="12" customHeight="1" x14ac:dyDescent="0.5">
      <c r="F401" s="90"/>
    </row>
    <row r="402" spans="1:26" ht="12" customHeight="1" x14ac:dyDescent="0.5">
      <c r="A402" s="86" t="s">
        <v>62</v>
      </c>
      <c r="D402" s="86" t="s">
        <v>96</v>
      </c>
      <c r="F402" s="89">
        <f>F357+F363+F366+F369+F377+F382+F385+F388+F391+F394+F397+F400</f>
        <v>0</v>
      </c>
      <c r="G402" s="89">
        <f t="shared" ref="G402:U402" si="222">G357+G363+G366+G369+G377+G382+G385+G388+G391+G394+G397+G400</f>
        <v>0</v>
      </c>
      <c r="H402" s="89">
        <f t="shared" ref="H402" si="223">H357+H363+H366+H369+H377+H382+H385+H388+H391+H394+H397+H400</f>
        <v>0</v>
      </c>
      <c r="I402" s="89">
        <f t="shared" si="222"/>
        <v>0</v>
      </c>
      <c r="J402" s="89">
        <f>J357+J363+J366+J369+J377+J382+J385+J388+J391+J394+J397+J400</f>
        <v>0</v>
      </c>
      <c r="K402" s="89">
        <f>K357+K363+K366+K369+K377+K382+K385+K388+K391+K394+K397+K400</f>
        <v>0</v>
      </c>
      <c r="L402" s="89">
        <f>L357+L363+L366+L369+L377+L382+L385+L388+L391+L394+L397+L400</f>
        <v>0</v>
      </c>
      <c r="M402" s="89">
        <f t="shared" si="222"/>
        <v>0</v>
      </c>
      <c r="N402" s="89">
        <f t="shared" si="222"/>
        <v>0</v>
      </c>
      <c r="O402" s="89">
        <f t="shared" si="222"/>
        <v>0</v>
      </c>
      <c r="P402" s="89">
        <f>P357+P363+P366+P369+P377+P382+P385+P388+P391+P394+P397+P400</f>
        <v>0</v>
      </c>
      <c r="Q402" s="89">
        <f>Q357+Q363+Q366+Q369+Q377+Q382+Q385+Q388+Q391+Q394+Q397+Q400</f>
        <v>0</v>
      </c>
      <c r="R402" s="89">
        <f t="shared" si="222"/>
        <v>0</v>
      </c>
      <c r="S402" s="89">
        <f t="shared" si="222"/>
        <v>0</v>
      </c>
      <c r="T402" s="89">
        <f t="shared" si="222"/>
        <v>0</v>
      </c>
      <c r="U402" s="89">
        <f t="shared" si="222"/>
        <v>0</v>
      </c>
      <c r="V402" s="89">
        <f>V357+V363+V366+V369+V377+V382+V385+V388+V391+V394+V397+V400</f>
        <v>0</v>
      </c>
      <c r="W402" s="89">
        <f>W357+W363+W366+W369+W377+W382+W385+W388+W391+W394+W397+W400</f>
        <v>0</v>
      </c>
      <c r="X402" s="91">
        <f>SUM(G402:W402)</f>
        <v>0</v>
      </c>
      <c r="Y402" s="87" t="str">
        <f>IF(ABS(F402-X402)&lt;0.01,"ok","err")</f>
        <v>ok</v>
      </c>
      <c r="Z402" s="91" t="str">
        <f>IF(Y402="err",X402-F402,"")</f>
        <v/>
      </c>
    </row>
    <row r="405" spans="1:26" ht="12" customHeight="1" x14ac:dyDescent="0.5">
      <c r="A405" s="22" t="s">
        <v>373</v>
      </c>
    </row>
    <row r="407" spans="1:26" ht="12" customHeight="1" x14ac:dyDescent="0.5">
      <c r="A407" s="23" t="s">
        <v>137</v>
      </c>
    </row>
    <row r="408" spans="1:26" ht="12" customHeight="1" x14ac:dyDescent="0.5">
      <c r="A408" s="96" t="s">
        <v>2273</v>
      </c>
      <c r="C408" s="86" t="s">
        <v>374</v>
      </c>
      <c r="D408" s="86" t="s">
        <v>1686</v>
      </c>
      <c r="E408" s="86" t="s">
        <v>2409</v>
      </c>
      <c r="F408" s="89">
        <f>VLOOKUP(C408,'WSS-26'!$C$1:$AU$617,6,)</f>
        <v>22386637.187066048</v>
      </c>
      <c r="G408" s="89">
        <f t="shared" ref="G408:P413" si="224">IF(VLOOKUP($E408,$D$5:$W$978,3,)=0,0,(VLOOKUP($E408,$D$5:$W$978,G$1,)/VLOOKUP($E408,$D$5:$W$978,3,))*$F408)</f>
        <v>9176049.1004207749</v>
      </c>
      <c r="H408" s="89">
        <f t="shared" si="224"/>
        <v>9371.1270216470275</v>
      </c>
      <c r="I408" s="89">
        <f t="shared" si="224"/>
        <v>2474031.6258515259</v>
      </c>
      <c r="J408" s="89">
        <f t="shared" si="224"/>
        <v>158751.85131889884</v>
      </c>
      <c r="K408" s="89">
        <f t="shared" si="224"/>
        <v>2307133.5224887216</v>
      </c>
      <c r="L408" s="89">
        <f t="shared" si="224"/>
        <v>100233.83492140447</v>
      </c>
      <c r="M408" s="89">
        <f t="shared" si="224"/>
        <v>2218831.4251543311</v>
      </c>
      <c r="N408" s="89">
        <f t="shared" si="224"/>
        <v>4061816.4894269765</v>
      </c>
      <c r="O408" s="89">
        <f t="shared" si="224"/>
        <v>1322182.4138066652</v>
      </c>
      <c r="P408" s="89">
        <f t="shared" si="224"/>
        <v>547513.91837642249</v>
      </c>
      <c r="Q408" s="89">
        <f t="shared" ref="Q408:W413" si="225">IF(VLOOKUP($E408,$D$5:$W$978,3,)=0,0,(VLOOKUP($E408,$D$5:$W$978,Q$1,)/VLOOKUP($E408,$D$5:$W$978,3,))*$F408)</f>
        <v>3568.7273926218322</v>
      </c>
      <c r="R408" s="89">
        <f t="shared" si="225"/>
        <v>129.84128753727956</v>
      </c>
      <c r="S408" s="89">
        <f t="shared" si="225"/>
        <v>2123.2011672109388</v>
      </c>
      <c r="T408" s="89">
        <f t="shared" si="225"/>
        <v>273.29233550805475</v>
      </c>
      <c r="U408" s="89">
        <f t="shared" si="225"/>
        <v>18.480429618575101</v>
      </c>
      <c r="V408" s="89">
        <f t="shared" si="225"/>
        <v>4038.9486899610001</v>
      </c>
      <c r="W408" s="89">
        <f t="shared" si="225"/>
        <v>569.38697621906249</v>
      </c>
      <c r="X408" s="91">
        <f t="shared" ref="X408:X413" si="226">SUM(G408:W408)</f>
        <v>22386637.187066048</v>
      </c>
      <c r="Y408" s="87" t="str">
        <f t="shared" ref="Y408:Y413" si="227">IF(ABS(F408-X408)&lt;0.01,"ok","err")</f>
        <v>ok</v>
      </c>
      <c r="Z408" s="203" t="str">
        <f t="shared" ref="Z408:Z413" si="228">IF(Y408="err",X408-F408,"")</f>
        <v/>
      </c>
    </row>
    <row r="409" spans="1:26" ht="12" hidden="1" customHeight="1" x14ac:dyDescent="0.5">
      <c r="A409" s="96" t="s">
        <v>2274</v>
      </c>
      <c r="C409" s="86" t="s">
        <v>374</v>
      </c>
      <c r="D409" s="86" t="s">
        <v>1687</v>
      </c>
      <c r="E409" s="86" t="s">
        <v>2272</v>
      </c>
      <c r="F409" s="90">
        <f>VLOOKUP(C409,'WSS-26'!$C$1:$AU$617,7,)</f>
        <v>0</v>
      </c>
      <c r="G409" s="89">
        <f t="shared" si="224"/>
        <v>0</v>
      </c>
      <c r="H409" s="89">
        <f t="shared" si="224"/>
        <v>0</v>
      </c>
      <c r="I409" s="89">
        <f t="shared" si="224"/>
        <v>0</v>
      </c>
      <c r="J409" s="89">
        <f t="shared" si="224"/>
        <v>0</v>
      </c>
      <c r="K409" s="89">
        <f t="shared" si="224"/>
        <v>0</v>
      </c>
      <c r="L409" s="89">
        <f t="shared" si="224"/>
        <v>0</v>
      </c>
      <c r="M409" s="89">
        <f t="shared" si="224"/>
        <v>0</v>
      </c>
      <c r="N409" s="89">
        <f t="shared" si="224"/>
        <v>0</v>
      </c>
      <c r="O409" s="89">
        <f t="shared" si="224"/>
        <v>0</v>
      </c>
      <c r="P409" s="89">
        <f t="shared" si="224"/>
        <v>0</v>
      </c>
      <c r="Q409" s="89">
        <f t="shared" si="225"/>
        <v>0</v>
      </c>
      <c r="R409" s="89">
        <f t="shared" si="225"/>
        <v>0</v>
      </c>
      <c r="S409" s="89">
        <f t="shared" si="225"/>
        <v>0</v>
      </c>
      <c r="T409" s="89">
        <f t="shared" si="225"/>
        <v>0</v>
      </c>
      <c r="U409" s="89">
        <f t="shared" si="225"/>
        <v>0</v>
      </c>
      <c r="V409" s="89">
        <f t="shared" si="225"/>
        <v>0</v>
      </c>
      <c r="W409" s="89">
        <f t="shared" si="225"/>
        <v>0</v>
      </c>
      <c r="X409" s="91">
        <f t="shared" si="226"/>
        <v>0</v>
      </c>
      <c r="Y409" s="87" t="str">
        <f t="shared" si="227"/>
        <v>ok</v>
      </c>
      <c r="Z409" s="203" t="str">
        <f t="shared" si="228"/>
        <v/>
      </c>
    </row>
    <row r="410" spans="1:26" ht="12" hidden="1" customHeight="1" x14ac:dyDescent="0.5">
      <c r="A410" s="96" t="s">
        <v>2274</v>
      </c>
      <c r="C410" s="86" t="s">
        <v>374</v>
      </c>
      <c r="D410" s="86" t="s">
        <v>1688</v>
      </c>
      <c r="E410" s="86" t="s">
        <v>2272</v>
      </c>
      <c r="F410" s="90">
        <f>VLOOKUP(C410,'WSS-26'!$C$1:$AU$617,8,)</f>
        <v>0</v>
      </c>
      <c r="G410" s="89">
        <f t="shared" si="224"/>
        <v>0</v>
      </c>
      <c r="H410" s="89">
        <f t="shared" si="224"/>
        <v>0</v>
      </c>
      <c r="I410" s="89">
        <f t="shared" si="224"/>
        <v>0</v>
      </c>
      <c r="J410" s="89">
        <f t="shared" si="224"/>
        <v>0</v>
      </c>
      <c r="K410" s="89">
        <f t="shared" si="224"/>
        <v>0</v>
      </c>
      <c r="L410" s="89">
        <f t="shared" si="224"/>
        <v>0</v>
      </c>
      <c r="M410" s="89">
        <f t="shared" si="224"/>
        <v>0</v>
      </c>
      <c r="N410" s="89">
        <f t="shared" si="224"/>
        <v>0</v>
      </c>
      <c r="O410" s="89">
        <f t="shared" si="224"/>
        <v>0</v>
      </c>
      <c r="P410" s="89">
        <f t="shared" si="224"/>
        <v>0</v>
      </c>
      <c r="Q410" s="89">
        <f t="shared" si="225"/>
        <v>0</v>
      </c>
      <c r="R410" s="89">
        <f t="shared" si="225"/>
        <v>0</v>
      </c>
      <c r="S410" s="89">
        <f t="shared" si="225"/>
        <v>0</v>
      </c>
      <c r="T410" s="89">
        <f t="shared" si="225"/>
        <v>0</v>
      </c>
      <c r="U410" s="89">
        <f t="shared" si="225"/>
        <v>0</v>
      </c>
      <c r="V410" s="89">
        <f t="shared" si="225"/>
        <v>0</v>
      </c>
      <c r="W410" s="89">
        <f t="shared" si="225"/>
        <v>0</v>
      </c>
      <c r="X410" s="91">
        <f t="shared" si="226"/>
        <v>0</v>
      </c>
      <c r="Y410" s="87" t="str">
        <f t="shared" si="227"/>
        <v>ok</v>
      </c>
      <c r="Z410" s="203" t="str">
        <f t="shared" si="228"/>
        <v/>
      </c>
    </row>
    <row r="411" spans="1:26" ht="12" customHeight="1" x14ac:dyDescent="0.5">
      <c r="A411" s="96" t="s">
        <v>2276</v>
      </c>
      <c r="C411" s="86" t="s">
        <v>374</v>
      </c>
      <c r="D411" s="86" t="s">
        <v>1689</v>
      </c>
      <c r="E411" s="86" t="s">
        <v>390</v>
      </c>
      <c r="F411" s="90">
        <f>VLOOKUP(C411,'WSS-26'!$C$1:$AU$617,9,)</f>
        <v>0</v>
      </c>
      <c r="G411" s="89">
        <f t="shared" si="224"/>
        <v>0</v>
      </c>
      <c r="H411" s="89">
        <f t="shared" si="224"/>
        <v>0</v>
      </c>
      <c r="I411" s="89">
        <f t="shared" si="224"/>
        <v>0</v>
      </c>
      <c r="J411" s="89">
        <f t="shared" si="224"/>
        <v>0</v>
      </c>
      <c r="K411" s="89">
        <f t="shared" si="224"/>
        <v>0</v>
      </c>
      <c r="L411" s="89">
        <f t="shared" si="224"/>
        <v>0</v>
      </c>
      <c r="M411" s="89">
        <f t="shared" si="224"/>
        <v>0</v>
      </c>
      <c r="N411" s="89">
        <f t="shared" si="224"/>
        <v>0</v>
      </c>
      <c r="O411" s="89">
        <f t="shared" si="224"/>
        <v>0</v>
      </c>
      <c r="P411" s="89">
        <f t="shared" si="224"/>
        <v>0</v>
      </c>
      <c r="Q411" s="89">
        <f t="shared" si="225"/>
        <v>0</v>
      </c>
      <c r="R411" s="89">
        <f t="shared" si="225"/>
        <v>0</v>
      </c>
      <c r="S411" s="89">
        <f t="shared" si="225"/>
        <v>0</v>
      </c>
      <c r="T411" s="89">
        <f t="shared" si="225"/>
        <v>0</v>
      </c>
      <c r="U411" s="89">
        <f t="shared" si="225"/>
        <v>0</v>
      </c>
      <c r="V411" s="89">
        <f t="shared" si="225"/>
        <v>0</v>
      </c>
      <c r="W411" s="89">
        <f t="shared" si="225"/>
        <v>0</v>
      </c>
      <c r="X411" s="91">
        <f t="shared" si="226"/>
        <v>0</v>
      </c>
      <c r="Y411" s="87" t="str">
        <f t="shared" si="227"/>
        <v>ok</v>
      </c>
      <c r="Z411" s="203" t="str">
        <f t="shared" si="228"/>
        <v/>
      </c>
    </row>
    <row r="412" spans="1:26" ht="12" hidden="1" customHeight="1" x14ac:dyDescent="0.5">
      <c r="A412" s="96" t="s">
        <v>2275</v>
      </c>
      <c r="C412" s="86" t="s">
        <v>374</v>
      </c>
      <c r="D412" s="86" t="s">
        <v>1690</v>
      </c>
      <c r="E412" s="86" t="s">
        <v>390</v>
      </c>
      <c r="F412" s="90">
        <f>VLOOKUP(C412,'WSS-26'!$C$1:$AU$617,10,)</f>
        <v>0</v>
      </c>
      <c r="G412" s="89">
        <f t="shared" si="224"/>
        <v>0</v>
      </c>
      <c r="H412" s="89">
        <f t="shared" si="224"/>
        <v>0</v>
      </c>
      <c r="I412" s="89">
        <f t="shared" si="224"/>
        <v>0</v>
      </c>
      <c r="J412" s="89">
        <f t="shared" si="224"/>
        <v>0</v>
      </c>
      <c r="K412" s="89">
        <f t="shared" si="224"/>
        <v>0</v>
      </c>
      <c r="L412" s="89">
        <f t="shared" si="224"/>
        <v>0</v>
      </c>
      <c r="M412" s="89">
        <f t="shared" si="224"/>
        <v>0</v>
      </c>
      <c r="N412" s="89">
        <f t="shared" si="224"/>
        <v>0</v>
      </c>
      <c r="O412" s="89">
        <f t="shared" si="224"/>
        <v>0</v>
      </c>
      <c r="P412" s="89">
        <f t="shared" si="224"/>
        <v>0</v>
      </c>
      <c r="Q412" s="89">
        <f t="shared" si="225"/>
        <v>0</v>
      </c>
      <c r="R412" s="89">
        <f t="shared" si="225"/>
        <v>0</v>
      </c>
      <c r="S412" s="89">
        <f t="shared" si="225"/>
        <v>0</v>
      </c>
      <c r="T412" s="89">
        <f t="shared" si="225"/>
        <v>0</v>
      </c>
      <c r="U412" s="89">
        <f t="shared" si="225"/>
        <v>0</v>
      </c>
      <c r="V412" s="89">
        <f t="shared" si="225"/>
        <v>0</v>
      </c>
      <c r="W412" s="89">
        <f t="shared" si="225"/>
        <v>0</v>
      </c>
      <c r="X412" s="91">
        <f t="shared" si="226"/>
        <v>0</v>
      </c>
      <c r="Y412" s="87" t="str">
        <f t="shared" si="227"/>
        <v>ok</v>
      </c>
      <c r="Z412" s="203" t="str">
        <f t="shared" si="228"/>
        <v/>
      </c>
    </row>
    <row r="413" spans="1:26" ht="12" hidden="1" customHeight="1" x14ac:dyDescent="0.5">
      <c r="A413" s="96" t="s">
        <v>2275</v>
      </c>
      <c r="C413" s="86" t="s">
        <v>374</v>
      </c>
      <c r="D413" s="86" t="s">
        <v>1691</v>
      </c>
      <c r="E413" s="86" t="s">
        <v>390</v>
      </c>
      <c r="F413" s="90">
        <f>VLOOKUP(C413,'WSS-26'!$C$1:$AU$617,11,)</f>
        <v>0</v>
      </c>
      <c r="G413" s="89">
        <f t="shared" si="224"/>
        <v>0</v>
      </c>
      <c r="H413" s="89">
        <f t="shared" si="224"/>
        <v>0</v>
      </c>
      <c r="I413" s="89">
        <f t="shared" si="224"/>
        <v>0</v>
      </c>
      <c r="J413" s="89">
        <f t="shared" si="224"/>
        <v>0</v>
      </c>
      <c r="K413" s="89">
        <f t="shared" si="224"/>
        <v>0</v>
      </c>
      <c r="L413" s="89">
        <f t="shared" si="224"/>
        <v>0</v>
      </c>
      <c r="M413" s="89">
        <f t="shared" si="224"/>
        <v>0</v>
      </c>
      <c r="N413" s="89">
        <f t="shared" si="224"/>
        <v>0</v>
      </c>
      <c r="O413" s="89">
        <f t="shared" si="224"/>
        <v>0</v>
      </c>
      <c r="P413" s="89">
        <f t="shared" si="224"/>
        <v>0</v>
      </c>
      <c r="Q413" s="89">
        <f t="shared" si="225"/>
        <v>0</v>
      </c>
      <c r="R413" s="89">
        <f t="shared" si="225"/>
        <v>0</v>
      </c>
      <c r="S413" s="89">
        <f t="shared" si="225"/>
        <v>0</v>
      </c>
      <c r="T413" s="89">
        <f t="shared" si="225"/>
        <v>0</v>
      </c>
      <c r="U413" s="89">
        <f t="shared" si="225"/>
        <v>0</v>
      </c>
      <c r="V413" s="89">
        <f t="shared" si="225"/>
        <v>0</v>
      </c>
      <c r="W413" s="89">
        <f t="shared" si="225"/>
        <v>0</v>
      </c>
      <c r="X413" s="91">
        <f t="shared" si="226"/>
        <v>0</v>
      </c>
      <c r="Y413" s="87" t="str">
        <f t="shared" si="227"/>
        <v>ok</v>
      </c>
      <c r="Z413" s="203" t="str">
        <f t="shared" si="228"/>
        <v/>
      </c>
    </row>
    <row r="414" spans="1:26" ht="12" customHeight="1" x14ac:dyDescent="0.5">
      <c r="A414" s="86" t="s">
        <v>160</v>
      </c>
      <c r="D414" s="86" t="s">
        <v>1692</v>
      </c>
      <c r="F414" s="89">
        <f t="shared" ref="F414:U414" si="229">SUM(F408:F413)</f>
        <v>22386637.187066048</v>
      </c>
      <c r="G414" s="89">
        <f t="shared" si="229"/>
        <v>9176049.1004207749</v>
      </c>
      <c r="H414" s="89">
        <f t="shared" ref="H414" si="230">SUM(H408:H413)</f>
        <v>9371.1270216470275</v>
      </c>
      <c r="I414" s="89">
        <f t="shared" si="229"/>
        <v>2474031.6258515259</v>
      </c>
      <c r="J414" s="89">
        <f>SUM(J408:J413)</f>
        <v>158751.85131889884</v>
      </c>
      <c r="K414" s="89">
        <f>SUM(K408:K413)</f>
        <v>2307133.5224887216</v>
      </c>
      <c r="L414" s="89">
        <f>SUM(L408:L413)</f>
        <v>100233.83492140447</v>
      </c>
      <c r="M414" s="89">
        <f t="shared" si="229"/>
        <v>2218831.4251543311</v>
      </c>
      <c r="N414" s="89">
        <f t="shared" si="229"/>
        <v>4061816.4894269765</v>
      </c>
      <c r="O414" s="89">
        <f t="shared" si="229"/>
        <v>1322182.4138066652</v>
      </c>
      <c r="P414" s="89">
        <f t="shared" si="229"/>
        <v>547513.91837642249</v>
      </c>
      <c r="Q414" s="89">
        <f>SUM(Q408:Q413)</f>
        <v>3568.7273926218322</v>
      </c>
      <c r="R414" s="89">
        <f t="shared" si="229"/>
        <v>129.84128753727956</v>
      </c>
      <c r="S414" s="89">
        <f t="shared" si="229"/>
        <v>2123.2011672109388</v>
      </c>
      <c r="T414" s="89">
        <f t="shared" si="229"/>
        <v>273.29233550805475</v>
      </c>
      <c r="U414" s="89">
        <f t="shared" si="229"/>
        <v>18.480429618575101</v>
      </c>
      <c r="V414" s="89">
        <f>SUM(V408:V413)</f>
        <v>4038.9486899610001</v>
      </c>
      <c r="W414" s="89">
        <f>SUM(W408:W413)</f>
        <v>569.38697621906249</v>
      </c>
      <c r="X414" s="91">
        <f>SUM(G414:W414)</f>
        <v>22386637.187066048</v>
      </c>
      <c r="Y414" s="87" t="str">
        <f>IF(ABS(F414-X414)&lt;0.01,"ok","err")</f>
        <v>ok</v>
      </c>
      <c r="Z414" s="91" t="str">
        <f>IF(Y414="err",X414-F414,"")</f>
        <v/>
      </c>
    </row>
    <row r="415" spans="1:26" ht="12" customHeight="1" x14ac:dyDescent="0.5">
      <c r="F415" s="90"/>
      <c r="G415" s="90"/>
      <c r="H415" s="90"/>
    </row>
    <row r="416" spans="1:26" ht="12" customHeight="1" x14ac:dyDescent="0.5">
      <c r="A416" s="23" t="s">
        <v>441</v>
      </c>
      <c r="F416" s="90"/>
      <c r="G416" s="90"/>
      <c r="H416" s="90"/>
    </row>
    <row r="417" spans="1:26" ht="12" customHeight="1" x14ac:dyDescent="0.5">
      <c r="A417" s="96" t="s">
        <v>2247</v>
      </c>
      <c r="C417" s="86" t="s">
        <v>374</v>
      </c>
      <c r="D417" s="86" t="s">
        <v>1693</v>
      </c>
      <c r="E417" s="86" t="s">
        <v>2248</v>
      </c>
      <c r="F417" s="89">
        <f>VLOOKUP(C417,'WSS-26'!$C$1:$AU$617,13,)</f>
        <v>5118215.0658043763</v>
      </c>
      <c r="G417" s="89">
        <f t="shared" ref="G417:P419" si="231">IF(VLOOKUP($E417,$D$5:$W$978,3,)=0,0,(VLOOKUP($E417,$D$5:$W$978,G$1,)/VLOOKUP($E417,$D$5:$W$978,3,))*$F417)</f>
        <v>2256818.3528316999</v>
      </c>
      <c r="H417" s="89">
        <f t="shared" si="231"/>
        <v>7250.587364126035</v>
      </c>
      <c r="I417" s="89">
        <f t="shared" si="231"/>
        <v>580649.82761914388</v>
      </c>
      <c r="J417" s="89">
        <f t="shared" si="231"/>
        <v>59426.195337769219</v>
      </c>
      <c r="K417" s="89">
        <f t="shared" si="231"/>
        <v>517990.373793423</v>
      </c>
      <c r="L417" s="89">
        <f t="shared" si="231"/>
        <v>22258.469154322298</v>
      </c>
      <c r="M417" s="89">
        <f t="shared" si="231"/>
        <v>458247.88162741362</v>
      </c>
      <c r="N417" s="89">
        <f t="shared" si="231"/>
        <v>746318.472773741</v>
      </c>
      <c r="O417" s="89">
        <f t="shared" si="231"/>
        <v>258807.11229741923</v>
      </c>
      <c r="P417" s="89">
        <f t="shared" si="231"/>
        <v>173420.61661486357</v>
      </c>
      <c r="Q417" s="89">
        <f t="shared" ref="Q417:W419" si="232">IF(VLOOKUP($E417,$D$5:$W$978,3,)=0,0,(VLOOKUP($E417,$D$5:$W$978,Q$1,)/VLOOKUP($E417,$D$5:$W$978,3,))*$F417)</f>
        <v>34928.820344766638</v>
      </c>
      <c r="R417" s="89">
        <f t="shared" si="232"/>
        <v>1270.817999463661</v>
      </c>
      <c r="S417" s="89">
        <f t="shared" si="232"/>
        <v>342.38940858756479</v>
      </c>
      <c r="T417" s="89">
        <f t="shared" si="232"/>
        <v>482.14009838751031</v>
      </c>
      <c r="U417" s="89">
        <f t="shared" si="232"/>
        <v>3.0085392497251853</v>
      </c>
      <c r="V417" s="89">
        <f t="shared" si="232"/>
        <v>0</v>
      </c>
      <c r="W417" s="89">
        <f t="shared" si="232"/>
        <v>0</v>
      </c>
      <c r="X417" s="91">
        <f>SUM(G417:W417)</f>
        <v>5118215.0658043763</v>
      </c>
      <c r="Y417" s="87" t="str">
        <f>IF(ABS(F417-X417)&lt;0.01,"ok","err")</f>
        <v>ok</v>
      </c>
      <c r="Z417" s="203" t="str">
        <f>IF(Y417="err",X417-F417,"")</f>
        <v/>
      </c>
    </row>
    <row r="418" spans="1:26" ht="12" hidden="1" customHeight="1" x14ac:dyDescent="0.5">
      <c r="A418" s="96" t="s">
        <v>2246</v>
      </c>
      <c r="C418" s="86" t="s">
        <v>374</v>
      </c>
      <c r="D418" s="86" t="s">
        <v>1694</v>
      </c>
      <c r="E418" s="86" t="s">
        <v>2248</v>
      </c>
      <c r="F418" s="90">
        <f>VLOOKUP(C418,'WSS-26'!$C$1:$AU$617,14,)</f>
        <v>0</v>
      </c>
      <c r="G418" s="89">
        <f t="shared" si="231"/>
        <v>0</v>
      </c>
      <c r="H418" s="89">
        <f t="shared" si="231"/>
        <v>0</v>
      </c>
      <c r="I418" s="89">
        <f t="shared" si="231"/>
        <v>0</v>
      </c>
      <c r="J418" s="89">
        <f t="shared" si="231"/>
        <v>0</v>
      </c>
      <c r="K418" s="89">
        <f t="shared" si="231"/>
        <v>0</v>
      </c>
      <c r="L418" s="89">
        <f t="shared" si="231"/>
        <v>0</v>
      </c>
      <c r="M418" s="89">
        <f t="shared" si="231"/>
        <v>0</v>
      </c>
      <c r="N418" s="89">
        <f t="shared" si="231"/>
        <v>0</v>
      </c>
      <c r="O418" s="89">
        <f t="shared" si="231"/>
        <v>0</v>
      </c>
      <c r="P418" s="89">
        <f t="shared" si="231"/>
        <v>0</v>
      </c>
      <c r="Q418" s="89">
        <f t="shared" si="232"/>
        <v>0</v>
      </c>
      <c r="R418" s="89">
        <f t="shared" si="232"/>
        <v>0</v>
      </c>
      <c r="S418" s="89">
        <f t="shared" si="232"/>
        <v>0</v>
      </c>
      <c r="T418" s="89">
        <f t="shared" si="232"/>
        <v>0</v>
      </c>
      <c r="U418" s="89">
        <f t="shared" si="232"/>
        <v>0</v>
      </c>
      <c r="V418" s="89">
        <f t="shared" si="232"/>
        <v>0</v>
      </c>
      <c r="W418" s="89">
        <f t="shared" si="232"/>
        <v>0</v>
      </c>
      <c r="X418" s="91">
        <f>SUM(G418:W418)</f>
        <v>0</v>
      </c>
      <c r="Y418" s="87" t="str">
        <f>IF(ABS(F418-X418)&lt;0.01,"ok","err")</f>
        <v>ok</v>
      </c>
      <c r="Z418" s="203" t="str">
        <f>IF(Y418="err",X418-F418,"")</f>
        <v/>
      </c>
    </row>
    <row r="419" spans="1:26" ht="12" hidden="1" customHeight="1" x14ac:dyDescent="0.5">
      <c r="A419" s="96" t="s">
        <v>2246</v>
      </c>
      <c r="C419" s="86" t="s">
        <v>374</v>
      </c>
      <c r="D419" s="86" t="s">
        <v>1695</v>
      </c>
      <c r="E419" s="86" t="s">
        <v>2248</v>
      </c>
      <c r="F419" s="90">
        <f>VLOOKUP(C419,'WSS-26'!$C$1:$AU$617,15,)</f>
        <v>0</v>
      </c>
      <c r="G419" s="89">
        <f t="shared" si="231"/>
        <v>0</v>
      </c>
      <c r="H419" s="89">
        <f t="shared" si="231"/>
        <v>0</v>
      </c>
      <c r="I419" s="89">
        <f t="shared" si="231"/>
        <v>0</v>
      </c>
      <c r="J419" s="89">
        <f t="shared" si="231"/>
        <v>0</v>
      </c>
      <c r="K419" s="89">
        <f t="shared" si="231"/>
        <v>0</v>
      </c>
      <c r="L419" s="89">
        <f t="shared" si="231"/>
        <v>0</v>
      </c>
      <c r="M419" s="89">
        <f t="shared" si="231"/>
        <v>0</v>
      </c>
      <c r="N419" s="89">
        <f t="shared" si="231"/>
        <v>0</v>
      </c>
      <c r="O419" s="89">
        <f t="shared" si="231"/>
        <v>0</v>
      </c>
      <c r="P419" s="89">
        <f t="shared" si="231"/>
        <v>0</v>
      </c>
      <c r="Q419" s="89">
        <f t="shared" si="232"/>
        <v>0</v>
      </c>
      <c r="R419" s="89">
        <f t="shared" si="232"/>
        <v>0</v>
      </c>
      <c r="S419" s="89">
        <f t="shared" si="232"/>
        <v>0</v>
      </c>
      <c r="T419" s="89">
        <f t="shared" si="232"/>
        <v>0</v>
      </c>
      <c r="U419" s="89">
        <f t="shared" si="232"/>
        <v>0</v>
      </c>
      <c r="V419" s="89">
        <f t="shared" si="232"/>
        <v>0</v>
      </c>
      <c r="W419" s="89">
        <f t="shared" si="232"/>
        <v>0</v>
      </c>
      <c r="X419" s="91">
        <f>SUM(G419:W419)</f>
        <v>0</v>
      </c>
      <c r="Y419" s="87" t="str">
        <f>IF(ABS(F419-X419)&lt;0.01,"ok","err")</f>
        <v>ok</v>
      </c>
      <c r="Z419" s="203" t="str">
        <f>IF(Y419="err",X419-F419,"")</f>
        <v/>
      </c>
    </row>
    <row r="420" spans="1:26" ht="12" hidden="1" customHeight="1" x14ac:dyDescent="0.5">
      <c r="A420" s="86" t="s">
        <v>443</v>
      </c>
      <c r="D420" s="86" t="s">
        <v>1696</v>
      </c>
      <c r="F420" s="89">
        <f t="shared" ref="F420:U420" si="233">SUM(F417:F419)</f>
        <v>5118215.0658043763</v>
      </c>
      <c r="G420" s="89">
        <f t="shared" si="233"/>
        <v>2256818.3528316999</v>
      </c>
      <c r="H420" s="89">
        <f t="shared" ref="H420" si="234">SUM(H417:H419)</f>
        <v>7250.587364126035</v>
      </c>
      <c r="I420" s="89">
        <f t="shared" si="233"/>
        <v>580649.82761914388</v>
      </c>
      <c r="J420" s="89">
        <f>SUM(J417:J419)</f>
        <v>59426.195337769219</v>
      </c>
      <c r="K420" s="89">
        <f>SUM(K417:K419)</f>
        <v>517990.373793423</v>
      </c>
      <c r="L420" s="89">
        <f>SUM(L417:L419)</f>
        <v>22258.469154322298</v>
      </c>
      <c r="M420" s="89">
        <f t="shared" si="233"/>
        <v>458247.88162741362</v>
      </c>
      <c r="N420" s="89">
        <f t="shared" si="233"/>
        <v>746318.472773741</v>
      </c>
      <c r="O420" s="89">
        <f t="shared" si="233"/>
        <v>258807.11229741923</v>
      </c>
      <c r="P420" s="89">
        <f t="shared" si="233"/>
        <v>173420.61661486357</v>
      </c>
      <c r="Q420" s="89">
        <f>SUM(Q417:Q419)</f>
        <v>34928.820344766638</v>
      </c>
      <c r="R420" s="89">
        <f t="shared" si="233"/>
        <v>1270.817999463661</v>
      </c>
      <c r="S420" s="89">
        <f t="shared" si="233"/>
        <v>342.38940858756479</v>
      </c>
      <c r="T420" s="89">
        <f t="shared" si="233"/>
        <v>482.14009838751031</v>
      </c>
      <c r="U420" s="89">
        <f t="shared" si="233"/>
        <v>3.0085392497251853</v>
      </c>
      <c r="V420" s="89">
        <f>SUM(V417:V419)</f>
        <v>0</v>
      </c>
      <c r="W420" s="89">
        <f>SUM(W417:W419)</f>
        <v>0</v>
      </c>
      <c r="X420" s="91">
        <f>SUM(G420:W420)</f>
        <v>5118215.0658043763</v>
      </c>
      <c r="Y420" s="87" t="str">
        <f>IF(ABS(F420-X420)&lt;0.01,"ok","err")</f>
        <v>ok</v>
      </c>
      <c r="Z420" s="91" t="str">
        <f>IF(Y420="err",X420-F420,"")</f>
        <v/>
      </c>
    </row>
    <row r="421" spans="1:26" ht="12" customHeight="1" x14ac:dyDescent="0.5">
      <c r="F421" s="90"/>
      <c r="G421" s="90"/>
      <c r="H421" s="90"/>
    </row>
    <row r="422" spans="1:26" ht="12" customHeight="1" x14ac:dyDescent="0.5">
      <c r="A422" s="23" t="s">
        <v>1627</v>
      </c>
      <c r="F422" s="90"/>
      <c r="G422" s="90"/>
      <c r="H422" s="90"/>
    </row>
    <row r="423" spans="1:26" ht="12" customHeight="1" x14ac:dyDescent="0.5">
      <c r="A423" s="96" t="s">
        <v>145</v>
      </c>
      <c r="C423" s="86" t="s">
        <v>374</v>
      </c>
      <c r="D423" s="86" t="s">
        <v>1697</v>
      </c>
      <c r="E423" s="86" t="s">
        <v>2252</v>
      </c>
      <c r="F423" s="89">
        <f>VLOOKUP(C423,'WSS-26'!$C$1:$AU$617,17,)</f>
        <v>0</v>
      </c>
      <c r="G423" s="89">
        <f t="shared" ref="G423:W423" si="235">IF(VLOOKUP($E423,$D$5:$W$978,3,)=0,0,(VLOOKUP($E423,$D$5:$W$978,G$1,)/VLOOKUP($E423,$D$5:$W$978,3,))*$F423)</f>
        <v>0</v>
      </c>
      <c r="H423" s="89">
        <f t="shared" si="235"/>
        <v>0</v>
      </c>
      <c r="I423" s="89">
        <f t="shared" si="235"/>
        <v>0</v>
      </c>
      <c r="J423" s="89">
        <f t="shared" si="235"/>
        <v>0</v>
      </c>
      <c r="K423" s="89">
        <f t="shared" si="235"/>
        <v>0</v>
      </c>
      <c r="L423" s="89">
        <f t="shared" si="235"/>
        <v>0</v>
      </c>
      <c r="M423" s="89">
        <f t="shared" si="235"/>
        <v>0</v>
      </c>
      <c r="N423" s="89">
        <f t="shared" si="235"/>
        <v>0</v>
      </c>
      <c r="O423" s="89">
        <f t="shared" si="235"/>
        <v>0</v>
      </c>
      <c r="P423" s="89">
        <f t="shared" si="235"/>
        <v>0</v>
      </c>
      <c r="Q423" s="89">
        <f t="shared" si="235"/>
        <v>0</v>
      </c>
      <c r="R423" s="89">
        <f t="shared" si="235"/>
        <v>0</v>
      </c>
      <c r="S423" s="89">
        <f t="shared" si="235"/>
        <v>0</v>
      </c>
      <c r="T423" s="89">
        <f t="shared" si="235"/>
        <v>0</v>
      </c>
      <c r="U423" s="89">
        <f t="shared" si="235"/>
        <v>0</v>
      </c>
      <c r="V423" s="89">
        <f t="shared" si="235"/>
        <v>0</v>
      </c>
      <c r="W423" s="89">
        <f t="shared" si="235"/>
        <v>0</v>
      </c>
      <c r="X423" s="91">
        <f>SUM(G423:W423)</f>
        <v>0</v>
      </c>
      <c r="Y423" s="87" t="str">
        <f>IF(ABS(F423-X423)&lt;0.01,"ok","err")</f>
        <v>ok</v>
      </c>
      <c r="Z423" s="203" t="str">
        <f>IF(Y423="err",X423-F423,"")</f>
        <v/>
      </c>
    </row>
    <row r="424" spans="1:26" ht="12" customHeight="1" x14ac:dyDescent="0.5">
      <c r="F424" s="90"/>
    </row>
    <row r="425" spans="1:26" ht="12" customHeight="1" x14ac:dyDescent="0.5">
      <c r="A425" s="23" t="s">
        <v>1628</v>
      </c>
      <c r="F425" s="90"/>
      <c r="G425" s="90"/>
      <c r="H425" s="90"/>
    </row>
    <row r="426" spans="1:26" ht="12" customHeight="1" x14ac:dyDescent="0.5">
      <c r="A426" s="96" t="s">
        <v>147</v>
      </c>
      <c r="C426" s="86" t="s">
        <v>374</v>
      </c>
      <c r="D426" s="86" t="s">
        <v>1698</v>
      </c>
      <c r="E426" s="86" t="s">
        <v>2252</v>
      </c>
      <c r="F426" s="89">
        <f>VLOOKUP(C426,'WSS-26'!$C$1:$AU$617,18,)</f>
        <v>1318249.3758783769</v>
      </c>
      <c r="G426" s="89">
        <f t="shared" ref="G426:W426" si="236">IF(VLOOKUP($E426,$D$5:$W$978,3,)=0,0,(VLOOKUP($E426,$D$5:$W$978,G$1,)/VLOOKUP($E426,$D$5:$W$978,3,))*$F426)</f>
        <v>634882.07952870999</v>
      </c>
      <c r="H426" s="89">
        <f t="shared" si="236"/>
        <v>2039.715769665318</v>
      </c>
      <c r="I426" s="89">
        <f t="shared" si="236"/>
        <v>163346.85047836474</v>
      </c>
      <c r="J426" s="89">
        <f t="shared" si="236"/>
        <v>16717.617714860826</v>
      </c>
      <c r="K426" s="89">
        <f t="shared" si="236"/>
        <v>145719.66116687586</v>
      </c>
      <c r="L426" s="89">
        <f t="shared" si="236"/>
        <v>6261.6927791687594</v>
      </c>
      <c r="M426" s="89">
        <f t="shared" si="236"/>
        <v>128913.06367754206</v>
      </c>
      <c r="N426" s="89">
        <f t="shared" si="236"/>
        <v>209952.30891788952</v>
      </c>
      <c r="O426" s="89">
        <f t="shared" si="236"/>
        <v>0</v>
      </c>
      <c r="P426" s="89">
        <f t="shared" si="236"/>
        <v>0</v>
      </c>
      <c r="Q426" s="89">
        <f t="shared" si="236"/>
        <v>9826.0819565498659</v>
      </c>
      <c r="R426" s="89">
        <f t="shared" si="236"/>
        <v>357.50310750072668</v>
      </c>
      <c r="S426" s="89">
        <f t="shared" si="236"/>
        <v>96.320069118513132</v>
      </c>
      <c r="T426" s="89">
        <f t="shared" si="236"/>
        <v>135.63435794660373</v>
      </c>
      <c r="U426" s="89">
        <f t="shared" si="236"/>
        <v>0.84635418389461858</v>
      </c>
      <c r="V426" s="89">
        <f t="shared" si="236"/>
        <v>0</v>
      </c>
      <c r="W426" s="89">
        <f t="shared" si="236"/>
        <v>0</v>
      </c>
      <c r="X426" s="91">
        <f>SUM(G426:W426)</f>
        <v>1318249.3758783767</v>
      </c>
      <c r="Y426" s="87" t="str">
        <f>IF(ABS(F426-X426)&lt;0.01,"ok","err")</f>
        <v>ok</v>
      </c>
      <c r="Z426" s="203" t="str">
        <f>IF(Y426="err",X426-F426,"")</f>
        <v/>
      </c>
    </row>
    <row r="427" spans="1:26" ht="12" customHeight="1" x14ac:dyDescent="0.5">
      <c r="F427" s="90"/>
    </row>
    <row r="428" spans="1:26" ht="12" customHeight="1" x14ac:dyDescent="0.5">
      <c r="A428" s="23" t="s">
        <v>146</v>
      </c>
      <c r="F428" s="90"/>
    </row>
    <row r="429" spans="1:26" ht="12" customHeight="1" x14ac:dyDescent="0.5">
      <c r="A429" s="96" t="s">
        <v>791</v>
      </c>
      <c r="C429" s="86" t="s">
        <v>374</v>
      </c>
      <c r="D429" s="86" t="s">
        <v>1699</v>
      </c>
      <c r="E429" s="86" t="s">
        <v>2252</v>
      </c>
      <c r="F429" s="89">
        <f>VLOOKUP(C429,'WSS-26'!$C$1:$AU$617,19,)</f>
        <v>0</v>
      </c>
      <c r="G429" s="89">
        <f t="shared" ref="G429:P433" si="237">IF(VLOOKUP($E429,$D$5:$W$978,3,)=0,0,(VLOOKUP($E429,$D$5:$W$978,G$1,)/VLOOKUP($E429,$D$5:$W$978,3,))*$F429)</f>
        <v>0</v>
      </c>
      <c r="H429" s="89">
        <f t="shared" si="237"/>
        <v>0</v>
      </c>
      <c r="I429" s="89">
        <f t="shared" si="237"/>
        <v>0</v>
      </c>
      <c r="J429" s="89">
        <f t="shared" si="237"/>
        <v>0</v>
      </c>
      <c r="K429" s="89">
        <f t="shared" si="237"/>
        <v>0</v>
      </c>
      <c r="L429" s="89">
        <f t="shared" si="237"/>
        <v>0</v>
      </c>
      <c r="M429" s="89">
        <f t="shared" si="237"/>
        <v>0</v>
      </c>
      <c r="N429" s="89">
        <f t="shared" si="237"/>
        <v>0</v>
      </c>
      <c r="O429" s="89">
        <f t="shared" si="237"/>
        <v>0</v>
      </c>
      <c r="P429" s="89">
        <f t="shared" si="237"/>
        <v>0</v>
      </c>
      <c r="Q429" s="89">
        <f t="shared" ref="Q429:W433" si="238">IF(VLOOKUP($E429,$D$5:$W$978,3,)=0,0,(VLOOKUP($E429,$D$5:$W$978,Q$1,)/VLOOKUP($E429,$D$5:$W$978,3,))*$F429)</f>
        <v>0</v>
      </c>
      <c r="R429" s="89">
        <f t="shared" si="238"/>
        <v>0</v>
      </c>
      <c r="S429" s="89">
        <f t="shared" si="238"/>
        <v>0</v>
      </c>
      <c r="T429" s="89">
        <f t="shared" si="238"/>
        <v>0</v>
      </c>
      <c r="U429" s="89">
        <f t="shared" si="238"/>
        <v>0</v>
      </c>
      <c r="V429" s="89">
        <f t="shared" si="238"/>
        <v>0</v>
      </c>
      <c r="W429" s="89">
        <f t="shared" si="238"/>
        <v>0</v>
      </c>
      <c r="X429" s="91">
        <f t="shared" ref="X429:X434" si="239">SUM(G429:W429)</f>
        <v>0</v>
      </c>
      <c r="Y429" s="87" t="str">
        <f t="shared" ref="Y429:Y434" si="240">IF(ABS(F429-X429)&lt;0.01,"ok","err")</f>
        <v>ok</v>
      </c>
      <c r="Z429" s="203" t="str">
        <f t="shared" ref="Z429:Z434" si="241">IF(Y429="err",X429-F429,"")</f>
        <v/>
      </c>
    </row>
    <row r="430" spans="1:26" ht="12" customHeight="1" x14ac:dyDescent="0.5">
      <c r="A430" s="96" t="s">
        <v>792</v>
      </c>
      <c r="C430" s="86" t="s">
        <v>374</v>
      </c>
      <c r="D430" s="86" t="s">
        <v>1700</v>
      </c>
      <c r="E430" s="86" t="s">
        <v>2252</v>
      </c>
      <c r="F430" s="90">
        <f>VLOOKUP(C430,'WSS-26'!$C$1:$AU$617,20,)</f>
        <v>1048474.0265655699</v>
      </c>
      <c r="G430" s="89">
        <f t="shared" si="237"/>
        <v>504955.57403488061</v>
      </c>
      <c r="H430" s="89">
        <f t="shared" si="237"/>
        <v>1622.2947229884333</v>
      </c>
      <c r="I430" s="89">
        <f t="shared" si="237"/>
        <v>129918.46093895382</v>
      </c>
      <c r="J430" s="89">
        <f t="shared" si="237"/>
        <v>13296.412864527068</v>
      </c>
      <c r="K430" s="89">
        <f t="shared" si="237"/>
        <v>115898.61727914885</v>
      </c>
      <c r="L430" s="89">
        <f t="shared" si="237"/>
        <v>4980.2581828776365</v>
      </c>
      <c r="M430" s="89">
        <f t="shared" si="237"/>
        <v>102531.43405498296</v>
      </c>
      <c r="N430" s="89">
        <f t="shared" si="237"/>
        <v>166986.26735264043</v>
      </c>
      <c r="O430" s="89">
        <f t="shared" si="237"/>
        <v>0</v>
      </c>
      <c r="P430" s="89">
        <f t="shared" si="237"/>
        <v>0</v>
      </c>
      <c r="Q430" s="89">
        <f t="shared" si="238"/>
        <v>7815.2069728706938</v>
      </c>
      <c r="R430" s="89">
        <f t="shared" si="238"/>
        <v>284.34128586727525</v>
      </c>
      <c r="S430" s="89">
        <f t="shared" si="238"/>
        <v>76.608487404342867</v>
      </c>
      <c r="T430" s="89">
        <f t="shared" si="238"/>
        <v>107.87723781181731</v>
      </c>
      <c r="U430" s="89">
        <f t="shared" si="238"/>
        <v>0.67315061575305335</v>
      </c>
      <c r="V430" s="89">
        <f t="shared" si="238"/>
        <v>0</v>
      </c>
      <c r="W430" s="89">
        <f t="shared" si="238"/>
        <v>0</v>
      </c>
      <c r="X430" s="91">
        <f t="shared" si="239"/>
        <v>1048474.0265655698</v>
      </c>
      <c r="Y430" s="87" t="str">
        <f t="shared" si="240"/>
        <v>ok</v>
      </c>
      <c r="Z430" s="203" t="str">
        <f t="shared" si="241"/>
        <v/>
      </c>
    </row>
    <row r="431" spans="1:26" ht="12" customHeight="1" x14ac:dyDescent="0.5">
      <c r="A431" s="96" t="s">
        <v>793</v>
      </c>
      <c r="C431" s="86" t="s">
        <v>374</v>
      </c>
      <c r="D431" s="86" t="s">
        <v>1701</v>
      </c>
      <c r="E431" s="86" t="s">
        <v>904</v>
      </c>
      <c r="F431" s="90">
        <f>VLOOKUP(C431,'WSS-26'!$C$1:$AU$617,21,)</f>
        <v>2037987.2798859379</v>
      </c>
      <c r="G431" s="89">
        <f t="shared" si="237"/>
        <v>1634754.1425462079</v>
      </c>
      <c r="H431" s="89">
        <f t="shared" si="237"/>
        <v>2390.9004747266226</v>
      </c>
      <c r="I431" s="89">
        <f t="shared" si="237"/>
        <v>306390.56486032309</v>
      </c>
      <c r="J431" s="89">
        <f t="shared" si="237"/>
        <v>1569.2597543097338</v>
      </c>
      <c r="K431" s="89">
        <f t="shared" si="237"/>
        <v>16436.515492663981</v>
      </c>
      <c r="L431" s="89">
        <f t="shared" si="237"/>
        <v>755.02120254524925</v>
      </c>
      <c r="M431" s="89">
        <f t="shared" si="237"/>
        <v>2835.0305938708871</v>
      </c>
      <c r="N431" s="89">
        <f t="shared" si="237"/>
        <v>947.47758750776381</v>
      </c>
      <c r="O431" s="89">
        <f t="shared" si="237"/>
        <v>0</v>
      </c>
      <c r="P431" s="89">
        <f t="shared" si="237"/>
        <v>0</v>
      </c>
      <c r="Q431" s="89">
        <f t="shared" si="238"/>
        <v>71264.378701023408</v>
      </c>
      <c r="R431" s="89">
        <f t="shared" si="238"/>
        <v>44.413011914426427</v>
      </c>
      <c r="S431" s="89">
        <f t="shared" si="238"/>
        <v>547.76048027792592</v>
      </c>
      <c r="T431" s="89">
        <f t="shared" si="238"/>
        <v>14.80433730480881</v>
      </c>
      <c r="U431" s="89">
        <f t="shared" si="238"/>
        <v>37.010843262022021</v>
      </c>
      <c r="V431" s="89">
        <f t="shared" si="238"/>
        <v>0</v>
      </c>
      <c r="W431" s="89">
        <f t="shared" si="238"/>
        <v>0</v>
      </c>
      <c r="X431" s="91">
        <f t="shared" si="239"/>
        <v>2037987.2798859377</v>
      </c>
      <c r="Y431" s="87" t="str">
        <f t="shared" si="240"/>
        <v>ok</v>
      </c>
      <c r="Z431" s="203" t="str">
        <f t="shared" si="241"/>
        <v/>
      </c>
    </row>
    <row r="432" spans="1:26" ht="12" customHeight="1" x14ac:dyDescent="0.5">
      <c r="A432" s="96" t="s">
        <v>794</v>
      </c>
      <c r="C432" s="86" t="s">
        <v>374</v>
      </c>
      <c r="D432" s="86" t="s">
        <v>1702</v>
      </c>
      <c r="E432" s="86" t="s">
        <v>733</v>
      </c>
      <c r="F432" s="90">
        <f>VLOOKUP(C432,'WSS-26'!$C$1:$AU$617,22,)</f>
        <v>472006.9664932639</v>
      </c>
      <c r="G432" s="89">
        <f t="shared" si="237"/>
        <v>389821.27600976604</v>
      </c>
      <c r="H432" s="89">
        <f t="shared" si="237"/>
        <v>1172.2234442818078</v>
      </c>
      <c r="I432" s="89">
        <f t="shared" si="237"/>
        <v>72888.962062591585</v>
      </c>
      <c r="J432" s="89">
        <f t="shared" si="237"/>
        <v>5283.3764849392455</v>
      </c>
      <c r="K432" s="89">
        <f t="shared" si="237"/>
        <v>0</v>
      </c>
      <c r="L432" s="89">
        <f t="shared" si="237"/>
        <v>0</v>
      </c>
      <c r="M432" s="89">
        <f t="shared" si="237"/>
        <v>0</v>
      </c>
      <c r="N432" s="89">
        <f t="shared" si="237"/>
        <v>0</v>
      </c>
      <c r="O432" s="89">
        <f t="shared" si="237"/>
        <v>0</v>
      </c>
      <c r="P432" s="89">
        <f t="shared" si="237"/>
        <v>0</v>
      </c>
      <c r="Q432" s="89">
        <f t="shared" si="238"/>
        <v>2715.4786732011826</v>
      </c>
      <c r="R432" s="89">
        <f t="shared" si="238"/>
        <v>98.797472717420476</v>
      </c>
      <c r="S432" s="89">
        <f t="shared" si="238"/>
        <v>26.61845226298351</v>
      </c>
      <c r="T432" s="89">
        <f t="shared" si="238"/>
        <v>0</v>
      </c>
      <c r="U432" s="89">
        <f t="shared" si="238"/>
        <v>0.23389350368774989</v>
      </c>
      <c r="V432" s="89">
        <f t="shared" si="238"/>
        <v>0</v>
      </c>
      <c r="W432" s="89">
        <f t="shared" si="238"/>
        <v>0</v>
      </c>
      <c r="X432" s="91">
        <f t="shared" si="239"/>
        <v>472006.9664932639</v>
      </c>
      <c r="Y432" s="87" t="str">
        <f t="shared" si="240"/>
        <v>ok</v>
      </c>
      <c r="Z432" s="203" t="str">
        <f t="shared" si="241"/>
        <v/>
      </c>
    </row>
    <row r="433" spans="1:26" ht="12" customHeight="1" x14ac:dyDescent="0.5">
      <c r="A433" s="96" t="s">
        <v>795</v>
      </c>
      <c r="C433" s="86" t="s">
        <v>374</v>
      </c>
      <c r="D433" s="86" t="s">
        <v>1703</v>
      </c>
      <c r="E433" s="86" t="s">
        <v>903</v>
      </c>
      <c r="F433" s="90">
        <f>VLOOKUP(C433,'WSS-26'!$C$1:$AU$617,23,)</f>
        <v>952864.83095633471</v>
      </c>
      <c r="G433" s="89">
        <f t="shared" si="237"/>
        <v>764971.45397027407</v>
      </c>
      <c r="H433" s="89">
        <f t="shared" si="237"/>
        <v>1118.804696589503</v>
      </c>
      <c r="I433" s="89">
        <f t="shared" si="237"/>
        <v>143373.26316171116</v>
      </c>
      <c r="J433" s="89">
        <f t="shared" si="237"/>
        <v>734.32382562530836</v>
      </c>
      <c r="K433" s="89">
        <f t="shared" si="237"/>
        <v>7691.3493150990435</v>
      </c>
      <c r="L433" s="89">
        <f t="shared" si="237"/>
        <v>0</v>
      </c>
      <c r="M433" s="89">
        <f t="shared" si="237"/>
        <v>1326.6321944079864</v>
      </c>
      <c r="N433" s="89">
        <f t="shared" si="237"/>
        <v>0</v>
      </c>
      <c r="O433" s="89">
        <f t="shared" si="237"/>
        <v>0</v>
      </c>
      <c r="P433" s="89">
        <f t="shared" si="237"/>
        <v>0</v>
      </c>
      <c r="Q433" s="89">
        <f t="shared" si="238"/>
        <v>33347.653920790835</v>
      </c>
      <c r="R433" s="89">
        <f t="shared" si="238"/>
        <v>20.782749781848352</v>
      </c>
      <c r="S433" s="89">
        <f t="shared" si="238"/>
        <v>256.32058064279636</v>
      </c>
      <c r="T433" s="89">
        <f t="shared" si="238"/>
        <v>6.9275832606161165</v>
      </c>
      <c r="U433" s="89">
        <f t="shared" si="238"/>
        <v>17.318958151540293</v>
      </c>
      <c r="V433" s="89">
        <f t="shared" si="238"/>
        <v>0</v>
      </c>
      <c r="W433" s="89">
        <f t="shared" si="238"/>
        <v>0</v>
      </c>
      <c r="X433" s="91">
        <f t="shared" si="239"/>
        <v>952864.83095633471</v>
      </c>
      <c r="Y433" s="87" t="str">
        <f t="shared" si="240"/>
        <v>ok</v>
      </c>
      <c r="Z433" s="203" t="str">
        <f t="shared" si="241"/>
        <v/>
      </c>
    </row>
    <row r="434" spans="1:26" ht="12" customHeight="1" x14ac:dyDescent="0.5">
      <c r="A434" s="86" t="s">
        <v>151</v>
      </c>
      <c r="D434" s="86" t="s">
        <v>1704</v>
      </c>
      <c r="F434" s="89">
        <f>SUM(F429:F433)</f>
        <v>4511333.1039011069</v>
      </c>
      <c r="G434" s="89">
        <f t="shared" ref="G434:U434" si="242">SUM(G429:G433)</f>
        <v>3294502.4465611284</v>
      </c>
      <c r="H434" s="89">
        <f t="shared" ref="H434" si="243">SUM(H429:H433)</f>
        <v>6304.2233385863665</v>
      </c>
      <c r="I434" s="89">
        <f t="shared" si="242"/>
        <v>652571.25102357962</v>
      </c>
      <c r="J434" s="89">
        <f>SUM(J429:J433)</f>
        <v>20883.372929401357</v>
      </c>
      <c r="K434" s="89">
        <f>SUM(K429:K433)</f>
        <v>140026.48208691188</v>
      </c>
      <c r="L434" s="89">
        <f>SUM(L429:L433)</f>
        <v>5735.2793854228858</v>
      </c>
      <c r="M434" s="89">
        <f t="shared" si="242"/>
        <v>106693.09684326184</v>
      </c>
      <c r="N434" s="89">
        <f t="shared" si="242"/>
        <v>167933.7449401482</v>
      </c>
      <c r="O434" s="89">
        <f t="shared" si="242"/>
        <v>0</v>
      </c>
      <c r="P434" s="89">
        <f t="shared" si="242"/>
        <v>0</v>
      </c>
      <c r="Q434" s="89">
        <f>SUM(Q429:Q433)</f>
        <v>115142.71826788613</v>
      </c>
      <c r="R434" s="89">
        <f t="shared" si="242"/>
        <v>448.33452028097048</v>
      </c>
      <c r="S434" s="89">
        <f t="shared" si="242"/>
        <v>907.30800058804869</v>
      </c>
      <c r="T434" s="89">
        <f t="shared" si="242"/>
        <v>129.60915837724224</v>
      </c>
      <c r="U434" s="89">
        <f t="shared" si="242"/>
        <v>55.23684553300312</v>
      </c>
      <c r="V434" s="89">
        <f>SUM(V429:V433)</f>
        <v>0</v>
      </c>
      <c r="W434" s="89">
        <f>SUM(W429:W433)</f>
        <v>0</v>
      </c>
      <c r="X434" s="91">
        <f t="shared" si="239"/>
        <v>4511333.1039011069</v>
      </c>
      <c r="Y434" s="87" t="str">
        <f t="shared" si="240"/>
        <v>ok</v>
      </c>
      <c r="Z434" s="91" t="str">
        <f t="shared" si="241"/>
        <v/>
      </c>
    </row>
    <row r="435" spans="1:26" ht="12" customHeight="1" x14ac:dyDescent="0.5">
      <c r="F435" s="90"/>
    </row>
    <row r="436" spans="1:26" ht="12" customHeight="1" x14ac:dyDescent="0.5">
      <c r="A436" s="23" t="s">
        <v>790</v>
      </c>
      <c r="F436" s="90"/>
    </row>
    <row r="437" spans="1:26" ht="12" customHeight="1" x14ac:dyDescent="0.5">
      <c r="A437" s="96" t="s">
        <v>389</v>
      </c>
      <c r="C437" s="86" t="s">
        <v>374</v>
      </c>
      <c r="D437" s="86" t="s">
        <v>1705</v>
      </c>
      <c r="E437" s="86" t="s">
        <v>2177</v>
      </c>
      <c r="F437" s="89">
        <f>VLOOKUP(C437,'WSS-26'!$C$1:$AU$617,24,)</f>
        <v>688060.74552669446</v>
      </c>
      <c r="G437" s="89">
        <f t="shared" ref="G437:P438" si="244">IF(VLOOKUP($E437,$D$5:$W$978,3,)=0,0,(VLOOKUP($E437,$D$5:$W$978,G$1,)/VLOOKUP($E437,$D$5:$W$978,3,))*$F437)</f>
        <v>469013.34013051365</v>
      </c>
      <c r="H437" s="89">
        <f t="shared" si="244"/>
        <v>1410.3602517789004</v>
      </c>
      <c r="I437" s="89">
        <f t="shared" si="244"/>
        <v>87696.330753290982</v>
      </c>
      <c r="J437" s="89">
        <f t="shared" si="244"/>
        <v>6356.6926816644263</v>
      </c>
      <c r="K437" s="89">
        <f t="shared" si="244"/>
        <v>64792.212256707557</v>
      </c>
      <c r="L437" s="89">
        <f t="shared" si="244"/>
        <v>0</v>
      </c>
      <c r="M437" s="89">
        <f t="shared" si="244"/>
        <v>55296.708546176043</v>
      </c>
      <c r="N437" s="89">
        <f t="shared" si="244"/>
        <v>0</v>
      </c>
      <c r="O437" s="89">
        <f t="shared" si="244"/>
        <v>0</v>
      </c>
      <c r="P437" s="89">
        <f t="shared" si="244"/>
        <v>0</v>
      </c>
      <c r="Q437" s="89">
        <f t="shared" ref="Q437:W438" si="245">IF(VLOOKUP($E437,$D$5:$W$978,3,)=0,0,(VLOOKUP($E437,$D$5:$W$978,Q$1,)/VLOOKUP($E437,$D$5:$W$978,3,))*$F437)</f>
        <v>3267.1272733183382</v>
      </c>
      <c r="R437" s="89">
        <f t="shared" si="245"/>
        <v>118.86814683375519</v>
      </c>
      <c r="S437" s="89">
        <f t="shared" si="245"/>
        <v>32.025982093018861</v>
      </c>
      <c r="T437" s="89">
        <f t="shared" si="245"/>
        <v>76.798095425572171</v>
      </c>
      <c r="U437" s="89">
        <f t="shared" si="245"/>
        <v>0.28140889210129194</v>
      </c>
      <c r="V437" s="89">
        <f t="shared" si="245"/>
        <v>0</v>
      </c>
      <c r="W437" s="89">
        <f t="shared" si="245"/>
        <v>0</v>
      </c>
      <c r="X437" s="91">
        <f>SUM(G437:W437)</f>
        <v>688060.74552669446</v>
      </c>
      <c r="Y437" s="87" t="str">
        <f>IF(ABS(F437-X437)&lt;0.01,"ok","err")</f>
        <v>ok</v>
      </c>
      <c r="Z437" s="203" t="str">
        <f>IF(Y437="err",X437-F437,"")</f>
        <v/>
      </c>
    </row>
    <row r="438" spans="1:26" ht="12" customHeight="1" x14ac:dyDescent="0.5">
      <c r="A438" s="96" t="s">
        <v>392</v>
      </c>
      <c r="C438" s="86" t="s">
        <v>374</v>
      </c>
      <c r="D438" s="86" t="s">
        <v>1706</v>
      </c>
      <c r="E438" s="86" t="s">
        <v>2176</v>
      </c>
      <c r="F438" s="90">
        <f>VLOOKUP(C438,'WSS-26'!$C$1:$AU$617,25,)</f>
        <v>571659.44596343476</v>
      </c>
      <c r="G438" s="89">
        <f t="shared" si="244"/>
        <v>458935.14310481417</v>
      </c>
      <c r="H438" s="89">
        <f t="shared" si="244"/>
        <v>671.21301176761835</v>
      </c>
      <c r="I438" s="89">
        <f t="shared" si="244"/>
        <v>86015.012331533304</v>
      </c>
      <c r="J438" s="89">
        <f t="shared" si="244"/>
        <v>440.54847831187328</v>
      </c>
      <c r="K438" s="89">
        <f t="shared" si="244"/>
        <v>4614.3296985448806</v>
      </c>
      <c r="L438" s="89">
        <f t="shared" si="244"/>
        <v>0</v>
      </c>
      <c r="M438" s="89">
        <f t="shared" si="244"/>
        <v>795.89654336531828</v>
      </c>
      <c r="N438" s="89">
        <f t="shared" si="244"/>
        <v>0</v>
      </c>
      <c r="O438" s="89">
        <f t="shared" si="244"/>
        <v>0</v>
      </c>
      <c r="P438" s="89">
        <f t="shared" si="244"/>
        <v>0</v>
      </c>
      <c r="Q438" s="89">
        <f t="shared" si="245"/>
        <v>20006.511674280948</v>
      </c>
      <c r="R438" s="89">
        <f t="shared" si="245"/>
        <v>12.46835315977</v>
      </c>
      <c r="S438" s="89">
        <f t="shared" si="245"/>
        <v>153.77635563716333</v>
      </c>
      <c r="T438" s="89">
        <f t="shared" si="245"/>
        <v>4.1561177199233335</v>
      </c>
      <c r="U438" s="89">
        <f t="shared" si="245"/>
        <v>10.390294299808334</v>
      </c>
      <c r="V438" s="89">
        <f t="shared" si="245"/>
        <v>0</v>
      </c>
      <c r="W438" s="89">
        <f t="shared" si="245"/>
        <v>0</v>
      </c>
      <c r="X438" s="91">
        <f>SUM(G438:W438)</f>
        <v>571659.44596343476</v>
      </c>
      <c r="Y438" s="87" t="str">
        <f>IF(ABS(F438-X438)&lt;0.01,"ok","err")</f>
        <v>ok</v>
      </c>
      <c r="Z438" s="203" t="str">
        <f>IF(Y438="err",X438-F438,"")</f>
        <v/>
      </c>
    </row>
    <row r="439" spans="1:26" ht="12" customHeight="1" x14ac:dyDescent="0.5">
      <c r="A439" s="86" t="s">
        <v>1468</v>
      </c>
      <c r="D439" s="86" t="s">
        <v>1707</v>
      </c>
      <c r="F439" s="89">
        <f t="shared" ref="F439:U439" si="246">F437+F438</f>
        <v>1259720.1914901291</v>
      </c>
      <c r="G439" s="89">
        <f t="shared" si="246"/>
        <v>927948.48323532776</v>
      </c>
      <c r="H439" s="89">
        <f t="shared" ref="H439" si="247">H437+H438</f>
        <v>2081.5732635465188</v>
      </c>
      <c r="I439" s="89">
        <f t="shared" si="246"/>
        <v>173711.34308482427</v>
      </c>
      <c r="J439" s="89">
        <f>J437+J438</f>
        <v>6797.2411599763</v>
      </c>
      <c r="K439" s="89">
        <f>K437+K438</f>
        <v>69406.54195525244</v>
      </c>
      <c r="L439" s="89">
        <f>L437+L438</f>
        <v>0</v>
      </c>
      <c r="M439" s="89">
        <f t="shared" si="246"/>
        <v>56092.605089541365</v>
      </c>
      <c r="N439" s="89">
        <f t="shared" si="246"/>
        <v>0</v>
      </c>
      <c r="O439" s="89">
        <f t="shared" si="246"/>
        <v>0</v>
      </c>
      <c r="P439" s="89">
        <f t="shared" si="246"/>
        <v>0</v>
      </c>
      <c r="Q439" s="89">
        <f>Q437+Q438</f>
        <v>23273.638947599287</v>
      </c>
      <c r="R439" s="89">
        <f t="shared" si="246"/>
        <v>131.33649999352519</v>
      </c>
      <c r="S439" s="89">
        <f t="shared" si="246"/>
        <v>185.80233773018219</v>
      </c>
      <c r="T439" s="89">
        <f t="shared" si="246"/>
        <v>80.954213145495501</v>
      </c>
      <c r="U439" s="89">
        <f t="shared" si="246"/>
        <v>10.671703191909625</v>
      </c>
      <c r="V439" s="89">
        <f>V437+V438</f>
        <v>0</v>
      </c>
      <c r="W439" s="89">
        <f>W437+W438</f>
        <v>0</v>
      </c>
      <c r="X439" s="91">
        <f>SUM(G439:W439)</f>
        <v>1259720.1914901289</v>
      </c>
      <c r="Y439" s="87" t="str">
        <f>IF(ABS(F439-X439)&lt;0.01,"ok","err")</f>
        <v>ok</v>
      </c>
      <c r="Z439" s="91" t="str">
        <f>IF(Y439="err",X439-F439,"")</f>
        <v/>
      </c>
    </row>
    <row r="440" spans="1:26" ht="12" customHeight="1" x14ac:dyDescent="0.5">
      <c r="F440" s="90"/>
    </row>
    <row r="441" spans="1:26" ht="12" customHeight="1" x14ac:dyDescent="0.5">
      <c r="A441" s="23" t="s">
        <v>128</v>
      </c>
      <c r="F441" s="90"/>
    </row>
    <row r="442" spans="1:26" ht="12" customHeight="1" x14ac:dyDescent="0.5">
      <c r="A442" s="96" t="s">
        <v>392</v>
      </c>
      <c r="C442" s="86" t="s">
        <v>374</v>
      </c>
      <c r="D442" s="86" t="s">
        <v>1708</v>
      </c>
      <c r="E442" s="86" t="s">
        <v>393</v>
      </c>
      <c r="F442" s="89">
        <f>VLOOKUP(C442,'WSS-26'!$C$1:$AU$617,26,)</f>
        <v>481981.59936413309</v>
      </c>
      <c r="G442" s="89">
        <f t="shared" ref="G442:W442" si="248">IF(VLOOKUP($E442,$D$5:$W$978,3,)=0,0,(VLOOKUP($E442,$D$5:$W$978,G$1,)/VLOOKUP($E442,$D$5:$W$978,3,))*$F442)</f>
        <v>380624.78986122401</v>
      </c>
      <c r="H442" s="89">
        <f t="shared" si="248"/>
        <v>556.89628697983892</v>
      </c>
      <c r="I442" s="89">
        <f t="shared" si="248"/>
        <v>85692.364860147776</v>
      </c>
      <c r="J442" s="89">
        <f t="shared" si="248"/>
        <v>775.32157822733006</v>
      </c>
      <c r="K442" s="89">
        <f t="shared" si="248"/>
        <v>11136.182696498028</v>
      </c>
      <c r="L442" s="89">
        <f t="shared" si="248"/>
        <v>0</v>
      </c>
      <c r="M442" s="89">
        <f t="shared" si="248"/>
        <v>3186.013068593013</v>
      </c>
      <c r="N442" s="89">
        <f t="shared" si="248"/>
        <v>0</v>
      </c>
      <c r="O442" s="89">
        <f t="shared" si="248"/>
        <v>0</v>
      </c>
      <c r="P442" s="89">
        <f t="shared" si="248"/>
        <v>0</v>
      </c>
      <c r="Q442" s="89">
        <f t="shared" si="248"/>
        <v>0</v>
      </c>
      <c r="R442" s="89">
        <f t="shared" si="248"/>
        <v>0</v>
      </c>
      <c r="S442" s="89">
        <f t="shared" si="248"/>
        <v>0</v>
      </c>
      <c r="T442" s="89">
        <f t="shared" si="248"/>
        <v>10.031012463097969</v>
      </c>
      <c r="U442" s="89">
        <f t="shared" si="248"/>
        <v>0</v>
      </c>
      <c r="V442" s="89">
        <f t="shared" si="248"/>
        <v>0</v>
      </c>
      <c r="W442" s="89">
        <f t="shared" si="248"/>
        <v>0</v>
      </c>
      <c r="X442" s="91">
        <f>SUM(G442:W442)</f>
        <v>481981.59936413303</v>
      </c>
      <c r="Y442" s="87" t="str">
        <f>IF(ABS(F442-X442)&lt;0.01,"ok","err")</f>
        <v>ok</v>
      </c>
      <c r="Z442" s="203" t="str">
        <f>IF(Y442="err",X442-F442,"")</f>
        <v/>
      </c>
    </row>
    <row r="443" spans="1:26" ht="12" customHeight="1" x14ac:dyDescent="0.5">
      <c r="F443" s="90"/>
    </row>
    <row r="444" spans="1:26" ht="12" customHeight="1" x14ac:dyDescent="0.5">
      <c r="A444" s="23" t="s">
        <v>127</v>
      </c>
      <c r="F444" s="90"/>
    </row>
    <row r="445" spans="1:26" ht="12" customHeight="1" x14ac:dyDescent="0.5">
      <c r="A445" s="96" t="s">
        <v>392</v>
      </c>
      <c r="C445" s="86" t="s">
        <v>374</v>
      </c>
      <c r="D445" s="86" t="s">
        <v>1709</v>
      </c>
      <c r="E445" s="86" t="s">
        <v>2467</v>
      </c>
      <c r="F445" s="89">
        <f>VLOOKUP(C445,'WSS-26'!$C$1:$AU$617,27,)</f>
        <v>286653.15873077803</v>
      </c>
      <c r="G445" s="89">
        <f t="shared" ref="G445:W445" si="249">IF(VLOOKUP($E445,$D$5:$W$978,3,)=0,0,(VLOOKUP($E445,$D$5:$W$978,G$1,)/VLOOKUP($E445,$D$5:$W$978,3,))*$F445)</f>
        <v>171725.25053776559</v>
      </c>
      <c r="H445" s="89">
        <f t="shared" si="249"/>
        <v>251.25308953216665</v>
      </c>
      <c r="I445" s="89">
        <f t="shared" si="249"/>
        <v>69397.646818402238</v>
      </c>
      <c r="J445" s="89">
        <f t="shared" si="249"/>
        <v>1416.552039497745</v>
      </c>
      <c r="K445" s="89">
        <f t="shared" si="249"/>
        <v>21698.04967351602</v>
      </c>
      <c r="L445" s="89">
        <f t="shared" si="249"/>
        <v>4243.2920224159689</v>
      </c>
      <c r="M445" s="89">
        <f t="shared" si="249"/>
        <v>3880.95595926545</v>
      </c>
      <c r="N445" s="89">
        <f t="shared" si="249"/>
        <v>7516.8715121012119</v>
      </c>
      <c r="O445" s="89">
        <f t="shared" si="249"/>
        <v>3726.8112122979014</v>
      </c>
      <c r="P445" s="89">
        <f t="shared" si="249"/>
        <v>230.05442456429708</v>
      </c>
      <c r="Q445" s="89">
        <f t="shared" si="249"/>
        <v>0</v>
      </c>
      <c r="R445" s="89">
        <f t="shared" si="249"/>
        <v>41.988910900540041</v>
      </c>
      <c r="S445" s="89">
        <f t="shared" si="249"/>
        <v>517.47444822795183</v>
      </c>
      <c r="T445" s="89">
        <f t="shared" si="249"/>
        <v>19.544705096154988</v>
      </c>
      <c r="U445" s="89">
        <f t="shared" si="249"/>
        <v>1987.4133771948207</v>
      </c>
      <c r="V445" s="89">
        <f t="shared" si="249"/>
        <v>0</v>
      </c>
      <c r="W445" s="89">
        <f t="shared" si="249"/>
        <v>0</v>
      </c>
      <c r="X445" s="91">
        <f>SUM(G445:W445)</f>
        <v>286653.15873077809</v>
      </c>
      <c r="Y445" s="87" t="str">
        <f>IF(ABS(F445-X445)&lt;0.01,"ok","err")</f>
        <v>ok</v>
      </c>
      <c r="Z445" s="203" t="str">
        <f>IF(Y445="err",X445-F445,"")</f>
        <v/>
      </c>
    </row>
    <row r="446" spans="1:26" ht="12" customHeight="1" x14ac:dyDescent="0.5">
      <c r="F446" s="90"/>
    </row>
    <row r="447" spans="1:26" ht="12" customHeight="1" x14ac:dyDescent="0.5">
      <c r="A447" s="23" t="s">
        <v>144</v>
      </c>
      <c r="F447" s="90"/>
    </row>
    <row r="448" spans="1:26" ht="12" customHeight="1" x14ac:dyDescent="0.5">
      <c r="A448" s="96" t="s">
        <v>392</v>
      </c>
      <c r="C448" s="86" t="s">
        <v>374</v>
      </c>
      <c r="D448" s="86" t="s">
        <v>1710</v>
      </c>
      <c r="E448" s="86" t="s">
        <v>395</v>
      </c>
      <c r="F448" s="89">
        <f>VLOOKUP(C448,'WSS-26'!$C$1:$AU$617,28,)</f>
        <v>551968.31776504801</v>
      </c>
      <c r="G448" s="89">
        <f t="shared" ref="G448:W448" si="250">IF(VLOOKUP($E448,$D$5:$W$978,3,)=0,0,(VLOOKUP($E448,$D$5:$W$978,G$1,)/VLOOKUP($E448,$D$5:$W$978,3,))*$F448)</f>
        <v>0</v>
      </c>
      <c r="H448" s="89">
        <f t="shared" si="250"/>
        <v>0</v>
      </c>
      <c r="I448" s="89">
        <f t="shared" si="250"/>
        <v>0</v>
      </c>
      <c r="J448" s="89">
        <f t="shared" si="250"/>
        <v>0</v>
      </c>
      <c r="K448" s="89">
        <f t="shared" si="250"/>
        <v>0</v>
      </c>
      <c r="L448" s="89">
        <f t="shared" si="250"/>
        <v>0</v>
      </c>
      <c r="M448" s="89">
        <f t="shared" si="250"/>
        <v>0</v>
      </c>
      <c r="N448" s="89">
        <f t="shared" si="250"/>
        <v>0</v>
      </c>
      <c r="O448" s="89">
        <f t="shared" si="250"/>
        <v>0</v>
      </c>
      <c r="P448" s="89">
        <f t="shared" si="250"/>
        <v>0</v>
      </c>
      <c r="Q448" s="89">
        <f t="shared" si="250"/>
        <v>551968.31776504801</v>
      </c>
      <c r="R448" s="89">
        <f t="shared" si="250"/>
        <v>0</v>
      </c>
      <c r="S448" s="89">
        <f t="shared" si="250"/>
        <v>0</v>
      </c>
      <c r="T448" s="89">
        <f t="shared" si="250"/>
        <v>0</v>
      </c>
      <c r="U448" s="89">
        <f t="shared" si="250"/>
        <v>0</v>
      </c>
      <c r="V448" s="89">
        <f t="shared" si="250"/>
        <v>0</v>
      </c>
      <c r="W448" s="89">
        <f t="shared" si="250"/>
        <v>0</v>
      </c>
      <c r="X448" s="91">
        <f>SUM(G448:W448)</f>
        <v>551968.31776504801</v>
      </c>
      <c r="Y448" s="87" t="str">
        <f>IF(ABS(F448-X448)&lt;0.01,"ok","err")</f>
        <v>ok</v>
      </c>
      <c r="Z448" s="203" t="str">
        <f>IF(Y448="err",X448-F448,"")</f>
        <v/>
      </c>
    </row>
    <row r="449" spans="1:26" ht="12" customHeight="1" x14ac:dyDescent="0.5">
      <c r="F449" s="90"/>
    </row>
    <row r="450" spans="1:26" ht="12" customHeight="1" x14ac:dyDescent="0.5">
      <c r="A450" s="23" t="s">
        <v>292</v>
      </c>
      <c r="F450" s="90"/>
    </row>
    <row r="451" spans="1:26" ht="12" customHeight="1" x14ac:dyDescent="0.5">
      <c r="A451" s="96" t="s">
        <v>392</v>
      </c>
      <c r="C451" s="86" t="s">
        <v>374</v>
      </c>
      <c r="D451" s="86" t="s">
        <v>1711</v>
      </c>
      <c r="E451" s="86" t="s">
        <v>396</v>
      </c>
      <c r="F451" s="89">
        <f>VLOOKUP(C451,'WSS-26'!$C$1:$AU$617,30,)</f>
        <v>0</v>
      </c>
      <c r="G451" s="89">
        <f t="shared" ref="G451:W451" si="251">IF(VLOOKUP($E451,$D$5:$W$978,3,)=0,0,(VLOOKUP($E451,$D$5:$W$978,G$1,)/VLOOKUP($E451,$D$5:$W$978,3,))*$F451)</f>
        <v>0</v>
      </c>
      <c r="H451" s="89">
        <f t="shared" si="251"/>
        <v>0</v>
      </c>
      <c r="I451" s="89">
        <f t="shared" si="251"/>
        <v>0</v>
      </c>
      <c r="J451" s="89">
        <f t="shared" si="251"/>
        <v>0</v>
      </c>
      <c r="K451" s="89">
        <f t="shared" si="251"/>
        <v>0</v>
      </c>
      <c r="L451" s="89">
        <f t="shared" si="251"/>
        <v>0</v>
      </c>
      <c r="M451" s="89">
        <f t="shared" si="251"/>
        <v>0</v>
      </c>
      <c r="N451" s="89">
        <f t="shared" si="251"/>
        <v>0</v>
      </c>
      <c r="O451" s="89">
        <f t="shared" si="251"/>
        <v>0</v>
      </c>
      <c r="P451" s="89">
        <f t="shared" si="251"/>
        <v>0</v>
      </c>
      <c r="Q451" s="89">
        <f t="shared" si="251"/>
        <v>0</v>
      </c>
      <c r="R451" s="89">
        <f t="shared" si="251"/>
        <v>0</v>
      </c>
      <c r="S451" s="89">
        <f t="shared" si="251"/>
        <v>0</v>
      </c>
      <c r="T451" s="89">
        <f t="shared" si="251"/>
        <v>0</v>
      </c>
      <c r="U451" s="89">
        <f t="shared" si="251"/>
        <v>0</v>
      </c>
      <c r="V451" s="89">
        <f t="shared" si="251"/>
        <v>0</v>
      </c>
      <c r="W451" s="89">
        <f t="shared" si="251"/>
        <v>0</v>
      </c>
      <c r="X451" s="91">
        <f>SUM(G451:W451)</f>
        <v>0</v>
      </c>
      <c r="Y451" s="87" t="str">
        <f>IF(ABS(F451-X451)&lt;0.01,"ok","err")</f>
        <v>ok</v>
      </c>
      <c r="Z451" s="203" t="str">
        <f>IF(Y451="err",X451-F451,"")</f>
        <v/>
      </c>
    </row>
    <row r="452" spans="1:26" ht="12" customHeight="1" x14ac:dyDescent="0.5">
      <c r="F452" s="90"/>
    </row>
    <row r="453" spans="1:26" ht="12" customHeight="1" x14ac:dyDescent="0.5">
      <c r="A453" s="23" t="s">
        <v>1630</v>
      </c>
      <c r="F453" s="90"/>
    </row>
    <row r="454" spans="1:26" ht="12" customHeight="1" x14ac:dyDescent="0.5">
      <c r="A454" s="96" t="s">
        <v>392</v>
      </c>
      <c r="C454" s="86" t="s">
        <v>374</v>
      </c>
      <c r="D454" s="86" t="s">
        <v>1712</v>
      </c>
      <c r="E454" s="86" t="s">
        <v>396</v>
      </c>
      <c r="F454" s="89">
        <f>VLOOKUP(C454,'WSS-26'!$C$1:$AU$617,32,)</f>
        <v>0</v>
      </c>
      <c r="G454" s="89">
        <f t="shared" ref="G454:W454" si="252">IF(VLOOKUP($E454,$D$5:$W$978,3,)=0,0,(VLOOKUP($E454,$D$5:$W$978,G$1,)/VLOOKUP($E454,$D$5:$W$978,3,))*$F454)</f>
        <v>0</v>
      </c>
      <c r="H454" s="89">
        <f t="shared" si="252"/>
        <v>0</v>
      </c>
      <c r="I454" s="89">
        <f t="shared" si="252"/>
        <v>0</v>
      </c>
      <c r="J454" s="89">
        <f t="shared" si="252"/>
        <v>0</v>
      </c>
      <c r="K454" s="89">
        <f t="shared" si="252"/>
        <v>0</v>
      </c>
      <c r="L454" s="89">
        <f t="shared" si="252"/>
        <v>0</v>
      </c>
      <c r="M454" s="89">
        <f t="shared" si="252"/>
        <v>0</v>
      </c>
      <c r="N454" s="89">
        <f t="shared" si="252"/>
        <v>0</v>
      </c>
      <c r="O454" s="89">
        <f t="shared" si="252"/>
        <v>0</v>
      </c>
      <c r="P454" s="89">
        <f t="shared" si="252"/>
        <v>0</v>
      </c>
      <c r="Q454" s="89">
        <f t="shared" si="252"/>
        <v>0</v>
      </c>
      <c r="R454" s="89">
        <f t="shared" si="252"/>
        <v>0</v>
      </c>
      <c r="S454" s="89">
        <f t="shared" si="252"/>
        <v>0</v>
      </c>
      <c r="T454" s="89">
        <f t="shared" si="252"/>
        <v>0</v>
      </c>
      <c r="U454" s="89">
        <f t="shared" si="252"/>
        <v>0</v>
      </c>
      <c r="V454" s="89">
        <f t="shared" si="252"/>
        <v>0</v>
      </c>
      <c r="W454" s="89">
        <f t="shared" si="252"/>
        <v>0</v>
      </c>
      <c r="X454" s="91">
        <f>SUM(G454:W454)</f>
        <v>0</v>
      </c>
      <c r="Y454" s="87" t="str">
        <f>IF(ABS(F454-X454)&lt;0.01,"ok","err")</f>
        <v>ok</v>
      </c>
      <c r="Z454" s="203" t="str">
        <f>IF(Y454="err",X454-F454,"")</f>
        <v/>
      </c>
    </row>
    <row r="455" spans="1:26" ht="12" customHeight="1" x14ac:dyDescent="0.5">
      <c r="F455" s="90"/>
    </row>
    <row r="456" spans="1:26" ht="12" customHeight="1" x14ac:dyDescent="0.5">
      <c r="A456" s="23" t="s">
        <v>1629</v>
      </c>
      <c r="F456" s="90"/>
    </row>
    <row r="457" spans="1:26" ht="12" customHeight="1" x14ac:dyDescent="0.5">
      <c r="A457" s="96" t="s">
        <v>392</v>
      </c>
      <c r="C457" s="86" t="s">
        <v>374</v>
      </c>
      <c r="D457" s="86" t="s">
        <v>1713</v>
      </c>
      <c r="E457" s="86" t="s">
        <v>397</v>
      </c>
      <c r="F457" s="89">
        <f>VLOOKUP(C457,'WSS-26'!$C$1:$AU$617,34,)</f>
        <v>0</v>
      </c>
      <c r="G457" s="89">
        <f t="shared" ref="G457:W457" si="253">IF(VLOOKUP($E457,$D$5:$W$978,3,)=0,0,(VLOOKUP($E457,$D$5:$W$978,G$1,)/VLOOKUP($E457,$D$5:$W$978,3,))*$F457)</f>
        <v>0</v>
      </c>
      <c r="H457" s="89">
        <f t="shared" si="253"/>
        <v>0</v>
      </c>
      <c r="I457" s="89">
        <f t="shared" si="253"/>
        <v>0</v>
      </c>
      <c r="J457" s="89">
        <f t="shared" si="253"/>
        <v>0</v>
      </c>
      <c r="K457" s="89">
        <f t="shared" si="253"/>
        <v>0</v>
      </c>
      <c r="L457" s="89">
        <f t="shared" si="253"/>
        <v>0</v>
      </c>
      <c r="M457" s="89">
        <f t="shared" si="253"/>
        <v>0</v>
      </c>
      <c r="N457" s="89">
        <f t="shared" si="253"/>
        <v>0</v>
      </c>
      <c r="O457" s="89">
        <f t="shared" si="253"/>
        <v>0</v>
      </c>
      <c r="P457" s="89">
        <f t="shared" si="253"/>
        <v>0</v>
      </c>
      <c r="Q457" s="89">
        <f t="shared" si="253"/>
        <v>0</v>
      </c>
      <c r="R457" s="89">
        <f t="shared" si="253"/>
        <v>0</v>
      </c>
      <c r="S457" s="89">
        <f t="shared" si="253"/>
        <v>0</v>
      </c>
      <c r="T457" s="89">
        <f t="shared" si="253"/>
        <v>0</v>
      </c>
      <c r="U457" s="89">
        <f t="shared" si="253"/>
        <v>0</v>
      </c>
      <c r="V457" s="89">
        <f t="shared" si="253"/>
        <v>0</v>
      </c>
      <c r="W457" s="89">
        <f t="shared" si="253"/>
        <v>0</v>
      </c>
      <c r="X457" s="91">
        <f>SUM(G457:W457)</f>
        <v>0</v>
      </c>
      <c r="Y457" s="87" t="str">
        <f>IF(ABS(F457-X457)&lt;0.01,"ok","err")</f>
        <v>ok</v>
      </c>
      <c r="Z457" s="203" t="str">
        <f>IF(Y457="err",X457-F457,"")</f>
        <v/>
      </c>
    </row>
    <row r="458" spans="1:26" ht="12" customHeight="1" x14ac:dyDescent="0.5">
      <c r="F458" s="90"/>
    </row>
    <row r="459" spans="1:26" ht="12" customHeight="1" x14ac:dyDescent="0.5">
      <c r="A459" s="86" t="s">
        <v>62</v>
      </c>
      <c r="D459" s="86" t="s">
        <v>407</v>
      </c>
      <c r="F459" s="89">
        <f>F414+F420+F423+F426+F434+F439+F442+F445+F448+F451+F454+F457</f>
        <v>35914758</v>
      </c>
      <c r="G459" s="89">
        <f t="shared" ref="G459:U459" si="254">G414+G420+G423+G426+G434+G439+G442+G445+G448+G451+G454+G457</f>
        <v>16842550.50297663</v>
      </c>
      <c r="H459" s="89">
        <f t="shared" ref="H459" si="255">H414+H420+H423+H426+H434+H439+H442+H445+H448+H451+H454+H457</f>
        <v>27855.376134083268</v>
      </c>
      <c r="I459" s="89">
        <f t="shared" si="254"/>
        <v>4199400.9097359888</v>
      </c>
      <c r="J459" s="89">
        <f>J414+J420+J423+J426+J434+J439+J442+J445+J448+J451+J454+J457</f>
        <v>264768.15207863163</v>
      </c>
      <c r="K459" s="89">
        <f>K414+K420+K423+K426+K434+K439+K442+K445+K448+K451+K454+K457</f>
        <v>3213110.8138611987</v>
      </c>
      <c r="L459" s="89">
        <f>L414+L420+L423+L426+L434+L439+L442+L445+L448+L451+L454+L457</f>
        <v>138732.56826273439</v>
      </c>
      <c r="M459" s="89">
        <f t="shared" si="254"/>
        <v>2975845.0414199485</v>
      </c>
      <c r="N459" s="89">
        <f t="shared" si="254"/>
        <v>5193537.8875708571</v>
      </c>
      <c r="O459" s="89">
        <f t="shared" si="254"/>
        <v>1584716.3373163824</v>
      </c>
      <c r="P459" s="89">
        <f>P414+P420+P423+P426+P434+P439+P442+P445+P448+P451+P454+P457</f>
        <v>721164.58941585035</v>
      </c>
      <c r="Q459" s="89">
        <f>Q414+Q420+Q423+Q426+Q434+Q439+Q442+Q445+Q448+Q451+Q454+Q457</f>
        <v>738708.30467447173</v>
      </c>
      <c r="R459" s="89">
        <f t="shared" si="254"/>
        <v>2379.8223256767028</v>
      </c>
      <c r="S459" s="89">
        <f t="shared" si="254"/>
        <v>4172.4954314631996</v>
      </c>
      <c r="T459" s="89">
        <f t="shared" si="254"/>
        <v>1131.2058809241596</v>
      </c>
      <c r="U459" s="89">
        <f t="shared" si="254"/>
        <v>2075.6572489719283</v>
      </c>
      <c r="V459" s="89">
        <f>V414+V420+V423+V426+V434+V439+V442+V445+V448+V451+V454+V457</f>
        <v>4038.9486899610001</v>
      </c>
      <c r="W459" s="89">
        <f>W414+W420+W423+W426+W434+W439+W442+W445+W448+W451+W454+W457</f>
        <v>569.38697621906249</v>
      </c>
      <c r="X459" s="91">
        <f>SUM(G459:W459)</f>
        <v>35914757.999999985</v>
      </c>
      <c r="Y459" s="87" t="str">
        <f>IF(ABS(F459-X459)&lt;0.01,"ok","err")</f>
        <v>ok</v>
      </c>
      <c r="Z459" s="91" t="str">
        <f>IF(Y459="err",X459-F459,"")</f>
        <v/>
      </c>
    </row>
    <row r="462" spans="1:26" ht="12" customHeight="1" x14ac:dyDescent="0.5">
      <c r="A462" s="22" t="s">
        <v>408</v>
      </c>
    </row>
    <row r="464" spans="1:26" ht="12" customHeight="1" x14ac:dyDescent="0.5">
      <c r="A464" s="23" t="s">
        <v>137</v>
      </c>
    </row>
    <row r="465" spans="1:26" ht="12" customHeight="1" x14ac:dyDescent="0.5">
      <c r="A465" s="96" t="s">
        <v>2273</v>
      </c>
      <c r="C465" s="86" t="s">
        <v>1685</v>
      </c>
      <c r="D465" s="86" t="s">
        <v>1714</v>
      </c>
      <c r="E465" s="86" t="s">
        <v>2272</v>
      </c>
      <c r="F465" s="89">
        <f>VLOOKUP(C465,'WSS-26'!$C$1:$AU$617,6,)</f>
        <v>8507901.3528177198</v>
      </c>
      <c r="G465" s="89">
        <f t="shared" ref="G465:P470" si="256">IF(VLOOKUP($E465,$D$5:$W$978,3,)=0,0,(VLOOKUP($E465,$D$5:$W$978,G$1,)/VLOOKUP($E465,$D$5:$W$978,3,))*$F465)</f>
        <v>3488018.046679846</v>
      </c>
      <c r="H465" s="89">
        <f t="shared" si="256"/>
        <v>3562.1714543501207</v>
      </c>
      <c r="I465" s="89">
        <f t="shared" si="256"/>
        <v>940433.82555909513</v>
      </c>
      <c r="J465" s="89">
        <f t="shared" si="256"/>
        <v>60345.06967914581</v>
      </c>
      <c r="K465" s="89">
        <f t="shared" si="256"/>
        <v>876992.1863399453</v>
      </c>
      <c r="L465" s="89">
        <f t="shared" si="256"/>
        <v>38101.084820672484</v>
      </c>
      <c r="M465" s="89">
        <f t="shared" si="256"/>
        <v>843426.6173579843</v>
      </c>
      <c r="N465" s="89">
        <f t="shared" si="256"/>
        <v>1543985.7679895591</v>
      </c>
      <c r="O465" s="89">
        <f t="shared" si="256"/>
        <v>502590.61060918815</v>
      </c>
      <c r="P465" s="89">
        <f t="shared" si="256"/>
        <v>208122.08034259375</v>
      </c>
      <c r="Q465" s="89">
        <f t="shared" ref="Q465:W470" si="257">IF(VLOOKUP($E465,$D$5:$W$978,3,)=0,0,(VLOOKUP($E465,$D$5:$W$978,Q$1,)/VLOOKUP($E465,$D$5:$W$978,3,))*$F465)</f>
        <v>1356.551759141618</v>
      </c>
      <c r="R465" s="89">
        <f t="shared" si="257"/>
        <v>49.35552863523916</v>
      </c>
      <c r="S465" s="89">
        <f t="shared" si="257"/>
        <v>807.075453380461</v>
      </c>
      <c r="T465" s="89">
        <f t="shared" si="257"/>
        <v>103.88442649327872</v>
      </c>
      <c r="U465" s="89">
        <f t="shared" si="257"/>
        <v>7.0248176872801205</v>
      </c>
      <c r="V465" s="89">
        <f t="shared" si="257"/>
        <v>0</v>
      </c>
      <c r="W465" s="89">
        <f t="shared" si="257"/>
        <v>0</v>
      </c>
      <c r="X465" s="91">
        <f t="shared" ref="X465:X470" si="258">SUM(G465:W465)</f>
        <v>8507901.3528177179</v>
      </c>
      <c r="Y465" s="87" t="str">
        <f t="shared" ref="Y465:Y470" si="259">IF(ABS(F465-X465)&lt;0.01,"ok","err")</f>
        <v>ok</v>
      </c>
      <c r="Z465" s="203" t="str">
        <f t="shared" ref="Z465:Z470" si="260">IF(Y465="err",X465-F465,"")</f>
        <v/>
      </c>
    </row>
    <row r="466" spans="1:26" ht="12" hidden="1" customHeight="1" x14ac:dyDescent="0.5">
      <c r="A466" s="96" t="s">
        <v>2274</v>
      </c>
      <c r="C466" s="86" t="s">
        <v>1685</v>
      </c>
      <c r="D466" s="86" t="s">
        <v>1715</v>
      </c>
      <c r="E466" s="86" t="s">
        <v>2272</v>
      </c>
      <c r="F466" s="90">
        <f>VLOOKUP(C466,'WSS-26'!$C$1:$AU$617,7,)</f>
        <v>0</v>
      </c>
      <c r="G466" s="89">
        <f t="shared" si="256"/>
        <v>0</v>
      </c>
      <c r="H466" s="89">
        <f t="shared" si="256"/>
        <v>0</v>
      </c>
      <c r="I466" s="89">
        <f t="shared" si="256"/>
        <v>0</v>
      </c>
      <c r="J466" s="89">
        <f t="shared" si="256"/>
        <v>0</v>
      </c>
      <c r="K466" s="89">
        <f t="shared" si="256"/>
        <v>0</v>
      </c>
      <c r="L466" s="89">
        <f t="shared" si="256"/>
        <v>0</v>
      </c>
      <c r="M466" s="89">
        <f t="shared" si="256"/>
        <v>0</v>
      </c>
      <c r="N466" s="89">
        <f t="shared" si="256"/>
        <v>0</v>
      </c>
      <c r="O466" s="89">
        <f t="shared" si="256"/>
        <v>0</v>
      </c>
      <c r="P466" s="89">
        <f t="shared" si="256"/>
        <v>0</v>
      </c>
      <c r="Q466" s="89">
        <f t="shared" si="257"/>
        <v>0</v>
      </c>
      <c r="R466" s="89">
        <f t="shared" si="257"/>
        <v>0</v>
      </c>
      <c r="S466" s="89">
        <f t="shared" si="257"/>
        <v>0</v>
      </c>
      <c r="T466" s="89">
        <f t="shared" si="257"/>
        <v>0</v>
      </c>
      <c r="U466" s="89">
        <f t="shared" si="257"/>
        <v>0</v>
      </c>
      <c r="V466" s="89">
        <f t="shared" si="257"/>
        <v>0</v>
      </c>
      <c r="W466" s="89">
        <f t="shared" si="257"/>
        <v>0</v>
      </c>
      <c r="X466" s="91">
        <f t="shared" si="258"/>
        <v>0</v>
      </c>
      <c r="Y466" s="87" t="str">
        <f t="shared" si="259"/>
        <v>ok</v>
      </c>
      <c r="Z466" s="203" t="str">
        <f t="shared" si="260"/>
        <v/>
      </c>
    </row>
    <row r="467" spans="1:26" ht="12" hidden="1" customHeight="1" x14ac:dyDescent="0.5">
      <c r="A467" s="96" t="s">
        <v>2274</v>
      </c>
      <c r="C467" s="86" t="s">
        <v>1685</v>
      </c>
      <c r="D467" s="86" t="s">
        <v>1716</v>
      </c>
      <c r="E467" s="86" t="s">
        <v>2272</v>
      </c>
      <c r="F467" s="90">
        <f>VLOOKUP(C467,'WSS-26'!$C$1:$AU$617,8,)</f>
        <v>0</v>
      </c>
      <c r="G467" s="89">
        <f t="shared" si="256"/>
        <v>0</v>
      </c>
      <c r="H467" s="89">
        <f t="shared" si="256"/>
        <v>0</v>
      </c>
      <c r="I467" s="89">
        <f t="shared" si="256"/>
        <v>0</v>
      </c>
      <c r="J467" s="89">
        <f t="shared" si="256"/>
        <v>0</v>
      </c>
      <c r="K467" s="89">
        <f t="shared" si="256"/>
        <v>0</v>
      </c>
      <c r="L467" s="89">
        <f t="shared" si="256"/>
        <v>0</v>
      </c>
      <c r="M467" s="89">
        <f t="shared" si="256"/>
        <v>0</v>
      </c>
      <c r="N467" s="89">
        <f t="shared" si="256"/>
        <v>0</v>
      </c>
      <c r="O467" s="89">
        <f t="shared" si="256"/>
        <v>0</v>
      </c>
      <c r="P467" s="89">
        <f t="shared" si="256"/>
        <v>0</v>
      </c>
      <c r="Q467" s="89">
        <f t="shared" si="257"/>
        <v>0</v>
      </c>
      <c r="R467" s="89">
        <f t="shared" si="257"/>
        <v>0</v>
      </c>
      <c r="S467" s="89">
        <f t="shared" si="257"/>
        <v>0</v>
      </c>
      <c r="T467" s="89">
        <f t="shared" si="257"/>
        <v>0</v>
      </c>
      <c r="U467" s="89">
        <f t="shared" si="257"/>
        <v>0</v>
      </c>
      <c r="V467" s="89">
        <f t="shared" si="257"/>
        <v>0</v>
      </c>
      <c r="W467" s="89">
        <f t="shared" si="257"/>
        <v>0</v>
      </c>
      <c r="X467" s="91">
        <f t="shared" si="258"/>
        <v>0</v>
      </c>
      <c r="Y467" s="87" t="str">
        <f t="shared" si="259"/>
        <v>ok</v>
      </c>
      <c r="Z467" s="203" t="str">
        <f t="shared" si="260"/>
        <v/>
      </c>
    </row>
    <row r="468" spans="1:26" ht="12" customHeight="1" x14ac:dyDescent="0.5">
      <c r="A468" s="96" t="s">
        <v>2276</v>
      </c>
      <c r="C468" s="86" t="s">
        <v>1685</v>
      </c>
      <c r="D468" s="86" t="s">
        <v>1717</v>
      </c>
      <c r="E468" s="86" t="s">
        <v>390</v>
      </c>
      <c r="F468" s="90">
        <f>VLOOKUP(C468,'WSS-26'!$C$1:$AU$617,9,)</f>
        <v>0</v>
      </c>
      <c r="G468" s="89">
        <f t="shared" si="256"/>
        <v>0</v>
      </c>
      <c r="H468" s="89">
        <f t="shared" si="256"/>
        <v>0</v>
      </c>
      <c r="I468" s="89">
        <f t="shared" si="256"/>
        <v>0</v>
      </c>
      <c r="J468" s="89">
        <f t="shared" si="256"/>
        <v>0</v>
      </c>
      <c r="K468" s="89">
        <f t="shared" si="256"/>
        <v>0</v>
      </c>
      <c r="L468" s="89">
        <f t="shared" si="256"/>
        <v>0</v>
      </c>
      <c r="M468" s="89">
        <f t="shared" si="256"/>
        <v>0</v>
      </c>
      <c r="N468" s="89">
        <f t="shared" si="256"/>
        <v>0</v>
      </c>
      <c r="O468" s="89">
        <f t="shared" si="256"/>
        <v>0</v>
      </c>
      <c r="P468" s="89">
        <f t="shared" si="256"/>
        <v>0</v>
      </c>
      <c r="Q468" s="89">
        <f t="shared" si="257"/>
        <v>0</v>
      </c>
      <c r="R468" s="89">
        <f t="shared" si="257"/>
        <v>0</v>
      </c>
      <c r="S468" s="89">
        <f t="shared" si="257"/>
        <v>0</v>
      </c>
      <c r="T468" s="89">
        <f t="shared" si="257"/>
        <v>0</v>
      </c>
      <c r="U468" s="89">
        <f t="shared" si="257"/>
        <v>0</v>
      </c>
      <c r="V468" s="89">
        <f t="shared" si="257"/>
        <v>0</v>
      </c>
      <c r="W468" s="89">
        <f t="shared" si="257"/>
        <v>0</v>
      </c>
      <c r="X468" s="91">
        <f t="shared" si="258"/>
        <v>0</v>
      </c>
      <c r="Y468" s="87" t="str">
        <f t="shared" si="259"/>
        <v>ok</v>
      </c>
      <c r="Z468" s="203" t="str">
        <f t="shared" si="260"/>
        <v/>
      </c>
    </row>
    <row r="469" spans="1:26" ht="12" hidden="1" customHeight="1" x14ac:dyDescent="0.5">
      <c r="A469" s="96" t="s">
        <v>2275</v>
      </c>
      <c r="C469" s="86" t="s">
        <v>1685</v>
      </c>
      <c r="D469" s="86" t="s">
        <v>1718</v>
      </c>
      <c r="E469" s="86" t="s">
        <v>390</v>
      </c>
      <c r="F469" s="90">
        <f>VLOOKUP(C469,'WSS-26'!$C$1:$AU$617,10,)</f>
        <v>0</v>
      </c>
      <c r="G469" s="89">
        <f t="shared" si="256"/>
        <v>0</v>
      </c>
      <c r="H469" s="89">
        <f t="shared" si="256"/>
        <v>0</v>
      </c>
      <c r="I469" s="89">
        <f t="shared" si="256"/>
        <v>0</v>
      </c>
      <c r="J469" s="89">
        <f t="shared" si="256"/>
        <v>0</v>
      </c>
      <c r="K469" s="89">
        <f t="shared" si="256"/>
        <v>0</v>
      </c>
      <c r="L469" s="89">
        <f t="shared" si="256"/>
        <v>0</v>
      </c>
      <c r="M469" s="89">
        <f t="shared" si="256"/>
        <v>0</v>
      </c>
      <c r="N469" s="89">
        <f t="shared" si="256"/>
        <v>0</v>
      </c>
      <c r="O469" s="89">
        <f t="shared" si="256"/>
        <v>0</v>
      </c>
      <c r="P469" s="89">
        <f t="shared" si="256"/>
        <v>0</v>
      </c>
      <c r="Q469" s="89">
        <f t="shared" si="257"/>
        <v>0</v>
      </c>
      <c r="R469" s="89">
        <f t="shared" si="257"/>
        <v>0</v>
      </c>
      <c r="S469" s="89">
        <f t="shared" si="257"/>
        <v>0</v>
      </c>
      <c r="T469" s="89">
        <f t="shared" si="257"/>
        <v>0</v>
      </c>
      <c r="U469" s="89">
        <f t="shared" si="257"/>
        <v>0</v>
      </c>
      <c r="V469" s="89">
        <f t="shared" si="257"/>
        <v>0</v>
      </c>
      <c r="W469" s="89">
        <f t="shared" si="257"/>
        <v>0</v>
      </c>
      <c r="X469" s="91">
        <f t="shared" si="258"/>
        <v>0</v>
      </c>
      <c r="Y469" s="87" t="str">
        <f t="shared" si="259"/>
        <v>ok</v>
      </c>
      <c r="Z469" s="203" t="str">
        <f t="shared" si="260"/>
        <v/>
      </c>
    </row>
    <row r="470" spans="1:26" ht="12" hidden="1" customHeight="1" x14ac:dyDescent="0.5">
      <c r="A470" s="96" t="s">
        <v>2275</v>
      </c>
      <c r="C470" s="86" t="s">
        <v>1685</v>
      </c>
      <c r="D470" s="86" t="s">
        <v>1719</v>
      </c>
      <c r="E470" s="86" t="s">
        <v>390</v>
      </c>
      <c r="F470" s="90">
        <f>VLOOKUP(C470,'WSS-26'!$C$1:$AU$617,11,)</f>
        <v>0</v>
      </c>
      <c r="G470" s="89">
        <f t="shared" si="256"/>
        <v>0</v>
      </c>
      <c r="H470" s="89">
        <f t="shared" si="256"/>
        <v>0</v>
      </c>
      <c r="I470" s="89">
        <f t="shared" si="256"/>
        <v>0</v>
      </c>
      <c r="J470" s="89">
        <f t="shared" si="256"/>
        <v>0</v>
      </c>
      <c r="K470" s="89">
        <f t="shared" si="256"/>
        <v>0</v>
      </c>
      <c r="L470" s="89">
        <f t="shared" si="256"/>
        <v>0</v>
      </c>
      <c r="M470" s="89">
        <f t="shared" si="256"/>
        <v>0</v>
      </c>
      <c r="N470" s="89">
        <f t="shared" si="256"/>
        <v>0</v>
      </c>
      <c r="O470" s="89">
        <f t="shared" si="256"/>
        <v>0</v>
      </c>
      <c r="P470" s="89">
        <f t="shared" si="256"/>
        <v>0</v>
      </c>
      <c r="Q470" s="89">
        <f t="shared" si="257"/>
        <v>0</v>
      </c>
      <c r="R470" s="89">
        <f t="shared" si="257"/>
        <v>0</v>
      </c>
      <c r="S470" s="89">
        <f t="shared" si="257"/>
        <v>0</v>
      </c>
      <c r="T470" s="89">
        <f t="shared" si="257"/>
        <v>0</v>
      </c>
      <c r="U470" s="89">
        <f t="shared" si="257"/>
        <v>0</v>
      </c>
      <c r="V470" s="89">
        <f t="shared" si="257"/>
        <v>0</v>
      </c>
      <c r="W470" s="89">
        <f t="shared" si="257"/>
        <v>0</v>
      </c>
      <c r="X470" s="91">
        <f t="shared" si="258"/>
        <v>0</v>
      </c>
      <c r="Y470" s="87" t="str">
        <f t="shared" si="259"/>
        <v>ok</v>
      </c>
      <c r="Z470" s="203" t="str">
        <f t="shared" si="260"/>
        <v/>
      </c>
    </row>
    <row r="471" spans="1:26" ht="12" customHeight="1" x14ac:dyDescent="0.5">
      <c r="A471" s="86" t="s">
        <v>160</v>
      </c>
      <c r="D471" s="86" t="s">
        <v>409</v>
      </c>
      <c r="F471" s="89">
        <f t="shared" ref="F471:U471" si="261">SUM(F465:F470)</f>
        <v>8507901.3528177198</v>
      </c>
      <c r="G471" s="89">
        <f t="shared" si="261"/>
        <v>3488018.046679846</v>
      </c>
      <c r="H471" s="89">
        <f t="shared" ref="H471" si="262">SUM(H465:H470)</f>
        <v>3562.1714543501207</v>
      </c>
      <c r="I471" s="89">
        <f t="shared" si="261"/>
        <v>940433.82555909513</v>
      </c>
      <c r="J471" s="89">
        <f>SUM(J465:J470)</f>
        <v>60345.06967914581</v>
      </c>
      <c r="K471" s="89">
        <f>SUM(K465:K470)</f>
        <v>876992.1863399453</v>
      </c>
      <c r="L471" s="89">
        <f>SUM(L465:L470)</f>
        <v>38101.084820672484</v>
      </c>
      <c r="M471" s="89">
        <f t="shared" si="261"/>
        <v>843426.6173579843</v>
      </c>
      <c r="N471" s="89">
        <f t="shared" si="261"/>
        <v>1543985.7679895591</v>
      </c>
      <c r="O471" s="89">
        <f t="shared" si="261"/>
        <v>502590.61060918815</v>
      </c>
      <c r="P471" s="89">
        <f t="shared" si="261"/>
        <v>208122.08034259375</v>
      </c>
      <c r="Q471" s="89">
        <f>SUM(Q465:Q470)</f>
        <v>1356.551759141618</v>
      </c>
      <c r="R471" s="89">
        <f t="shared" si="261"/>
        <v>49.35552863523916</v>
      </c>
      <c r="S471" s="89">
        <f t="shared" si="261"/>
        <v>807.075453380461</v>
      </c>
      <c r="T471" s="89">
        <f t="shared" si="261"/>
        <v>103.88442649327872</v>
      </c>
      <c r="U471" s="89">
        <f t="shared" si="261"/>
        <v>7.0248176872801205</v>
      </c>
      <c r="V471" s="89">
        <f>SUM(V465:V470)</f>
        <v>0</v>
      </c>
      <c r="W471" s="89">
        <f>SUM(W465:W470)</f>
        <v>0</v>
      </c>
      <c r="X471" s="91">
        <f>SUM(G471:W471)</f>
        <v>8507901.3528177179</v>
      </c>
      <c r="Y471" s="87" t="str">
        <f>IF(ABS(F471-X471)&lt;0.01,"ok","err")</f>
        <v>ok</v>
      </c>
      <c r="Z471" s="91" t="str">
        <f>IF(Y471="err",X471-F471,"")</f>
        <v/>
      </c>
    </row>
    <row r="472" spans="1:26" ht="12" customHeight="1" x14ac:dyDescent="0.5">
      <c r="F472" s="90"/>
      <c r="G472" s="90"/>
      <c r="H472" s="90"/>
    </row>
    <row r="473" spans="1:26" ht="12" customHeight="1" x14ac:dyDescent="0.5">
      <c r="A473" s="23" t="s">
        <v>441</v>
      </c>
      <c r="F473" s="90"/>
      <c r="G473" s="90"/>
      <c r="H473" s="90"/>
    </row>
    <row r="474" spans="1:26" ht="12" customHeight="1" x14ac:dyDescent="0.5">
      <c r="A474" s="96" t="s">
        <v>2247</v>
      </c>
      <c r="C474" s="86" t="s">
        <v>1685</v>
      </c>
      <c r="D474" s="86" t="s">
        <v>1720</v>
      </c>
      <c r="E474" s="86" t="s">
        <v>2248</v>
      </c>
      <c r="F474" s="89">
        <f>VLOOKUP(C474,'WSS-26'!$C$1:$AU$617,13,)</f>
        <v>1945145.602642254</v>
      </c>
      <c r="G474" s="89">
        <f t="shared" ref="G474:P476" si="263">IF(VLOOKUP($E474,$D$5:$W$978,3,)=0,0,(VLOOKUP($E474,$D$5:$W$978,G$1,)/VLOOKUP($E474,$D$5:$W$978,3,))*$F474)</f>
        <v>857689.69035751338</v>
      </c>
      <c r="H474" s="89">
        <f t="shared" si="263"/>
        <v>2755.5403488475249</v>
      </c>
      <c r="I474" s="89">
        <f t="shared" si="263"/>
        <v>220672.33290261455</v>
      </c>
      <c r="J474" s="89">
        <f t="shared" si="263"/>
        <v>22584.553610362003</v>
      </c>
      <c r="K474" s="89">
        <f t="shared" si="263"/>
        <v>196858.99963973972</v>
      </c>
      <c r="L474" s="89">
        <f t="shared" si="263"/>
        <v>8459.1918941323147</v>
      </c>
      <c r="M474" s="89">
        <f t="shared" si="263"/>
        <v>174154.2393993962</v>
      </c>
      <c r="N474" s="89">
        <f t="shared" si="263"/>
        <v>283633.66463155393</v>
      </c>
      <c r="O474" s="89">
        <f t="shared" si="263"/>
        <v>98358.023245501929</v>
      </c>
      <c r="P474" s="89">
        <f t="shared" si="263"/>
        <v>65907.419965537483</v>
      </c>
      <c r="Q474" s="89">
        <f t="shared" ref="Q474:W476" si="264">IF(VLOOKUP($E474,$D$5:$W$978,3,)=0,0,(VLOOKUP($E474,$D$5:$W$978,Q$1,)/VLOOKUP($E474,$D$5:$W$978,3,))*$F474)</f>
        <v>13274.479564767262</v>
      </c>
      <c r="R474" s="89">
        <f t="shared" si="264"/>
        <v>482.96642709109756</v>
      </c>
      <c r="S474" s="89">
        <f t="shared" si="264"/>
        <v>130.12295183823343</v>
      </c>
      <c r="T474" s="89">
        <f t="shared" si="264"/>
        <v>183.23432684604862</v>
      </c>
      <c r="U474" s="89">
        <f t="shared" si="264"/>
        <v>1.1433765124638946</v>
      </c>
      <c r="V474" s="89">
        <f t="shared" si="264"/>
        <v>0</v>
      </c>
      <c r="W474" s="89">
        <f t="shared" si="264"/>
        <v>0</v>
      </c>
      <c r="X474" s="91">
        <f>SUM(G474:W474)</f>
        <v>1945145.6026422542</v>
      </c>
      <c r="Y474" s="87" t="str">
        <f>IF(ABS(F474-X474)&lt;0.01,"ok","err")</f>
        <v>ok</v>
      </c>
      <c r="Z474" s="203" t="str">
        <f>IF(Y474="err",X474-F474,"")</f>
        <v/>
      </c>
    </row>
    <row r="475" spans="1:26" ht="12" hidden="1" customHeight="1" x14ac:dyDescent="0.5">
      <c r="A475" s="96" t="s">
        <v>2246</v>
      </c>
      <c r="C475" s="86" t="s">
        <v>1685</v>
      </c>
      <c r="D475" s="86" t="s">
        <v>1721</v>
      </c>
      <c r="E475" s="86" t="s">
        <v>2248</v>
      </c>
      <c r="F475" s="90">
        <f>VLOOKUP(C475,'WSS-26'!$C$1:$AU$617,14,)</f>
        <v>0</v>
      </c>
      <c r="G475" s="89">
        <f t="shared" si="263"/>
        <v>0</v>
      </c>
      <c r="H475" s="89">
        <f t="shared" si="263"/>
        <v>0</v>
      </c>
      <c r="I475" s="89">
        <f t="shared" si="263"/>
        <v>0</v>
      </c>
      <c r="J475" s="89">
        <f t="shared" si="263"/>
        <v>0</v>
      </c>
      <c r="K475" s="89">
        <f t="shared" si="263"/>
        <v>0</v>
      </c>
      <c r="L475" s="89">
        <f t="shared" si="263"/>
        <v>0</v>
      </c>
      <c r="M475" s="89">
        <f t="shared" si="263"/>
        <v>0</v>
      </c>
      <c r="N475" s="89">
        <f t="shared" si="263"/>
        <v>0</v>
      </c>
      <c r="O475" s="89">
        <f t="shared" si="263"/>
        <v>0</v>
      </c>
      <c r="P475" s="89">
        <f t="shared" si="263"/>
        <v>0</v>
      </c>
      <c r="Q475" s="89">
        <f t="shared" si="264"/>
        <v>0</v>
      </c>
      <c r="R475" s="89">
        <f t="shared" si="264"/>
        <v>0</v>
      </c>
      <c r="S475" s="89">
        <f t="shared" si="264"/>
        <v>0</v>
      </c>
      <c r="T475" s="89">
        <f t="shared" si="264"/>
        <v>0</v>
      </c>
      <c r="U475" s="89">
        <f t="shared" si="264"/>
        <v>0</v>
      </c>
      <c r="V475" s="89">
        <f t="shared" si="264"/>
        <v>0</v>
      </c>
      <c r="W475" s="89">
        <f t="shared" si="264"/>
        <v>0</v>
      </c>
      <c r="X475" s="91">
        <f>SUM(G475:W475)</f>
        <v>0</v>
      </c>
      <c r="Y475" s="87" t="str">
        <f>IF(ABS(F475-X475)&lt;0.01,"ok","err")</f>
        <v>ok</v>
      </c>
      <c r="Z475" s="203" t="str">
        <f>IF(Y475="err",X475-F475,"")</f>
        <v/>
      </c>
    </row>
    <row r="476" spans="1:26" ht="12" hidden="1" customHeight="1" x14ac:dyDescent="0.5">
      <c r="A476" s="96" t="s">
        <v>2246</v>
      </c>
      <c r="C476" s="86" t="s">
        <v>1685</v>
      </c>
      <c r="D476" s="86" t="s">
        <v>1722</v>
      </c>
      <c r="E476" s="86" t="s">
        <v>2248</v>
      </c>
      <c r="F476" s="90">
        <f>VLOOKUP(C476,'WSS-26'!$C$1:$AU$617,15,)</f>
        <v>0</v>
      </c>
      <c r="G476" s="89">
        <f t="shared" si="263"/>
        <v>0</v>
      </c>
      <c r="H476" s="89">
        <f t="shared" si="263"/>
        <v>0</v>
      </c>
      <c r="I476" s="89">
        <f t="shared" si="263"/>
        <v>0</v>
      </c>
      <c r="J476" s="89">
        <f t="shared" si="263"/>
        <v>0</v>
      </c>
      <c r="K476" s="89">
        <f t="shared" si="263"/>
        <v>0</v>
      </c>
      <c r="L476" s="89">
        <f t="shared" si="263"/>
        <v>0</v>
      </c>
      <c r="M476" s="89">
        <f t="shared" si="263"/>
        <v>0</v>
      </c>
      <c r="N476" s="89">
        <f t="shared" si="263"/>
        <v>0</v>
      </c>
      <c r="O476" s="89">
        <f t="shared" si="263"/>
        <v>0</v>
      </c>
      <c r="P476" s="89">
        <f t="shared" si="263"/>
        <v>0</v>
      </c>
      <c r="Q476" s="89">
        <f t="shared" si="264"/>
        <v>0</v>
      </c>
      <c r="R476" s="89">
        <f t="shared" si="264"/>
        <v>0</v>
      </c>
      <c r="S476" s="89">
        <f t="shared" si="264"/>
        <v>0</v>
      </c>
      <c r="T476" s="89">
        <f t="shared" si="264"/>
        <v>0</v>
      </c>
      <c r="U476" s="89">
        <f t="shared" si="264"/>
        <v>0</v>
      </c>
      <c r="V476" s="89">
        <f t="shared" si="264"/>
        <v>0</v>
      </c>
      <c r="W476" s="89">
        <f t="shared" si="264"/>
        <v>0</v>
      </c>
      <c r="X476" s="91">
        <f>SUM(G476:W476)</f>
        <v>0</v>
      </c>
      <c r="Y476" s="87" t="str">
        <f>IF(ABS(F476-X476)&lt;0.01,"ok","err")</f>
        <v>ok</v>
      </c>
      <c r="Z476" s="203" t="str">
        <f>IF(Y476="err",X476-F476,"")</f>
        <v/>
      </c>
    </row>
    <row r="477" spans="1:26" ht="12" hidden="1" customHeight="1" x14ac:dyDescent="0.5">
      <c r="A477" s="86" t="s">
        <v>443</v>
      </c>
      <c r="D477" s="86" t="s">
        <v>1723</v>
      </c>
      <c r="F477" s="89">
        <f t="shared" ref="F477:U477" si="265">SUM(F474:F476)</f>
        <v>1945145.602642254</v>
      </c>
      <c r="G477" s="89">
        <f t="shared" si="265"/>
        <v>857689.69035751338</v>
      </c>
      <c r="H477" s="89">
        <f t="shared" ref="H477" si="266">SUM(H474:H476)</f>
        <v>2755.5403488475249</v>
      </c>
      <c r="I477" s="89">
        <f t="shared" si="265"/>
        <v>220672.33290261455</v>
      </c>
      <c r="J477" s="89">
        <f>SUM(J474:J476)</f>
        <v>22584.553610362003</v>
      </c>
      <c r="K477" s="89">
        <f>SUM(K474:K476)</f>
        <v>196858.99963973972</v>
      </c>
      <c r="L477" s="89">
        <f>SUM(L474:L476)</f>
        <v>8459.1918941323147</v>
      </c>
      <c r="M477" s="89">
        <f t="shared" si="265"/>
        <v>174154.2393993962</v>
      </c>
      <c r="N477" s="89">
        <f t="shared" si="265"/>
        <v>283633.66463155393</v>
      </c>
      <c r="O477" s="89">
        <f t="shared" si="265"/>
        <v>98358.023245501929</v>
      </c>
      <c r="P477" s="89">
        <f t="shared" si="265"/>
        <v>65907.419965537483</v>
      </c>
      <c r="Q477" s="89">
        <f>SUM(Q474:Q476)</f>
        <v>13274.479564767262</v>
      </c>
      <c r="R477" s="89">
        <f t="shared" si="265"/>
        <v>482.96642709109756</v>
      </c>
      <c r="S477" s="89">
        <f t="shared" si="265"/>
        <v>130.12295183823343</v>
      </c>
      <c r="T477" s="89">
        <f t="shared" si="265"/>
        <v>183.23432684604862</v>
      </c>
      <c r="U477" s="89">
        <f t="shared" si="265"/>
        <v>1.1433765124638946</v>
      </c>
      <c r="V477" s="89">
        <f>SUM(V474:V476)</f>
        <v>0</v>
      </c>
      <c r="W477" s="89">
        <f>SUM(W474:W476)</f>
        <v>0</v>
      </c>
      <c r="X477" s="91">
        <f>SUM(G477:W477)</f>
        <v>1945145.6026422542</v>
      </c>
      <c r="Y477" s="87" t="str">
        <f>IF(ABS(F477-X477)&lt;0.01,"ok","err")</f>
        <v>ok</v>
      </c>
      <c r="Z477" s="91" t="str">
        <f>IF(Y477="err",X477-F477,"")</f>
        <v/>
      </c>
    </row>
    <row r="478" spans="1:26" ht="12" customHeight="1" x14ac:dyDescent="0.5">
      <c r="F478" s="90"/>
      <c r="G478" s="90"/>
      <c r="H478" s="90"/>
    </row>
    <row r="479" spans="1:26" ht="12" customHeight="1" x14ac:dyDescent="0.5">
      <c r="A479" s="23" t="s">
        <v>1627</v>
      </c>
      <c r="F479" s="90"/>
      <c r="G479" s="90"/>
      <c r="H479" s="90"/>
    </row>
    <row r="480" spans="1:26" ht="12" customHeight="1" x14ac:dyDescent="0.5">
      <c r="A480" s="96" t="s">
        <v>145</v>
      </c>
      <c r="C480" s="86" t="s">
        <v>1685</v>
      </c>
      <c r="D480" s="86" t="s">
        <v>1724</v>
      </c>
      <c r="E480" s="86" t="s">
        <v>2252</v>
      </c>
      <c r="F480" s="89">
        <f>VLOOKUP(C480,'WSS-26'!$C$1:$AU$617,17,)</f>
        <v>0</v>
      </c>
      <c r="G480" s="89">
        <f t="shared" ref="G480:W480" si="267">IF(VLOOKUP($E480,$D$5:$W$978,3,)=0,0,(VLOOKUP($E480,$D$5:$W$978,G$1,)/VLOOKUP($E480,$D$5:$W$978,3,))*$F480)</f>
        <v>0</v>
      </c>
      <c r="H480" s="89">
        <f t="shared" si="267"/>
        <v>0</v>
      </c>
      <c r="I480" s="89">
        <f t="shared" si="267"/>
        <v>0</v>
      </c>
      <c r="J480" s="89">
        <f t="shared" si="267"/>
        <v>0</v>
      </c>
      <c r="K480" s="89">
        <f t="shared" si="267"/>
        <v>0</v>
      </c>
      <c r="L480" s="89">
        <f t="shared" si="267"/>
        <v>0</v>
      </c>
      <c r="M480" s="89">
        <f t="shared" si="267"/>
        <v>0</v>
      </c>
      <c r="N480" s="89">
        <f t="shared" si="267"/>
        <v>0</v>
      </c>
      <c r="O480" s="89">
        <f t="shared" si="267"/>
        <v>0</v>
      </c>
      <c r="P480" s="89">
        <f t="shared" si="267"/>
        <v>0</v>
      </c>
      <c r="Q480" s="89">
        <f t="shared" si="267"/>
        <v>0</v>
      </c>
      <c r="R480" s="89">
        <f t="shared" si="267"/>
        <v>0</v>
      </c>
      <c r="S480" s="89">
        <f t="shared" si="267"/>
        <v>0</v>
      </c>
      <c r="T480" s="89">
        <f t="shared" si="267"/>
        <v>0</v>
      </c>
      <c r="U480" s="89">
        <f t="shared" si="267"/>
        <v>0</v>
      </c>
      <c r="V480" s="89">
        <f t="shared" si="267"/>
        <v>0</v>
      </c>
      <c r="W480" s="89">
        <f t="shared" si="267"/>
        <v>0</v>
      </c>
      <c r="X480" s="91">
        <f>SUM(G480:W480)</f>
        <v>0</v>
      </c>
      <c r="Y480" s="87" t="str">
        <f>IF(ABS(F480-X480)&lt;0.01,"ok","err")</f>
        <v>ok</v>
      </c>
      <c r="Z480" s="203" t="str">
        <f>IF(Y480="err",X480-F480,"")</f>
        <v/>
      </c>
    </row>
    <row r="481" spans="1:26" ht="12" customHeight="1" x14ac:dyDescent="0.5">
      <c r="F481" s="90"/>
    </row>
    <row r="482" spans="1:26" ht="12" customHeight="1" x14ac:dyDescent="0.5">
      <c r="A482" s="23" t="s">
        <v>1628</v>
      </c>
      <c r="F482" s="90"/>
      <c r="G482" s="90"/>
      <c r="H482" s="90"/>
    </row>
    <row r="483" spans="1:26" ht="12" customHeight="1" x14ac:dyDescent="0.5">
      <c r="A483" s="96" t="s">
        <v>147</v>
      </c>
      <c r="C483" s="86" t="s">
        <v>1685</v>
      </c>
      <c r="D483" s="86" t="s">
        <v>1725</v>
      </c>
      <c r="E483" s="86" t="s">
        <v>2252</v>
      </c>
      <c r="F483" s="89">
        <f>VLOOKUP(C483,'WSS-26'!$C$1:$AU$617,18,)</f>
        <v>500992.42484112654</v>
      </c>
      <c r="G483" s="89">
        <f t="shared" ref="G483:W483" si="268">IF(VLOOKUP($E483,$D$5:$W$978,3,)=0,0,(VLOOKUP($E483,$D$5:$W$978,G$1,)/VLOOKUP($E483,$D$5:$W$978,3,))*$F483)</f>
        <v>241282.96082016194</v>
      </c>
      <c r="H483" s="89">
        <f t="shared" si="268"/>
        <v>775.18121239421112</v>
      </c>
      <c r="I483" s="89">
        <f t="shared" si="268"/>
        <v>62078.948193537486</v>
      </c>
      <c r="J483" s="89">
        <f t="shared" si="268"/>
        <v>6353.4259828148179</v>
      </c>
      <c r="K483" s="89">
        <f t="shared" si="268"/>
        <v>55379.845218114438</v>
      </c>
      <c r="L483" s="89">
        <f t="shared" si="268"/>
        <v>2379.7171509796021</v>
      </c>
      <c r="M483" s="89">
        <f t="shared" si="268"/>
        <v>48992.603028904436</v>
      </c>
      <c r="N483" s="89">
        <f t="shared" si="268"/>
        <v>79791.060986226614</v>
      </c>
      <c r="O483" s="89">
        <f t="shared" si="268"/>
        <v>0</v>
      </c>
      <c r="P483" s="89">
        <f t="shared" si="268"/>
        <v>0</v>
      </c>
      <c r="Q483" s="89">
        <f t="shared" si="268"/>
        <v>3734.340949578982</v>
      </c>
      <c r="R483" s="89">
        <f t="shared" si="268"/>
        <v>135.86681851882898</v>
      </c>
      <c r="S483" s="89">
        <f t="shared" si="268"/>
        <v>36.605839434890747</v>
      </c>
      <c r="T483" s="89">
        <f t="shared" si="268"/>
        <v>51.546988849632974</v>
      </c>
      <c r="U483" s="89">
        <f t="shared" si="268"/>
        <v>0.32165161055454045</v>
      </c>
      <c r="V483" s="89">
        <f t="shared" si="268"/>
        <v>0</v>
      </c>
      <c r="W483" s="89">
        <f t="shared" si="268"/>
        <v>0</v>
      </c>
      <c r="X483" s="91">
        <f>SUM(G483:W483)</f>
        <v>500992.42484112643</v>
      </c>
      <c r="Y483" s="87" t="str">
        <f>IF(ABS(F483-X483)&lt;0.01,"ok","err")</f>
        <v>ok</v>
      </c>
      <c r="Z483" s="203" t="str">
        <f>IF(Y483="err",X483-F483,"")</f>
        <v/>
      </c>
    </row>
    <row r="484" spans="1:26" ht="12" customHeight="1" x14ac:dyDescent="0.5">
      <c r="F484" s="90"/>
    </row>
    <row r="485" spans="1:26" ht="12" customHeight="1" x14ac:dyDescent="0.5">
      <c r="A485" s="23" t="s">
        <v>146</v>
      </c>
      <c r="F485" s="90"/>
    </row>
    <row r="486" spans="1:26" ht="12" customHeight="1" x14ac:dyDescent="0.5">
      <c r="A486" s="96" t="s">
        <v>791</v>
      </c>
      <c r="C486" s="86" t="s">
        <v>1685</v>
      </c>
      <c r="D486" s="86" t="s">
        <v>1726</v>
      </c>
      <c r="E486" s="86" t="s">
        <v>2252</v>
      </c>
      <c r="F486" s="89">
        <f>VLOOKUP(C486,'WSS-26'!$C$1:$AU$617,19,)</f>
        <v>0</v>
      </c>
      <c r="G486" s="89">
        <f t="shared" ref="G486:P490" si="269">IF(VLOOKUP($E486,$D$5:$W$978,3,)=0,0,(VLOOKUP($E486,$D$5:$W$978,G$1,)/VLOOKUP($E486,$D$5:$W$978,3,))*$F486)</f>
        <v>0</v>
      </c>
      <c r="H486" s="89">
        <f t="shared" si="269"/>
        <v>0</v>
      </c>
      <c r="I486" s="89">
        <f t="shared" si="269"/>
        <v>0</v>
      </c>
      <c r="J486" s="89">
        <f t="shared" si="269"/>
        <v>0</v>
      </c>
      <c r="K486" s="89">
        <f t="shared" si="269"/>
        <v>0</v>
      </c>
      <c r="L486" s="89">
        <f t="shared" si="269"/>
        <v>0</v>
      </c>
      <c r="M486" s="89">
        <f t="shared" si="269"/>
        <v>0</v>
      </c>
      <c r="N486" s="89">
        <f t="shared" si="269"/>
        <v>0</v>
      </c>
      <c r="O486" s="89">
        <f t="shared" si="269"/>
        <v>0</v>
      </c>
      <c r="P486" s="89">
        <f t="shared" si="269"/>
        <v>0</v>
      </c>
      <c r="Q486" s="89">
        <f t="shared" ref="Q486:W490" si="270">IF(VLOOKUP($E486,$D$5:$W$978,3,)=0,0,(VLOOKUP($E486,$D$5:$W$978,Q$1,)/VLOOKUP($E486,$D$5:$W$978,3,))*$F486)</f>
        <v>0</v>
      </c>
      <c r="R486" s="89">
        <f t="shared" si="270"/>
        <v>0</v>
      </c>
      <c r="S486" s="89">
        <f t="shared" si="270"/>
        <v>0</v>
      </c>
      <c r="T486" s="89">
        <f t="shared" si="270"/>
        <v>0</v>
      </c>
      <c r="U486" s="89">
        <f t="shared" si="270"/>
        <v>0</v>
      </c>
      <c r="V486" s="89">
        <f t="shared" si="270"/>
        <v>0</v>
      </c>
      <c r="W486" s="89">
        <f t="shared" si="270"/>
        <v>0</v>
      </c>
      <c r="X486" s="91">
        <f t="shared" ref="X486:X491" si="271">SUM(G486:W486)</f>
        <v>0</v>
      </c>
      <c r="Y486" s="87" t="str">
        <f t="shared" ref="Y486:Y491" si="272">IF(ABS(F486-X486)&lt;0.01,"ok","err")</f>
        <v>ok</v>
      </c>
      <c r="Z486" s="203" t="str">
        <f t="shared" ref="Z486:Z491" si="273">IF(Y486="err",X486-F486,"")</f>
        <v/>
      </c>
    </row>
    <row r="487" spans="1:26" ht="12" customHeight="1" x14ac:dyDescent="0.5">
      <c r="A487" s="96" t="s">
        <v>792</v>
      </c>
      <c r="C487" s="86" t="s">
        <v>1685</v>
      </c>
      <c r="D487" s="86" t="s">
        <v>1727</v>
      </c>
      <c r="E487" s="86" t="s">
        <v>2252</v>
      </c>
      <c r="F487" s="90">
        <f>VLOOKUP(C487,'WSS-26'!$C$1:$AU$617,20,)</f>
        <v>398465.99176428304</v>
      </c>
      <c r="G487" s="89">
        <f t="shared" si="269"/>
        <v>191905.20557175513</v>
      </c>
      <c r="H487" s="89">
        <f t="shared" si="269"/>
        <v>616.54295609689302</v>
      </c>
      <c r="I487" s="89">
        <f t="shared" si="269"/>
        <v>49374.697965674408</v>
      </c>
      <c r="J487" s="89">
        <f t="shared" si="269"/>
        <v>5053.218491569196</v>
      </c>
      <c r="K487" s="89">
        <f t="shared" si="269"/>
        <v>44046.544128059992</v>
      </c>
      <c r="L487" s="89">
        <f t="shared" si="269"/>
        <v>1892.7159527097911</v>
      </c>
      <c r="M487" s="89">
        <f t="shared" si="269"/>
        <v>38966.42980423697</v>
      </c>
      <c r="N487" s="89">
        <f t="shared" si="269"/>
        <v>63462.085798769556</v>
      </c>
      <c r="O487" s="89">
        <f t="shared" si="269"/>
        <v>0</v>
      </c>
      <c r="P487" s="89">
        <f t="shared" si="269"/>
        <v>0</v>
      </c>
      <c r="Q487" s="89">
        <f t="shared" si="270"/>
        <v>2970.1204973944205</v>
      </c>
      <c r="R487" s="89">
        <f t="shared" si="270"/>
        <v>108.06212610127039</v>
      </c>
      <c r="S487" s="89">
        <f t="shared" si="270"/>
        <v>29.114576172311143</v>
      </c>
      <c r="T487" s="89">
        <f t="shared" si="270"/>
        <v>40.998069064507206</v>
      </c>
      <c r="U487" s="89">
        <f t="shared" si="270"/>
        <v>0.25582667850284957</v>
      </c>
      <c r="V487" s="89">
        <f t="shared" si="270"/>
        <v>0</v>
      </c>
      <c r="W487" s="89">
        <f t="shared" si="270"/>
        <v>0</v>
      </c>
      <c r="X487" s="91">
        <f t="shared" si="271"/>
        <v>398465.99176428292</v>
      </c>
      <c r="Y487" s="87" t="str">
        <f t="shared" si="272"/>
        <v>ok</v>
      </c>
      <c r="Z487" s="203" t="str">
        <f t="shared" si="273"/>
        <v/>
      </c>
    </row>
    <row r="488" spans="1:26" ht="12" customHeight="1" x14ac:dyDescent="0.5">
      <c r="A488" s="96" t="s">
        <v>793</v>
      </c>
      <c r="C488" s="86" t="s">
        <v>1685</v>
      </c>
      <c r="D488" s="86" t="s">
        <v>1728</v>
      </c>
      <c r="E488" s="86" t="s">
        <v>904</v>
      </c>
      <c r="F488" s="90">
        <f>VLOOKUP(C488,'WSS-26'!$C$1:$AU$617,21,)</f>
        <v>774524.31067157036</v>
      </c>
      <c r="G488" s="89">
        <f t="shared" si="269"/>
        <v>621278.08052067924</v>
      </c>
      <c r="H488" s="89">
        <f t="shared" si="269"/>
        <v>908.6467616106072</v>
      </c>
      <c r="I488" s="89">
        <f t="shared" si="269"/>
        <v>116441.81658385838</v>
      </c>
      <c r="J488" s="89">
        <f t="shared" si="269"/>
        <v>596.38734817785985</v>
      </c>
      <c r="K488" s="89">
        <f t="shared" si="269"/>
        <v>6246.5948425893303</v>
      </c>
      <c r="L488" s="89">
        <f t="shared" si="269"/>
        <v>286.94108261387595</v>
      </c>
      <c r="M488" s="89">
        <f t="shared" si="269"/>
        <v>1077.4356337364165</v>
      </c>
      <c r="N488" s="89">
        <f t="shared" si="269"/>
        <v>360.0829272017267</v>
      </c>
      <c r="O488" s="89">
        <f t="shared" si="269"/>
        <v>0</v>
      </c>
      <c r="P488" s="89">
        <f t="shared" si="269"/>
        <v>0</v>
      </c>
      <c r="Q488" s="89">
        <f t="shared" si="270"/>
        <v>27083.581106520502</v>
      </c>
      <c r="R488" s="89">
        <f t="shared" si="270"/>
        <v>16.878887212580942</v>
      </c>
      <c r="S488" s="89">
        <f t="shared" si="270"/>
        <v>208.17294228849826</v>
      </c>
      <c r="T488" s="89">
        <f t="shared" si="270"/>
        <v>5.6262957375269798</v>
      </c>
      <c r="U488" s="89">
        <f t="shared" si="270"/>
        <v>14.065739343817448</v>
      </c>
      <c r="V488" s="89">
        <f t="shared" si="270"/>
        <v>0</v>
      </c>
      <c r="W488" s="89">
        <f t="shared" si="270"/>
        <v>0</v>
      </c>
      <c r="X488" s="91">
        <f t="shared" si="271"/>
        <v>774524.31067157048</v>
      </c>
      <c r="Y488" s="87" t="str">
        <f t="shared" si="272"/>
        <v>ok</v>
      </c>
      <c r="Z488" s="203" t="str">
        <f t="shared" si="273"/>
        <v/>
      </c>
    </row>
    <row r="489" spans="1:26" ht="12" customHeight="1" x14ac:dyDescent="0.5">
      <c r="A489" s="96" t="s">
        <v>794</v>
      </c>
      <c r="C489" s="86" t="s">
        <v>1685</v>
      </c>
      <c r="D489" s="86" t="s">
        <v>1729</v>
      </c>
      <c r="E489" s="86" t="s">
        <v>733</v>
      </c>
      <c r="F489" s="90">
        <f>VLOOKUP(C489,'WSS-26'!$C$1:$AU$617,22,)</f>
        <v>179383.29348936616</v>
      </c>
      <c r="G489" s="89">
        <f t="shared" si="269"/>
        <v>148149.13619258418</v>
      </c>
      <c r="H489" s="89">
        <f t="shared" si="269"/>
        <v>445.49618346304663</v>
      </c>
      <c r="I489" s="89">
        <f t="shared" si="269"/>
        <v>27700.993845385838</v>
      </c>
      <c r="J489" s="89">
        <f t="shared" si="269"/>
        <v>2007.9141662969457</v>
      </c>
      <c r="K489" s="89">
        <f t="shared" si="269"/>
        <v>0</v>
      </c>
      <c r="L489" s="89">
        <f t="shared" si="269"/>
        <v>0</v>
      </c>
      <c r="M489" s="89">
        <f t="shared" si="269"/>
        <v>0</v>
      </c>
      <c r="N489" s="89">
        <f t="shared" si="269"/>
        <v>0</v>
      </c>
      <c r="O489" s="89">
        <f t="shared" si="269"/>
        <v>0</v>
      </c>
      <c r="P489" s="89">
        <f t="shared" si="269"/>
        <v>0</v>
      </c>
      <c r="Q489" s="89">
        <f t="shared" si="270"/>
        <v>1032.0006745195233</v>
      </c>
      <c r="R489" s="89">
        <f t="shared" si="270"/>
        <v>37.54736116745346</v>
      </c>
      <c r="S489" s="89">
        <f t="shared" si="270"/>
        <v>10.116176186970744</v>
      </c>
      <c r="T489" s="89">
        <f t="shared" si="270"/>
        <v>0</v>
      </c>
      <c r="U489" s="89">
        <f t="shared" si="270"/>
        <v>8.8889762218953505E-2</v>
      </c>
      <c r="V489" s="89">
        <f t="shared" si="270"/>
        <v>0</v>
      </c>
      <c r="W489" s="89">
        <f t="shared" si="270"/>
        <v>0</v>
      </c>
      <c r="X489" s="91">
        <f t="shared" si="271"/>
        <v>179383.29348936619</v>
      </c>
      <c r="Y489" s="87" t="str">
        <f t="shared" si="272"/>
        <v>ok</v>
      </c>
      <c r="Z489" s="203" t="str">
        <f t="shared" si="273"/>
        <v/>
      </c>
    </row>
    <row r="490" spans="1:26" ht="12" customHeight="1" x14ac:dyDescent="0.5">
      <c r="A490" s="96" t="s">
        <v>795</v>
      </c>
      <c r="C490" s="86" t="s">
        <v>1685</v>
      </c>
      <c r="D490" s="86" t="s">
        <v>1730</v>
      </c>
      <c r="E490" s="86" t="s">
        <v>903</v>
      </c>
      <c r="F490" s="90">
        <f>VLOOKUP(C490,'WSS-26'!$C$1:$AU$617,23,)</f>
        <v>362130.31535748491</v>
      </c>
      <c r="G490" s="89">
        <f t="shared" si="269"/>
        <v>290722.61339281563</v>
      </c>
      <c r="H490" s="89">
        <f t="shared" si="269"/>
        <v>425.19472273183118</v>
      </c>
      <c r="I490" s="89">
        <f t="shared" si="269"/>
        <v>54488.111341535463</v>
      </c>
      <c r="J490" s="89">
        <f t="shared" si="269"/>
        <v>279.07517405309039</v>
      </c>
      <c r="K490" s="89">
        <f t="shared" si="269"/>
        <v>2923.0491697400344</v>
      </c>
      <c r="L490" s="89">
        <f t="shared" si="269"/>
        <v>0</v>
      </c>
      <c r="M490" s="89">
        <f t="shared" si="269"/>
        <v>504.17826255817744</v>
      </c>
      <c r="N490" s="89">
        <f t="shared" si="269"/>
        <v>0</v>
      </c>
      <c r="O490" s="89">
        <f t="shared" si="269"/>
        <v>0</v>
      </c>
      <c r="P490" s="89">
        <f t="shared" si="269"/>
        <v>0</v>
      </c>
      <c r="Q490" s="89">
        <f t="shared" si="270"/>
        <v>12673.567161302492</v>
      </c>
      <c r="R490" s="89">
        <f t="shared" si="270"/>
        <v>7.8983539826346352</v>
      </c>
      <c r="S490" s="89">
        <f t="shared" si="270"/>
        <v>97.413032452493837</v>
      </c>
      <c r="T490" s="89">
        <f t="shared" si="270"/>
        <v>2.6327846608782113</v>
      </c>
      <c r="U490" s="89">
        <f t="shared" si="270"/>
        <v>6.5819616521955284</v>
      </c>
      <c r="V490" s="89">
        <f t="shared" si="270"/>
        <v>0</v>
      </c>
      <c r="W490" s="89">
        <f t="shared" si="270"/>
        <v>0</v>
      </c>
      <c r="X490" s="91">
        <f t="shared" si="271"/>
        <v>362130.31535748503</v>
      </c>
      <c r="Y490" s="87" t="str">
        <f t="shared" si="272"/>
        <v>ok</v>
      </c>
      <c r="Z490" s="203" t="str">
        <f t="shared" si="273"/>
        <v/>
      </c>
    </row>
    <row r="491" spans="1:26" ht="12" customHeight="1" x14ac:dyDescent="0.5">
      <c r="A491" s="86" t="s">
        <v>151</v>
      </c>
      <c r="D491" s="86" t="s">
        <v>1731</v>
      </c>
      <c r="F491" s="89">
        <f>SUM(F486:F490)</f>
        <v>1714503.9112827044</v>
      </c>
      <c r="G491" s="89">
        <f t="shared" ref="G491:U491" si="274">SUM(G486:G490)</f>
        <v>1252055.0356778342</v>
      </c>
      <c r="H491" s="89">
        <f t="shared" ref="H491" si="275">SUM(H486:H490)</f>
        <v>2395.8806239023779</v>
      </c>
      <c r="I491" s="89">
        <f t="shared" si="274"/>
        <v>248005.6197364541</v>
      </c>
      <c r="J491" s="89">
        <f>SUM(J486:J490)</f>
        <v>7936.5951800970925</v>
      </c>
      <c r="K491" s="89">
        <f>SUM(K486:K490)</f>
        <v>53216.188140389357</v>
      </c>
      <c r="L491" s="89">
        <f>SUM(L486:L490)</f>
        <v>2179.6570353236671</v>
      </c>
      <c r="M491" s="89">
        <f t="shared" si="274"/>
        <v>40548.043700531562</v>
      </c>
      <c r="N491" s="89">
        <f t="shared" si="274"/>
        <v>63822.168725971285</v>
      </c>
      <c r="O491" s="89">
        <f t="shared" si="274"/>
        <v>0</v>
      </c>
      <c r="P491" s="89">
        <f t="shared" si="274"/>
        <v>0</v>
      </c>
      <c r="Q491" s="89">
        <f>SUM(Q486:Q490)</f>
        <v>43759.269439736941</v>
      </c>
      <c r="R491" s="89">
        <f t="shared" si="274"/>
        <v>170.38672846393942</v>
      </c>
      <c r="S491" s="89">
        <f t="shared" si="274"/>
        <v>344.81672710027397</v>
      </c>
      <c r="T491" s="89">
        <f t="shared" si="274"/>
        <v>49.257149462912395</v>
      </c>
      <c r="U491" s="89">
        <f t="shared" si="274"/>
        <v>20.99241743673478</v>
      </c>
      <c r="V491" s="89">
        <f>SUM(V486:V490)</f>
        <v>0</v>
      </c>
      <c r="W491" s="89">
        <f>SUM(W486:W490)</f>
        <v>0</v>
      </c>
      <c r="X491" s="91">
        <f t="shared" si="271"/>
        <v>1714503.911282704</v>
      </c>
      <c r="Y491" s="87" t="str">
        <f t="shared" si="272"/>
        <v>ok</v>
      </c>
      <c r="Z491" s="91" t="str">
        <f t="shared" si="273"/>
        <v/>
      </c>
    </row>
    <row r="492" spans="1:26" ht="12" customHeight="1" x14ac:dyDescent="0.5">
      <c r="F492" s="90"/>
    </row>
    <row r="493" spans="1:26" ht="12" customHeight="1" x14ac:dyDescent="0.5">
      <c r="A493" s="23" t="s">
        <v>790</v>
      </c>
      <c r="F493" s="90"/>
    </row>
    <row r="494" spans="1:26" ht="12" customHeight="1" x14ac:dyDescent="0.5">
      <c r="A494" s="96" t="s">
        <v>389</v>
      </c>
      <c r="C494" s="86" t="s">
        <v>1685</v>
      </c>
      <c r="D494" s="86" t="s">
        <v>1732</v>
      </c>
      <c r="E494" s="86" t="s">
        <v>2177</v>
      </c>
      <c r="F494" s="89">
        <f>VLOOKUP(C494,'WSS-26'!$C$1:$AU$617,24,)</f>
        <v>261493.18000603822</v>
      </c>
      <c r="G494" s="89">
        <f t="shared" ref="G494:P495" si="276">IF(VLOOKUP($E494,$D$5:$W$978,3,)=0,0,(VLOOKUP($E494,$D$5:$W$978,G$1,)/VLOOKUP($E494,$D$5:$W$978,3,))*$F494)</f>
        <v>178245.58452626254</v>
      </c>
      <c r="H494" s="89">
        <f t="shared" si="276"/>
        <v>535.99858673738743</v>
      </c>
      <c r="I494" s="89">
        <f t="shared" si="276"/>
        <v>33328.441642148151</v>
      </c>
      <c r="J494" s="89">
        <f t="shared" si="276"/>
        <v>2415.8212693519408</v>
      </c>
      <c r="K494" s="89">
        <f t="shared" si="276"/>
        <v>24623.874756382746</v>
      </c>
      <c r="L494" s="89">
        <f t="shared" si="276"/>
        <v>0</v>
      </c>
      <c r="M494" s="89">
        <f t="shared" si="276"/>
        <v>21015.168000229503</v>
      </c>
      <c r="N494" s="89">
        <f t="shared" si="276"/>
        <v>0</v>
      </c>
      <c r="O494" s="89">
        <f t="shared" si="276"/>
        <v>0</v>
      </c>
      <c r="P494" s="89">
        <f t="shared" si="276"/>
        <v>0</v>
      </c>
      <c r="Q494" s="89">
        <f t="shared" ref="Q494:W495" si="277">IF(VLOOKUP($E494,$D$5:$W$978,3,)=0,0,(VLOOKUP($E494,$D$5:$W$978,Q$1,)/VLOOKUP($E494,$D$5:$W$978,3,))*$F494)</f>
        <v>1241.6512724185395</v>
      </c>
      <c r="R494" s="89">
        <f t="shared" si="277"/>
        <v>45.175095250041991</v>
      </c>
      <c r="S494" s="89">
        <f t="shared" si="277"/>
        <v>12.171274055039129</v>
      </c>
      <c r="T494" s="89">
        <f t="shared" si="277"/>
        <v>29.186635514089097</v>
      </c>
      <c r="U494" s="89">
        <f t="shared" si="277"/>
        <v>0.10694768820333468</v>
      </c>
      <c r="V494" s="89">
        <f t="shared" si="277"/>
        <v>0</v>
      </c>
      <c r="W494" s="89">
        <f t="shared" si="277"/>
        <v>0</v>
      </c>
      <c r="X494" s="91">
        <f>SUM(G494:W494)</f>
        <v>261493.18000603816</v>
      </c>
      <c r="Y494" s="87" t="str">
        <f>IF(ABS(F494-X494)&lt;0.01,"ok","err")</f>
        <v>ok</v>
      </c>
      <c r="Z494" s="203" t="str">
        <f>IF(Y494="err",X494-F494,"")</f>
        <v/>
      </c>
    </row>
    <row r="495" spans="1:26" ht="12" customHeight="1" x14ac:dyDescent="0.5">
      <c r="A495" s="96" t="s">
        <v>392</v>
      </c>
      <c r="C495" s="86" t="s">
        <v>1685</v>
      </c>
      <c r="D495" s="86" t="s">
        <v>1733</v>
      </c>
      <c r="E495" s="86" t="s">
        <v>2176</v>
      </c>
      <c r="F495" s="90">
        <f>VLOOKUP(C495,'WSS-26'!$C$1:$AU$617,25,)</f>
        <v>217255.59462201441</v>
      </c>
      <c r="G495" s="89">
        <f t="shared" si="276"/>
        <v>174415.42882255325</v>
      </c>
      <c r="H495" s="89">
        <f t="shared" si="276"/>
        <v>255.0903042349702</v>
      </c>
      <c r="I495" s="89">
        <f t="shared" si="276"/>
        <v>32689.46709874268</v>
      </c>
      <c r="J495" s="89">
        <f t="shared" si="276"/>
        <v>167.42769194369561</v>
      </c>
      <c r="K495" s="89">
        <f t="shared" si="276"/>
        <v>1753.6471224574343</v>
      </c>
      <c r="L495" s="89">
        <f t="shared" si="276"/>
        <v>0</v>
      </c>
      <c r="M495" s="89">
        <f t="shared" si="276"/>
        <v>302.47550006809155</v>
      </c>
      <c r="N495" s="89">
        <f t="shared" si="276"/>
        <v>0</v>
      </c>
      <c r="O495" s="89">
        <f t="shared" si="276"/>
        <v>0</v>
      </c>
      <c r="P495" s="89">
        <f t="shared" si="276"/>
        <v>0</v>
      </c>
      <c r="Q495" s="89">
        <f t="shared" si="277"/>
        <v>7603.3495480562715</v>
      </c>
      <c r="R495" s="89">
        <f t="shared" si="277"/>
        <v>4.7385195833121401</v>
      </c>
      <c r="S495" s="89">
        <f t="shared" si="277"/>
        <v>58.441741527516392</v>
      </c>
      <c r="T495" s="89">
        <f t="shared" si="277"/>
        <v>1.5795065277707132</v>
      </c>
      <c r="U495" s="89">
        <f t="shared" si="277"/>
        <v>3.9487663194267832</v>
      </c>
      <c r="V495" s="89">
        <f t="shared" si="277"/>
        <v>0</v>
      </c>
      <c r="W495" s="89">
        <f t="shared" si="277"/>
        <v>0</v>
      </c>
      <c r="X495" s="91">
        <f>SUM(G495:W495)</f>
        <v>217255.59462201444</v>
      </c>
      <c r="Y495" s="87" t="str">
        <f>IF(ABS(F495-X495)&lt;0.01,"ok","err")</f>
        <v>ok</v>
      </c>
      <c r="Z495" s="203" t="str">
        <f>IF(Y495="err",X495-F495,"")</f>
        <v/>
      </c>
    </row>
    <row r="496" spans="1:26" ht="12" customHeight="1" x14ac:dyDescent="0.5">
      <c r="A496" s="86" t="s">
        <v>1468</v>
      </c>
      <c r="D496" s="86" t="s">
        <v>1734</v>
      </c>
      <c r="F496" s="89">
        <f t="shared" ref="F496:U496" si="278">F494+F495</f>
        <v>478748.7746280526</v>
      </c>
      <c r="G496" s="89">
        <f t="shared" si="278"/>
        <v>352661.01334881579</v>
      </c>
      <c r="H496" s="89">
        <f t="shared" ref="H496" si="279">H494+H495</f>
        <v>791.0888909723576</v>
      </c>
      <c r="I496" s="89">
        <f t="shared" si="278"/>
        <v>66017.908740890824</v>
      </c>
      <c r="J496" s="89">
        <f>J494+J495</f>
        <v>2583.2489612956365</v>
      </c>
      <c r="K496" s="89">
        <f>K494+K495</f>
        <v>26377.52187884018</v>
      </c>
      <c r="L496" s="89">
        <f>L494+L495</f>
        <v>0</v>
      </c>
      <c r="M496" s="89">
        <f t="shared" si="278"/>
        <v>21317.643500297596</v>
      </c>
      <c r="N496" s="89">
        <f t="shared" si="278"/>
        <v>0</v>
      </c>
      <c r="O496" s="89">
        <f t="shared" si="278"/>
        <v>0</v>
      </c>
      <c r="P496" s="89">
        <f t="shared" si="278"/>
        <v>0</v>
      </c>
      <c r="Q496" s="89">
        <f>Q494+Q495</f>
        <v>8845.0008204748119</v>
      </c>
      <c r="R496" s="89">
        <f t="shared" si="278"/>
        <v>49.913614833354131</v>
      </c>
      <c r="S496" s="89">
        <f t="shared" si="278"/>
        <v>70.613015582555519</v>
      </c>
      <c r="T496" s="89">
        <f t="shared" si="278"/>
        <v>30.766142041859812</v>
      </c>
      <c r="U496" s="89">
        <f t="shared" si="278"/>
        <v>4.0557140076301179</v>
      </c>
      <c r="V496" s="89">
        <f>V494+V495</f>
        <v>0</v>
      </c>
      <c r="W496" s="89">
        <f>W494+W495</f>
        <v>0</v>
      </c>
      <c r="X496" s="91">
        <f>SUM(G496:W496)</f>
        <v>478748.77462805266</v>
      </c>
      <c r="Y496" s="87" t="str">
        <f>IF(ABS(F496-X496)&lt;0.01,"ok","err")</f>
        <v>ok</v>
      </c>
      <c r="Z496" s="91" t="str">
        <f>IF(Y496="err",X496-F496,"")</f>
        <v/>
      </c>
    </row>
    <row r="497" spans="1:26" ht="12" customHeight="1" x14ac:dyDescent="0.5">
      <c r="F497" s="90"/>
    </row>
    <row r="498" spans="1:26" ht="12" customHeight="1" x14ac:dyDescent="0.5">
      <c r="A498" s="23" t="s">
        <v>128</v>
      </c>
      <c r="F498" s="90"/>
    </row>
    <row r="499" spans="1:26" ht="12" customHeight="1" x14ac:dyDescent="0.5">
      <c r="A499" s="96" t="s">
        <v>392</v>
      </c>
      <c r="C499" s="86" t="s">
        <v>1685</v>
      </c>
      <c r="D499" s="86" t="s">
        <v>1735</v>
      </c>
      <c r="E499" s="86" t="s">
        <v>393</v>
      </c>
      <c r="F499" s="89">
        <f>VLOOKUP(C499,'WSS-26'!$C$1:$AU$617,26,)</f>
        <v>183174.09028420402</v>
      </c>
      <c r="G499" s="89">
        <f t="shared" ref="G499:W499" si="280">IF(VLOOKUP($E499,$D$5:$W$978,3,)=0,0,(VLOOKUP($E499,$D$5:$W$978,G$1,)/VLOOKUP($E499,$D$5:$W$978,3,))*$F499)</f>
        <v>144654.06918941878</v>
      </c>
      <c r="H499" s="89">
        <f t="shared" si="280"/>
        <v>211.6449484477437</v>
      </c>
      <c r="I499" s="89">
        <f t="shared" si="280"/>
        <v>32566.846946580205</v>
      </c>
      <c r="J499" s="89">
        <f t="shared" si="280"/>
        <v>294.65611333890462</v>
      </c>
      <c r="K499" s="89">
        <f t="shared" si="280"/>
        <v>4232.2365363342906</v>
      </c>
      <c r="L499" s="89">
        <f t="shared" si="280"/>
        <v>0</v>
      </c>
      <c r="M499" s="89">
        <f t="shared" si="280"/>
        <v>1210.8243265780968</v>
      </c>
      <c r="N499" s="89">
        <f t="shared" si="280"/>
        <v>0</v>
      </c>
      <c r="O499" s="89">
        <f t="shared" si="280"/>
        <v>0</v>
      </c>
      <c r="P499" s="89">
        <f t="shared" si="280"/>
        <v>0</v>
      </c>
      <c r="Q499" s="89">
        <f t="shared" si="280"/>
        <v>0</v>
      </c>
      <c r="R499" s="89">
        <f t="shared" si="280"/>
        <v>0</v>
      </c>
      <c r="S499" s="89">
        <f t="shared" si="280"/>
        <v>0</v>
      </c>
      <c r="T499" s="89">
        <f t="shared" si="280"/>
        <v>3.8122235060042748</v>
      </c>
      <c r="U499" s="89">
        <f t="shared" si="280"/>
        <v>0</v>
      </c>
      <c r="V499" s="89">
        <f t="shared" si="280"/>
        <v>0</v>
      </c>
      <c r="W499" s="89">
        <f t="shared" si="280"/>
        <v>0</v>
      </c>
      <c r="X499" s="91">
        <f>SUM(G499:W499)</f>
        <v>183174.09028420405</v>
      </c>
      <c r="Y499" s="87" t="str">
        <f>IF(ABS(F499-X499)&lt;0.01,"ok","err")</f>
        <v>ok</v>
      </c>
      <c r="Z499" s="203" t="str">
        <f>IF(Y499="err",X499-F499,"")</f>
        <v/>
      </c>
    </row>
    <row r="500" spans="1:26" ht="12" customHeight="1" x14ac:dyDescent="0.5">
      <c r="F500" s="90"/>
    </row>
    <row r="501" spans="1:26" ht="12" customHeight="1" x14ac:dyDescent="0.5">
      <c r="A501" s="23" t="s">
        <v>127</v>
      </c>
      <c r="F501" s="90"/>
    </row>
    <row r="502" spans="1:26" ht="12" customHeight="1" x14ac:dyDescent="0.5">
      <c r="A502" s="96" t="s">
        <v>392</v>
      </c>
      <c r="C502" s="86" t="s">
        <v>1685</v>
      </c>
      <c r="D502" s="86" t="s">
        <v>1736</v>
      </c>
      <c r="E502" s="86" t="s">
        <v>394</v>
      </c>
      <c r="F502" s="89">
        <f>VLOOKUP(C502,'WSS-26'!$C$1:$AU$617,27,)</f>
        <v>108940.73891384155</v>
      </c>
      <c r="G502" s="89">
        <f t="shared" ref="G502:W502" si="281">IF(VLOOKUP($E502,$D$5:$W$978,3,)=0,0,(VLOOKUP($E502,$D$5:$W$978,G$1,)/VLOOKUP($E502,$D$5:$W$978,3,))*$F502)</f>
        <v>65718.745543169251</v>
      </c>
      <c r="H502" s="89">
        <f t="shared" si="281"/>
        <v>96.153814341172136</v>
      </c>
      <c r="I502" s="89">
        <f t="shared" si="281"/>
        <v>26558.27420994396</v>
      </c>
      <c r="J502" s="89">
        <f t="shared" si="281"/>
        <v>542.11027639139559</v>
      </c>
      <c r="K502" s="89">
        <f t="shared" si="281"/>
        <v>8303.7794431008788</v>
      </c>
      <c r="L502" s="89">
        <f t="shared" si="281"/>
        <v>1623.8953084257562</v>
      </c>
      <c r="M502" s="89">
        <f t="shared" si="281"/>
        <v>1485.2303685829934</v>
      </c>
      <c r="N502" s="89">
        <f t="shared" si="281"/>
        <v>2876.6844982755624</v>
      </c>
      <c r="O502" s="89">
        <f t="shared" si="281"/>
        <v>1426.2396297658809</v>
      </c>
      <c r="P502" s="89">
        <f t="shared" si="281"/>
        <v>88.041147948107607</v>
      </c>
      <c r="Q502" s="89">
        <f t="shared" si="281"/>
        <v>0</v>
      </c>
      <c r="R502" s="89">
        <f t="shared" si="281"/>
        <v>16.069032029163004</v>
      </c>
      <c r="S502" s="89">
        <f t="shared" si="281"/>
        <v>198.03594102607371</v>
      </c>
      <c r="T502" s="89">
        <f t="shared" si="281"/>
        <v>7.4797008413623933</v>
      </c>
      <c r="U502" s="89">
        <f t="shared" si="281"/>
        <v>0</v>
      </c>
      <c r="V502" s="89">
        <f t="shared" si="281"/>
        <v>0</v>
      </c>
      <c r="W502" s="89">
        <f t="shared" si="281"/>
        <v>0</v>
      </c>
      <c r="X502" s="91">
        <f>SUM(G502:W502)</f>
        <v>108940.73891384156</v>
      </c>
      <c r="Y502" s="87" t="str">
        <f>IF(ABS(F502-X502)&lt;0.01,"ok","err")</f>
        <v>ok</v>
      </c>
      <c r="Z502" s="203" t="str">
        <f>IF(Y502="err",X502-F502,"")</f>
        <v/>
      </c>
    </row>
    <row r="503" spans="1:26" ht="12" customHeight="1" x14ac:dyDescent="0.5">
      <c r="F503" s="90"/>
    </row>
    <row r="504" spans="1:26" ht="12" customHeight="1" x14ac:dyDescent="0.5">
      <c r="A504" s="23" t="s">
        <v>144</v>
      </c>
      <c r="F504" s="90"/>
    </row>
    <row r="505" spans="1:26" ht="12" customHeight="1" x14ac:dyDescent="0.5">
      <c r="A505" s="96" t="s">
        <v>392</v>
      </c>
      <c r="C505" s="86" t="s">
        <v>1685</v>
      </c>
      <c r="D505" s="86" t="s">
        <v>1737</v>
      </c>
      <c r="E505" s="86" t="s">
        <v>395</v>
      </c>
      <c r="F505" s="89">
        <f>VLOOKUP(C505,'WSS-26'!$C$1:$AU$617,28,)</f>
        <v>209772.10459009689</v>
      </c>
      <c r="G505" s="89">
        <f t="shared" ref="G505:W505" si="282">IF(VLOOKUP($E505,$D$5:$W$978,3,)=0,0,(VLOOKUP($E505,$D$5:$W$978,G$1,)/VLOOKUP($E505,$D$5:$W$978,3,))*$F505)</f>
        <v>0</v>
      </c>
      <c r="H505" s="89">
        <f t="shared" si="282"/>
        <v>0</v>
      </c>
      <c r="I505" s="89">
        <f t="shared" si="282"/>
        <v>0</v>
      </c>
      <c r="J505" s="89">
        <f t="shared" si="282"/>
        <v>0</v>
      </c>
      <c r="K505" s="89">
        <f t="shared" si="282"/>
        <v>0</v>
      </c>
      <c r="L505" s="89">
        <f t="shared" si="282"/>
        <v>0</v>
      </c>
      <c r="M505" s="89">
        <f t="shared" si="282"/>
        <v>0</v>
      </c>
      <c r="N505" s="89">
        <f t="shared" si="282"/>
        <v>0</v>
      </c>
      <c r="O505" s="89">
        <f t="shared" si="282"/>
        <v>0</v>
      </c>
      <c r="P505" s="89">
        <f t="shared" si="282"/>
        <v>0</v>
      </c>
      <c r="Q505" s="89">
        <f t="shared" si="282"/>
        <v>209772.10459009689</v>
      </c>
      <c r="R505" s="89">
        <f t="shared" si="282"/>
        <v>0</v>
      </c>
      <c r="S505" s="89">
        <f t="shared" si="282"/>
        <v>0</v>
      </c>
      <c r="T505" s="89">
        <f t="shared" si="282"/>
        <v>0</v>
      </c>
      <c r="U505" s="89">
        <f t="shared" si="282"/>
        <v>0</v>
      </c>
      <c r="V505" s="89">
        <f t="shared" si="282"/>
        <v>0</v>
      </c>
      <c r="W505" s="89">
        <f t="shared" si="282"/>
        <v>0</v>
      </c>
      <c r="X505" s="91">
        <f>SUM(G505:W505)</f>
        <v>209772.10459009689</v>
      </c>
      <c r="Y505" s="87" t="str">
        <f>IF(ABS(F505-X505)&lt;0.01,"ok","err")</f>
        <v>ok</v>
      </c>
      <c r="Z505" s="203" t="str">
        <f>IF(Y505="err",X505-F505,"")</f>
        <v/>
      </c>
    </row>
    <row r="506" spans="1:26" ht="12" customHeight="1" x14ac:dyDescent="0.5">
      <c r="F506" s="90"/>
    </row>
    <row r="507" spans="1:26" ht="12" customHeight="1" x14ac:dyDescent="0.5">
      <c r="A507" s="23" t="s">
        <v>292</v>
      </c>
      <c r="F507" s="90"/>
    </row>
    <row r="508" spans="1:26" ht="12" customHeight="1" x14ac:dyDescent="0.5">
      <c r="A508" s="96" t="s">
        <v>392</v>
      </c>
      <c r="C508" s="86" t="s">
        <v>1685</v>
      </c>
      <c r="D508" s="86" t="s">
        <v>1738</v>
      </c>
      <c r="E508" s="86" t="s">
        <v>396</v>
      </c>
      <c r="F508" s="89">
        <f>VLOOKUP(C508,'WSS-26'!$C$1:$AU$617,30,)</f>
        <v>0</v>
      </c>
      <c r="G508" s="89">
        <f t="shared" ref="G508:W508" si="283">IF(VLOOKUP($E508,$D$5:$W$978,3,)=0,0,(VLOOKUP($E508,$D$5:$W$978,G$1,)/VLOOKUP($E508,$D$5:$W$978,3,))*$F508)</f>
        <v>0</v>
      </c>
      <c r="H508" s="89">
        <f t="shared" si="283"/>
        <v>0</v>
      </c>
      <c r="I508" s="89">
        <f t="shared" si="283"/>
        <v>0</v>
      </c>
      <c r="J508" s="89">
        <f t="shared" si="283"/>
        <v>0</v>
      </c>
      <c r="K508" s="89">
        <f t="shared" si="283"/>
        <v>0</v>
      </c>
      <c r="L508" s="89">
        <f t="shared" si="283"/>
        <v>0</v>
      </c>
      <c r="M508" s="89">
        <f t="shared" si="283"/>
        <v>0</v>
      </c>
      <c r="N508" s="89">
        <f t="shared" si="283"/>
        <v>0</v>
      </c>
      <c r="O508" s="89">
        <f t="shared" si="283"/>
        <v>0</v>
      </c>
      <c r="P508" s="89">
        <f t="shared" si="283"/>
        <v>0</v>
      </c>
      <c r="Q508" s="89">
        <f t="shared" si="283"/>
        <v>0</v>
      </c>
      <c r="R508" s="89">
        <f t="shared" si="283"/>
        <v>0</v>
      </c>
      <c r="S508" s="89">
        <f t="shared" si="283"/>
        <v>0</v>
      </c>
      <c r="T508" s="89">
        <f t="shared" si="283"/>
        <v>0</v>
      </c>
      <c r="U508" s="89">
        <f t="shared" si="283"/>
        <v>0</v>
      </c>
      <c r="V508" s="89">
        <f t="shared" si="283"/>
        <v>0</v>
      </c>
      <c r="W508" s="89">
        <f t="shared" si="283"/>
        <v>0</v>
      </c>
      <c r="X508" s="91">
        <f>SUM(G508:W508)</f>
        <v>0</v>
      </c>
      <c r="Y508" s="87" t="str">
        <f>IF(ABS(F508-X508)&lt;0.01,"ok","err")</f>
        <v>ok</v>
      </c>
      <c r="Z508" s="203" t="str">
        <f>IF(Y508="err",X508-F508,"")</f>
        <v/>
      </c>
    </row>
    <row r="509" spans="1:26" ht="12" customHeight="1" x14ac:dyDescent="0.5">
      <c r="F509" s="90"/>
    </row>
    <row r="510" spans="1:26" ht="12" customHeight="1" x14ac:dyDescent="0.5">
      <c r="A510" s="23" t="s">
        <v>1630</v>
      </c>
      <c r="F510" s="90"/>
    </row>
    <row r="511" spans="1:26" ht="12" customHeight="1" x14ac:dyDescent="0.5">
      <c r="A511" s="96" t="s">
        <v>392</v>
      </c>
      <c r="C511" s="86" t="s">
        <v>1685</v>
      </c>
      <c r="D511" s="86" t="s">
        <v>1739</v>
      </c>
      <c r="E511" s="86" t="s">
        <v>396</v>
      </c>
      <c r="F511" s="89">
        <f>VLOOKUP(C511,'WSS-26'!$C$1:$AU$617,32,)</f>
        <v>0</v>
      </c>
      <c r="G511" s="89">
        <f t="shared" ref="G511:W511" si="284">IF(VLOOKUP($E511,$D$5:$W$978,3,)=0,0,(VLOOKUP($E511,$D$5:$W$978,G$1,)/VLOOKUP($E511,$D$5:$W$978,3,))*$F511)</f>
        <v>0</v>
      </c>
      <c r="H511" s="89">
        <f t="shared" si="284"/>
        <v>0</v>
      </c>
      <c r="I511" s="89">
        <f t="shared" si="284"/>
        <v>0</v>
      </c>
      <c r="J511" s="89">
        <f t="shared" si="284"/>
        <v>0</v>
      </c>
      <c r="K511" s="89">
        <f t="shared" si="284"/>
        <v>0</v>
      </c>
      <c r="L511" s="89">
        <f t="shared" si="284"/>
        <v>0</v>
      </c>
      <c r="M511" s="89">
        <f t="shared" si="284"/>
        <v>0</v>
      </c>
      <c r="N511" s="89">
        <f t="shared" si="284"/>
        <v>0</v>
      </c>
      <c r="O511" s="89">
        <f t="shared" si="284"/>
        <v>0</v>
      </c>
      <c r="P511" s="89">
        <f t="shared" si="284"/>
        <v>0</v>
      </c>
      <c r="Q511" s="89">
        <f t="shared" si="284"/>
        <v>0</v>
      </c>
      <c r="R511" s="89">
        <f t="shared" si="284"/>
        <v>0</v>
      </c>
      <c r="S511" s="89">
        <f t="shared" si="284"/>
        <v>0</v>
      </c>
      <c r="T511" s="89">
        <f t="shared" si="284"/>
        <v>0</v>
      </c>
      <c r="U511" s="89">
        <f t="shared" si="284"/>
        <v>0</v>
      </c>
      <c r="V511" s="89">
        <f t="shared" si="284"/>
        <v>0</v>
      </c>
      <c r="W511" s="89">
        <f t="shared" si="284"/>
        <v>0</v>
      </c>
      <c r="X511" s="91">
        <f>SUM(G511:W511)</f>
        <v>0</v>
      </c>
      <c r="Y511" s="87" t="str">
        <f>IF(ABS(F511-X511)&lt;0.01,"ok","err")</f>
        <v>ok</v>
      </c>
      <c r="Z511" s="203" t="str">
        <f>IF(Y511="err",X511-F511,"")</f>
        <v/>
      </c>
    </row>
    <row r="512" spans="1:26" ht="12" customHeight="1" x14ac:dyDescent="0.5">
      <c r="F512" s="90"/>
    </row>
    <row r="513" spans="1:26" ht="12" customHeight="1" x14ac:dyDescent="0.5">
      <c r="A513" s="23" t="s">
        <v>1629</v>
      </c>
      <c r="F513" s="90"/>
    </row>
    <row r="514" spans="1:26" ht="12" customHeight="1" x14ac:dyDescent="0.5">
      <c r="A514" s="96" t="s">
        <v>392</v>
      </c>
      <c r="C514" s="86" t="s">
        <v>1685</v>
      </c>
      <c r="D514" s="86" t="s">
        <v>1740</v>
      </c>
      <c r="E514" s="86" t="s">
        <v>397</v>
      </c>
      <c r="F514" s="89">
        <f>VLOOKUP(C514,'WSS-26'!$C$1:$AU$617,34,)</f>
        <v>0</v>
      </c>
      <c r="G514" s="89">
        <f t="shared" ref="G514:W514" si="285">IF(VLOOKUP($E514,$D$5:$W$978,3,)=0,0,(VLOOKUP($E514,$D$5:$W$978,G$1,)/VLOOKUP($E514,$D$5:$W$978,3,))*$F514)</f>
        <v>0</v>
      </c>
      <c r="H514" s="89">
        <f t="shared" si="285"/>
        <v>0</v>
      </c>
      <c r="I514" s="89">
        <f t="shared" si="285"/>
        <v>0</v>
      </c>
      <c r="J514" s="89">
        <f t="shared" si="285"/>
        <v>0</v>
      </c>
      <c r="K514" s="89">
        <f t="shared" si="285"/>
        <v>0</v>
      </c>
      <c r="L514" s="89">
        <f t="shared" si="285"/>
        <v>0</v>
      </c>
      <c r="M514" s="89">
        <f t="shared" si="285"/>
        <v>0</v>
      </c>
      <c r="N514" s="89">
        <f t="shared" si="285"/>
        <v>0</v>
      </c>
      <c r="O514" s="89">
        <f t="shared" si="285"/>
        <v>0</v>
      </c>
      <c r="P514" s="89">
        <f t="shared" si="285"/>
        <v>0</v>
      </c>
      <c r="Q514" s="89">
        <f t="shared" si="285"/>
        <v>0</v>
      </c>
      <c r="R514" s="89">
        <f t="shared" si="285"/>
        <v>0</v>
      </c>
      <c r="S514" s="89">
        <f t="shared" si="285"/>
        <v>0</v>
      </c>
      <c r="T514" s="89">
        <f t="shared" si="285"/>
        <v>0</v>
      </c>
      <c r="U514" s="89">
        <f t="shared" si="285"/>
        <v>0</v>
      </c>
      <c r="V514" s="89">
        <f t="shared" si="285"/>
        <v>0</v>
      </c>
      <c r="W514" s="89">
        <f t="shared" si="285"/>
        <v>0</v>
      </c>
      <c r="X514" s="91">
        <f>SUM(G514:W514)</f>
        <v>0</v>
      </c>
      <c r="Y514" s="87" t="str">
        <f>IF(ABS(F514-X514)&lt;0.01,"ok","err")</f>
        <v>ok</v>
      </c>
      <c r="Z514" s="203" t="str">
        <f>IF(Y514="err",X514-F514,"")</f>
        <v/>
      </c>
    </row>
    <row r="515" spans="1:26" ht="12" customHeight="1" x14ac:dyDescent="0.5">
      <c r="F515" s="90"/>
    </row>
    <row r="516" spans="1:26" ht="12" customHeight="1" x14ac:dyDescent="0.5">
      <c r="A516" s="86" t="s">
        <v>62</v>
      </c>
      <c r="D516" s="86" t="s">
        <v>410</v>
      </c>
      <c r="F516" s="89">
        <f>F471+F477+F480+F483+F491+F496+F499+F502+F505+F508+F511+F514</f>
        <v>13649179.000000002</v>
      </c>
      <c r="G516" s="89">
        <f t="shared" ref="G516:U516" si="286">G471+G477+G480+G483+G491+G496+G499+G502+G505+G508+G511+G514</f>
        <v>6402079.5616167597</v>
      </c>
      <c r="H516" s="89">
        <f t="shared" ref="H516" si="287">H471+H477+H480+H483+H491+H496+H499+H502+H505+H508+H511+H514</f>
        <v>10587.661293255509</v>
      </c>
      <c r="I516" s="89">
        <f t="shared" si="286"/>
        <v>1596333.7562891166</v>
      </c>
      <c r="J516" s="89">
        <f>J471+J477+J480+J483+J491+J496+J499+J502+J505+J508+J511+J514</f>
        <v>100639.65980344567</v>
      </c>
      <c r="K516" s="89">
        <f>K471+K477+K480+K483+K491+K496+K499+K502+K505+K508+K511+K514</f>
        <v>1221360.7571964639</v>
      </c>
      <c r="L516" s="89">
        <f>L471+L477+L480+L483+L491+L496+L499+L502+L505+L508+L511+L514</f>
        <v>52743.54620953383</v>
      </c>
      <c r="M516" s="89">
        <f t="shared" si="286"/>
        <v>1131135.2016822752</v>
      </c>
      <c r="N516" s="89">
        <f t="shared" si="286"/>
        <v>1974109.3468315867</v>
      </c>
      <c r="O516" s="89">
        <f t="shared" si="286"/>
        <v>602374.87348445598</v>
      </c>
      <c r="P516" s="89">
        <f>P471+P477+P480+P483+P491+P496+P499+P502+P505+P508+P511+P514</f>
        <v>274117.54145607934</v>
      </c>
      <c r="Q516" s="89">
        <f>Q471+Q477+Q480+Q483+Q491+Q496+Q499+Q502+Q505+Q508+Q511+Q514</f>
        <v>280741.74712379649</v>
      </c>
      <c r="R516" s="89">
        <f t="shared" si="286"/>
        <v>904.55814957162227</v>
      </c>
      <c r="S516" s="89">
        <f t="shared" si="286"/>
        <v>1587.2699283624884</v>
      </c>
      <c r="T516" s="89">
        <f t="shared" si="286"/>
        <v>429.98095804109914</v>
      </c>
      <c r="U516" s="89">
        <f t="shared" si="286"/>
        <v>33.537977254663453</v>
      </c>
      <c r="V516" s="89">
        <f>V471+V477+V480+V483+V491+V496+V499+V502+V505+V508+V511+V514</f>
        <v>0</v>
      </c>
      <c r="W516" s="89">
        <f>W471+W477+W480+W483+W491+W496+W499+W502+W505+W508+W511+W514</f>
        <v>0</v>
      </c>
      <c r="X516" s="91">
        <f>SUM(G516:W516)</f>
        <v>13649179</v>
      </c>
      <c r="Y516" s="87" t="str">
        <f>IF(ABS(F516-X516)&lt;0.01,"ok","err")</f>
        <v>ok</v>
      </c>
      <c r="Z516" s="91" t="str">
        <f>IF(Y516="err",X516-F516,"")</f>
        <v/>
      </c>
    </row>
    <row r="517" spans="1:26" ht="12" customHeight="1" x14ac:dyDescent="0.5">
      <c r="F517" s="89"/>
      <c r="G517" s="89"/>
      <c r="H517" s="89"/>
      <c r="I517" s="89"/>
      <c r="J517" s="89"/>
      <c r="K517" s="89"/>
      <c r="L517" s="89"/>
      <c r="M517" s="89"/>
      <c r="N517" s="89"/>
      <c r="O517" s="89"/>
      <c r="P517" s="89"/>
      <c r="Q517" s="89"/>
      <c r="R517" s="89"/>
      <c r="S517" s="89"/>
      <c r="T517" s="89"/>
      <c r="U517" s="89"/>
      <c r="V517" s="89"/>
      <c r="W517" s="89"/>
      <c r="X517" s="91"/>
      <c r="Y517" s="87"/>
    </row>
    <row r="518" spans="1:26" ht="12" customHeight="1" x14ac:dyDescent="0.5">
      <c r="F518" s="89"/>
      <c r="G518" s="89"/>
      <c r="H518" s="89"/>
      <c r="I518" s="89"/>
      <c r="J518" s="89"/>
      <c r="K518" s="89"/>
      <c r="L518" s="89"/>
      <c r="M518" s="89"/>
      <c r="N518" s="89"/>
      <c r="O518" s="89"/>
      <c r="P518" s="89"/>
      <c r="Q518" s="89"/>
      <c r="R518" s="89"/>
      <c r="S518" s="89"/>
      <c r="T518" s="89"/>
      <c r="U518" s="89"/>
      <c r="V518" s="89"/>
      <c r="W518" s="89"/>
      <c r="X518" s="91"/>
      <c r="Y518" s="87"/>
    </row>
    <row r="519" spans="1:26" ht="12" customHeight="1" x14ac:dyDescent="0.5">
      <c r="F519" s="89"/>
      <c r="G519" s="89"/>
      <c r="H519" s="89"/>
      <c r="I519" s="89"/>
      <c r="J519" s="89"/>
      <c r="K519" s="89"/>
      <c r="L519" s="89"/>
      <c r="M519" s="89"/>
      <c r="N519" s="89"/>
      <c r="O519" s="89"/>
      <c r="P519" s="89"/>
      <c r="Q519" s="89"/>
      <c r="R519" s="89"/>
      <c r="S519" s="89"/>
      <c r="T519" s="89"/>
      <c r="U519" s="89"/>
      <c r="V519" s="89"/>
      <c r="W519" s="89"/>
      <c r="X519" s="91"/>
      <c r="Y519" s="87"/>
    </row>
    <row r="520" spans="1:26" ht="12" customHeight="1" x14ac:dyDescent="0.5">
      <c r="A520" s="22" t="s">
        <v>705</v>
      </c>
    </row>
    <row r="522" spans="1:26" ht="12" customHeight="1" x14ac:dyDescent="0.5">
      <c r="A522" s="23" t="s">
        <v>137</v>
      </c>
    </row>
    <row r="523" spans="1:26" ht="12" customHeight="1" x14ac:dyDescent="0.5">
      <c r="A523" s="96" t="s">
        <v>2273</v>
      </c>
      <c r="C523" s="86" t="s">
        <v>899</v>
      </c>
      <c r="D523" s="86" t="s">
        <v>1714</v>
      </c>
      <c r="E523" s="86" t="s">
        <v>2272</v>
      </c>
      <c r="F523" s="89">
        <f>VLOOKUP(C523,'WSS-26'!$C$1:$AU$617,6,)</f>
        <v>0</v>
      </c>
      <c r="G523" s="89">
        <f t="shared" ref="G523:P528" si="288">IF(VLOOKUP($E523,$D$5:$W$978,3,)=0,0,(VLOOKUP($E523,$D$5:$W$978,G$1,)/VLOOKUP($E523,$D$5:$W$978,3,))*$F523)</f>
        <v>0</v>
      </c>
      <c r="H523" s="89">
        <f t="shared" si="288"/>
        <v>0</v>
      </c>
      <c r="I523" s="89">
        <f t="shared" si="288"/>
        <v>0</v>
      </c>
      <c r="J523" s="89">
        <f t="shared" si="288"/>
        <v>0</v>
      </c>
      <c r="K523" s="89">
        <f t="shared" si="288"/>
        <v>0</v>
      </c>
      <c r="L523" s="89">
        <f t="shared" si="288"/>
        <v>0</v>
      </c>
      <c r="M523" s="89">
        <f t="shared" si="288"/>
        <v>0</v>
      </c>
      <c r="N523" s="89">
        <f t="shared" si="288"/>
        <v>0</v>
      </c>
      <c r="O523" s="89">
        <f t="shared" si="288"/>
        <v>0</v>
      </c>
      <c r="P523" s="89">
        <f t="shared" si="288"/>
        <v>0</v>
      </c>
      <c r="Q523" s="89">
        <f t="shared" ref="Q523:W528" si="289">IF(VLOOKUP($E523,$D$5:$W$978,3,)=0,0,(VLOOKUP($E523,$D$5:$W$978,Q$1,)/VLOOKUP($E523,$D$5:$W$978,3,))*$F523)</f>
        <v>0</v>
      </c>
      <c r="R523" s="89">
        <f t="shared" si="289"/>
        <v>0</v>
      </c>
      <c r="S523" s="89">
        <f t="shared" si="289"/>
        <v>0</v>
      </c>
      <c r="T523" s="89">
        <f t="shared" si="289"/>
        <v>0</v>
      </c>
      <c r="U523" s="89">
        <f t="shared" si="289"/>
        <v>0</v>
      </c>
      <c r="V523" s="89">
        <f t="shared" si="289"/>
        <v>0</v>
      </c>
      <c r="W523" s="89">
        <f t="shared" si="289"/>
        <v>0</v>
      </c>
      <c r="X523" s="91">
        <f t="shared" ref="X523:X528" si="290">SUM(G523:W523)</f>
        <v>0</v>
      </c>
      <c r="Y523" s="87" t="str">
        <f t="shared" ref="Y523:Y528" si="291">IF(ABS(F523-X523)&lt;0.01,"ok","err")</f>
        <v>ok</v>
      </c>
      <c r="Z523" s="203" t="str">
        <f t="shared" ref="Z523:Z528" si="292">IF(Y523="err",X523-F523,"")</f>
        <v/>
      </c>
    </row>
    <row r="524" spans="1:26" ht="12" hidden="1" customHeight="1" x14ac:dyDescent="0.5">
      <c r="A524" s="96" t="s">
        <v>2274</v>
      </c>
      <c r="C524" s="86" t="s">
        <v>899</v>
      </c>
      <c r="D524" s="86" t="s">
        <v>1715</v>
      </c>
      <c r="E524" s="86" t="s">
        <v>2272</v>
      </c>
      <c r="F524" s="90">
        <f>VLOOKUP(C524,'WSS-26'!$C$1:$AU$617,7,)</f>
        <v>0</v>
      </c>
      <c r="G524" s="89">
        <f t="shared" si="288"/>
        <v>0</v>
      </c>
      <c r="H524" s="89">
        <f t="shared" si="288"/>
        <v>0</v>
      </c>
      <c r="I524" s="89">
        <f t="shared" si="288"/>
        <v>0</v>
      </c>
      <c r="J524" s="89">
        <f t="shared" si="288"/>
        <v>0</v>
      </c>
      <c r="K524" s="89">
        <f t="shared" si="288"/>
        <v>0</v>
      </c>
      <c r="L524" s="89">
        <f t="shared" si="288"/>
        <v>0</v>
      </c>
      <c r="M524" s="89">
        <f t="shared" si="288"/>
        <v>0</v>
      </c>
      <c r="N524" s="89">
        <f t="shared" si="288"/>
        <v>0</v>
      </c>
      <c r="O524" s="89">
        <f t="shared" si="288"/>
        <v>0</v>
      </c>
      <c r="P524" s="89">
        <f t="shared" si="288"/>
        <v>0</v>
      </c>
      <c r="Q524" s="89">
        <f t="shared" si="289"/>
        <v>0</v>
      </c>
      <c r="R524" s="89">
        <f t="shared" si="289"/>
        <v>0</v>
      </c>
      <c r="S524" s="89">
        <f t="shared" si="289"/>
        <v>0</v>
      </c>
      <c r="T524" s="89">
        <f t="shared" si="289"/>
        <v>0</v>
      </c>
      <c r="U524" s="89">
        <f t="shared" si="289"/>
        <v>0</v>
      </c>
      <c r="V524" s="89">
        <f t="shared" si="289"/>
        <v>0</v>
      </c>
      <c r="W524" s="89">
        <f t="shared" si="289"/>
        <v>0</v>
      </c>
      <c r="X524" s="91">
        <f t="shared" si="290"/>
        <v>0</v>
      </c>
      <c r="Y524" s="87" t="str">
        <f t="shared" si="291"/>
        <v>ok</v>
      </c>
      <c r="Z524" s="203" t="str">
        <f t="shared" si="292"/>
        <v/>
      </c>
    </row>
    <row r="525" spans="1:26" ht="12" hidden="1" customHeight="1" x14ac:dyDescent="0.5">
      <c r="A525" s="96" t="s">
        <v>2274</v>
      </c>
      <c r="C525" s="86" t="s">
        <v>899</v>
      </c>
      <c r="D525" s="86" t="s">
        <v>1716</v>
      </c>
      <c r="E525" s="86" t="s">
        <v>2272</v>
      </c>
      <c r="F525" s="90">
        <f>VLOOKUP(C525,'WSS-26'!$C$1:$AU$617,8,)</f>
        <v>0</v>
      </c>
      <c r="G525" s="89">
        <f t="shared" si="288"/>
        <v>0</v>
      </c>
      <c r="H525" s="89">
        <f t="shared" si="288"/>
        <v>0</v>
      </c>
      <c r="I525" s="89">
        <f t="shared" si="288"/>
        <v>0</v>
      </c>
      <c r="J525" s="89">
        <f t="shared" si="288"/>
        <v>0</v>
      </c>
      <c r="K525" s="89">
        <f t="shared" si="288"/>
        <v>0</v>
      </c>
      <c r="L525" s="89">
        <f t="shared" si="288"/>
        <v>0</v>
      </c>
      <c r="M525" s="89">
        <f t="shared" si="288"/>
        <v>0</v>
      </c>
      <c r="N525" s="89">
        <f t="shared" si="288"/>
        <v>0</v>
      </c>
      <c r="O525" s="89">
        <f t="shared" si="288"/>
        <v>0</v>
      </c>
      <c r="P525" s="89">
        <f t="shared" si="288"/>
        <v>0</v>
      </c>
      <c r="Q525" s="89">
        <f t="shared" si="289"/>
        <v>0</v>
      </c>
      <c r="R525" s="89">
        <f t="shared" si="289"/>
        <v>0</v>
      </c>
      <c r="S525" s="89">
        <f t="shared" si="289"/>
        <v>0</v>
      </c>
      <c r="T525" s="89">
        <f t="shared" si="289"/>
        <v>0</v>
      </c>
      <c r="U525" s="89">
        <f t="shared" si="289"/>
        <v>0</v>
      </c>
      <c r="V525" s="89">
        <f t="shared" si="289"/>
        <v>0</v>
      </c>
      <c r="W525" s="89">
        <f t="shared" si="289"/>
        <v>0</v>
      </c>
      <c r="X525" s="91">
        <f t="shared" si="290"/>
        <v>0</v>
      </c>
      <c r="Y525" s="87" t="str">
        <f t="shared" si="291"/>
        <v>ok</v>
      </c>
      <c r="Z525" s="203" t="str">
        <f t="shared" si="292"/>
        <v/>
      </c>
    </row>
    <row r="526" spans="1:26" ht="12" customHeight="1" x14ac:dyDescent="0.5">
      <c r="A526" s="96" t="s">
        <v>2276</v>
      </c>
      <c r="C526" s="86" t="s">
        <v>899</v>
      </c>
      <c r="D526" s="86" t="s">
        <v>1717</v>
      </c>
      <c r="E526" s="86" t="s">
        <v>390</v>
      </c>
      <c r="F526" s="90">
        <f>VLOOKUP(C526,'WSS-26'!$C$1:$AU$617,9,)</f>
        <v>0</v>
      </c>
      <c r="G526" s="89">
        <f t="shared" si="288"/>
        <v>0</v>
      </c>
      <c r="H526" s="89">
        <f t="shared" si="288"/>
        <v>0</v>
      </c>
      <c r="I526" s="89">
        <f t="shared" si="288"/>
        <v>0</v>
      </c>
      <c r="J526" s="89">
        <f t="shared" si="288"/>
        <v>0</v>
      </c>
      <c r="K526" s="89">
        <f t="shared" si="288"/>
        <v>0</v>
      </c>
      <c r="L526" s="89">
        <f t="shared" si="288"/>
        <v>0</v>
      </c>
      <c r="M526" s="89">
        <f t="shared" si="288"/>
        <v>0</v>
      </c>
      <c r="N526" s="89">
        <f t="shared" si="288"/>
        <v>0</v>
      </c>
      <c r="O526" s="89">
        <f t="shared" si="288"/>
        <v>0</v>
      </c>
      <c r="P526" s="89">
        <f t="shared" si="288"/>
        <v>0</v>
      </c>
      <c r="Q526" s="89">
        <f t="shared" si="289"/>
        <v>0</v>
      </c>
      <c r="R526" s="89">
        <f t="shared" si="289"/>
        <v>0</v>
      </c>
      <c r="S526" s="89">
        <f t="shared" si="289"/>
        <v>0</v>
      </c>
      <c r="T526" s="89">
        <f t="shared" si="289"/>
        <v>0</v>
      </c>
      <c r="U526" s="89">
        <f t="shared" si="289"/>
        <v>0</v>
      </c>
      <c r="V526" s="89">
        <f t="shared" si="289"/>
        <v>0</v>
      </c>
      <c r="W526" s="89">
        <f t="shared" si="289"/>
        <v>0</v>
      </c>
      <c r="X526" s="91">
        <f t="shared" si="290"/>
        <v>0</v>
      </c>
      <c r="Y526" s="87" t="str">
        <f t="shared" si="291"/>
        <v>ok</v>
      </c>
      <c r="Z526" s="203" t="str">
        <f t="shared" si="292"/>
        <v/>
      </c>
    </row>
    <row r="527" spans="1:26" ht="12" hidden="1" customHeight="1" x14ac:dyDescent="0.5">
      <c r="A527" s="96" t="s">
        <v>2275</v>
      </c>
      <c r="C527" s="86" t="s">
        <v>899</v>
      </c>
      <c r="D527" s="86" t="s">
        <v>1718</v>
      </c>
      <c r="E527" s="86" t="s">
        <v>390</v>
      </c>
      <c r="F527" s="90">
        <f>VLOOKUP(C527,'WSS-26'!$C$1:$AU$617,10,)</f>
        <v>0</v>
      </c>
      <c r="G527" s="89">
        <f t="shared" si="288"/>
        <v>0</v>
      </c>
      <c r="H527" s="89">
        <f t="shared" si="288"/>
        <v>0</v>
      </c>
      <c r="I527" s="89">
        <f t="shared" si="288"/>
        <v>0</v>
      </c>
      <c r="J527" s="89">
        <f t="shared" si="288"/>
        <v>0</v>
      </c>
      <c r="K527" s="89">
        <f t="shared" si="288"/>
        <v>0</v>
      </c>
      <c r="L527" s="89">
        <f t="shared" si="288"/>
        <v>0</v>
      </c>
      <c r="M527" s="89">
        <f t="shared" si="288"/>
        <v>0</v>
      </c>
      <c r="N527" s="89">
        <f t="shared" si="288"/>
        <v>0</v>
      </c>
      <c r="O527" s="89">
        <f t="shared" si="288"/>
        <v>0</v>
      </c>
      <c r="P527" s="89">
        <f t="shared" si="288"/>
        <v>0</v>
      </c>
      <c r="Q527" s="89">
        <f t="shared" si="289"/>
        <v>0</v>
      </c>
      <c r="R527" s="89">
        <f t="shared" si="289"/>
        <v>0</v>
      </c>
      <c r="S527" s="89">
        <f t="shared" si="289"/>
        <v>0</v>
      </c>
      <c r="T527" s="89">
        <f t="shared" si="289"/>
        <v>0</v>
      </c>
      <c r="U527" s="89">
        <f t="shared" si="289"/>
        <v>0</v>
      </c>
      <c r="V527" s="89">
        <f t="shared" si="289"/>
        <v>0</v>
      </c>
      <c r="W527" s="89">
        <f t="shared" si="289"/>
        <v>0</v>
      </c>
      <c r="X527" s="91">
        <f t="shared" si="290"/>
        <v>0</v>
      </c>
      <c r="Y527" s="87" t="str">
        <f t="shared" si="291"/>
        <v>ok</v>
      </c>
      <c r="Z527" s="203" t="str">
        <f t="shared" si="292"/>
        <v/>
      </c>
    </row>
    <row r="528" spans="1:26" ht="12" hidden="1" customHeight="1" x14ac:dyDescent="0.5">
      <c r="A528" s="96" t="s">
        <v>2275</v>
      </c>
      <c r="C528" s="86" t="s">
        <v>899</v>
      </c>
      <c r="D528" s="86" t="s">
        <v>1719</v>
      </c>
      <c r="E528" s="86" t="s">
        <v>390</v>
      </c>
      <c r="F528" s="90">
        <f>VLOOKUP(C528,'WSS-26'!$C$1:$AU$617,11,)</f>
        <v>0</v>
      </c>
      <c r="G528" s="89">
        <f t="shared" si="288"/>
        <v>0</v>
      </c>
      <c r="H528" s="89">
        <f t="shared" si="288"/>
        <v>0</v>
      </c>
      <c r="I528" s="89">
        <f t="shared" si="288"/>
        <v>0</v>
      </c>
      <c r="J528" s="89">
        <f t="shared" si="288"/>
        <v>0</v>
      </c>
      <c r="K528" s="89">
        <f t="shared" si="288"/>
        <v>0</v>
      </c>
      <c r="L528" s="89">
        <f t="shared" si="288"/>
        <v>0</v>
      </c>
      <c r="M528" s="89">
        <f t="shared" si="288"/>
        <v>0</v>
      </c>
      <c r="N528" s="89">
        <f t="shared" si="288"/>
        <v>0</v>
      </c>
      <c r="O528" s="89">
        <f t="shared" si="288"/>
        <v>0</v>
      </c>
      <c r="P528" s="89">
        <f t="shared" si="288"/>
        <v>0</v>
      </c>
      <c r="Q528" s="89">
        <f t="shared" si="289"/>
        <v>0</v>
      </c>
      <c r="R528" s="89">
        <f t="shared" si="289"/>
        <v>0</v>
      </c>
      <c r="S528" s="89">
        <f t="shared" si="289"/>
        <v>0</v>
      </c>
      <c r="T528" s="89">
        <f t="shared" si="289"/>
        <v>0</v>
      </c>
      <c r="U528" s="89">
        <f t="shared" si="289"/>
        <v>0</v>
      </c>
      <c r="V528" s="89">
        <f t="shared" si="289"/>
        <v>0</v>
      </c>
      <c r="W528" s="89">
        <f t="shared" si="289"/>
        <v>0</v>
      </c>
      <c r="X528" s="91">
        <f t="shared" si="290"/>
        <v>0</v>
      </c>
      <c r="Y528" s="87" t="str">
        <f t="shared" si="291"/>
        <v>ok</v>
      </c>
      <c r="Z528" s="203" t="str">
        <f t="shared" si="292"/>
        <v/>
      </c>
    </row>
    <row r="529" spans="1:26" ht="12" customHeight="1" x14ac:dyDescent="0.5">
      <c r="A529" s="86" t="s">
        <v>160</v>
      </c>
      <c r="D529" s="86" t="s">
        <v>409</v>
      </c>
      <c r="F529" s="89">
        <f t="shared" ref="F529:U529" si="293">SUM(F523:F528)</f>
        <v>0</v>
      </c>
      <c r="G529" s="89">
        <f t="shared" si="293"/>
        <v>0</v>
      </c>
      <c r="H529" s="89">
        <f t="shared" ref="H529" si="294">SUM(H523:H528)</f>
        <v>0</v>
      </c>
      <c r="I529" s="89">
        <f t="shared" si="293"/>
        <v>0</v>
      </c>
      <c r="J529" s="89">
        <f>SUM(J523:J528)</f>
        <v>0</v>
      </c>
      <c r="K529" s="89">
        <f>SUM(K523:K528)</f>
        <v>0</v>
      </c>
      <c r="L529" s="89">
        <f>SUM(L523:L528)</f>
        <v>0</v>
      </c>
      <c r="M529" s="89">
        <f t="shared" si="293"/>
        <v>0</v>
      </c>
      <c r="N529" s="89">
        <f t="shared" si="293"/>
        <v>0</v>
      </c>
      <c r="O529" s="89">
        <f t="shared" si="293"/>
        <v>0</v>
      </c>
      <c r="P529" s="89">
        <f t="shared" si="293"/>
        <v>0</v>
      </c>
      <c r="Q529" s="89">
        <f>SUM(Q523:Q528)</f>
        <v>0</v>
      </c>
      <c r="R529" s="89">
        <f t="shared" si="293"/>
        <v>0</v>
      </c>
      <c r="S529" s="89">
        <f t="shared" si="293"/>
        <v>0</v>
      </c>
      <c r="T529" s="89">
        <f t="shared" si="293"/>
        <v>0</v>
      </c>
      <c r="U529" s="89">
        <f t="shared" si="293"/>
        <v>0</v>
      </c>
      <c r="V529" s="89">
        <f>SUM(V523:V528)</f>
        <v>0</v>
      </c>
      <c r="W529" s="89">
        <f>SUM(W523:W528)</f>
        <v>0</v>
      </c>
      <c r="X529" s="91">
        <f>SUM(G529:W529)</f>
        <v>0</v>
      </c>
      <c r="Y529" s="87" t="str">
        <f>IF(ABS(F529-X529)&lt;0.01,"ok","err")</f>
        <v>ok</v>
      </c>
      <c r="Z529" s="91" t="str">
        <f>IF(Y529="err",X529-F529,"")</f>
        <v/>
      </c>
    </row>
    <row r="530" spans="1:26" ht="12" customHeight="1" x14ac:dyDescent="0.5">
      <c r="F530" s="90"/>
      <c r="G530" s="90"/>
      <c r="H530" s="90"/>
    </row>
    <row r="531" spans="1:26" ht="12" customHeight="1" x14ac:dyDescent="0.5">
      <c r="A531" s="23" t="s">
        <v>441</v>
      </c>
      <c r="F531" s="90"/>
      <c r="G531" s="90"/>
      <c r="H531" s="90"/>
    </row>
    <row r="532" spans="1:26" ht="12" customHeight="1" x14ac:dyDescent="0.5">
      <c r="A532" s="96" t="s">
        <v>2247</v>
      </c>
      <c r="C532" s="86" t="s">
        <v>899</v>
      </c>
      <c r="D532" s="86" t="s">
        <v>1720</v>
      </c>
      <c r="E532" s="86" t="s">
        <v>2248</v>
      </c>
      <c r="F532" s="89">
        <f>VLOOKUP(C532,'WSS-26'!$C$1:$AU$617,13,)</f>
        <v>0</v>
      </c>
      <c r="G532" s="89">
        <f t="shared" ref="G532:P534" si="295">IF(VLOOKUP($E532,$D$5:$W$978,3,)=0,0,(VLOOKUP($E532,$D$5:$W$978,G$1,)/VLOOKUP($E532,$D$5:$W$978,3,))*$F532)</f>
        <v>0</v>
      </c>
      <c r="H532" s="89">
        <f t="shared" si="295"/>
        <v>0</v>
      </c>
      <c r="I532" s="89">
        <f t="shared" si="295"/>
        <v>0</v>
      </c>
      <c r="J532" s="89">
        <f t="shared" si="295"/>
        <v>0</v>
      </c>
      <c r="K532" s="89">
        <f t="shared" si="295"/>
        <v>0</v>
      </c>
      <c r="L532" s="89">
        <f t="shared" si="295"/>
        <v>0</v>
      </c>
      <c r="M532" s="89">
        <f t="shared" si="295"/>
        <v>0</v>
      </c>
      <c r="N532" s="89">
        <f t="shared" si="295"/>
        <v>0</v>
      </c>
      <c r="O532" s="89">
        <f t="shared" si="295"/>
        <v>0</v>
      </c>
      <c r="P532" s="89">
        <f t="shared" si="295"/>
        <v>0</v>
      </c>
      <c r="Q532" s="89">
        <f t="shared" ref="Q532:W534" si="296">IF(VLOOKUP($E532,$D$5:$W$978,3,)=0,0,(VLOOKUP($E532,$D$5:$W$978,Q$1,)/VLOOKUP($E532,$D$5:$W$978,3,))*$F532)</f>
        <v>0</v>
      </c>
      <c r="R532" s="89">
        <f t="shared" si="296"/>
        <v>0</v>
      </c>
      <c r="S532" s="89">
        <f t="shared" si="296"/>
        <v>0</v>
      </c>
      <c r="T532" s="89">
        <f t="shared" si="296"/>
        <v>0</v>
      </c>
      <c r="U532" s="89">
        <f t="shared" si="296"/>
        <v>0</v>
      </c>
      <c r="V532" s="89">
        <f t="shared" si="296"/>
        <v>0</v>
      </c>
      <c r="W532" s="89">
        <f t="shared" si="296"/>
        <v>0</v>
      </c>
      <c r="X532" s="91">
        <f>SUM(G532:W532)</f>
        <v>0</v>
      </c>
      <c r="Y532" s="87" t="str">
        <f>IF(ABS(F532-X532)&lt;0.01,"ok","err")</f>
        <v>ok</v>
      </c>
      <c r="Z532" s="203" t="str">
        <f>IF(Y532="err",X532-F532,"")</f>
        <v/>
      </c>
    </row>
    <row r="533" spans="1:26" ht="12" hidden="1" customHeight="1" x14ac:dyDescent="0.5">
      <c r="A533" s="96" t="s">
        <v>2246</v>
      </c>
      <c r="C533" s="86" t="s">
        <v>899</v>
      </c>
      <c r="D533" s="86" t="s">
        <v>1721</v>
      </c>
      <c r="E533" s="86" t="s">
        <v>2248</v>
      </c>
      <c r="F533" s="90">
        <f>VLOOKUP(C533,'WSS-26'!$C$1:$AU$617,14,)</f>
        <v>0</v>
      </c>
      <c r="G533" s="89">
        <f t="shared" si="295"/>
        <v>0</v>
      </c>
      <c r="H533" s="89">
        <f t="shared" si="295"/>
        <v>0</v>
      </c>
      <c r="I533" s="89">
        <f t="shared" si="295"/>
        <v>0</v>
      </c>
      <c r="J533" s="89">
        <f t="shared" si="295"/>
        <v>0</v>
      </c>
      <c r="K533" s="89">
        <f t="shared" si="295"/>
        <v>0</v>
      </c>
      <c r="L533" s="89">
        <f t="shared" si="295"/>
        <v>0</v>
      </c>
      <c r="M533" s="89">
        <f t="shared" si="295"/>
        <v>0</v>
      </c>
      <c r="N533" s="89">
        <f t="shared" si="295"/>
        <v>0</v>
      </c>
      <c r="O533" s="89">
        <f t="shared" si="295"/>
        <v>0</v>
      </c>
      <c r="P533" s="89">
        <f t="shared" si="295"/>
        <v>0</v>
      </c>
      <c r="Q533" s="89">
        <f t="shared" si="296"/>
        <v>0</v>
      </c>
      <c r="R533" s="89">
        <f t="shared" si="296"/>
        <v>0</v>
      </c>
      <c r="S533" s="89">
        <f t="shared" si="296"/>
        <v>0</v>
      </c>
      <c r="T533" s="89">
        <f t="shared" si="296"/>
        <v>0</v>
      </c>
      <c r="U533" s="89">
        <f t="shared" si="296"/>
        <v>0</v>
      </c>
      <c r="V533" s="89">
        <f t="shared" si="296"/>
        <v>0</v>
      </c>
      <c r="W533" s="89">
        <f t="shared" si="296"/>
        <v>0</v>
      </c>
      <c r="X533" s="91">
        <f>SUM(G533:W533)</f>
        <v>0</v>
      </c>
      <c r="Y533" s="87" t="str">
        <f>IF(ABS(F533-X533)&lt;0.01,"ok","err")</f>
        <v>ok</v>
      </c>
      <c r="Z533" s="203" t="str">
        <f>IF(Y533="err",X533-F533,"")</f>
        <v/>
      </c>
    </row>
    <row r="534" spans="1:26" ht="12" hidden="1" customHeight="1" x14ac:dyDescent="0.5">
      <c r="A534" s="96" t="s">
        <v>2246</v>
      </c>
      <c r="C534" s="86" t="s">
        <v>899</v>
      </c>
      <c r="D534" s="86" t="s">
        <v>1722</v>
      </c>
      <c r="E534" s="86" t="s">
        <v>2248</v>
      </c>
      <c r="F534" s="90">
        <f>VLOOKUP(C534,'WSS-26'!$C$1:$AU$617,15,)</f>
        <v>0</v>
      </c>
      <c r="G534" s="89">
        <f t="shared" si="295"/>
        <v>0</v>
      </c>
      <c r="H534" s="89">
        <f t="shared" si="295"/>
        <v>0</v>
      </c>
      <c r="I534" s="89">
        <f t="shared" si="295"/>
        <v>0</v>
      </c>
      <c r="J534" s="89">
        <f t="shared" si="295"/>
        <v>0</v>
      </c>
      <c r="K534" s="89">
        <f t="shared" si="295"/>
        <v>0</v>
      </c>
      <c r="L534" s="89">
        <f t="shared" si="295"/>
        <v>0</v>
      </c>
      <c r="M534" s="89">
        <f t="shared" si="295"/>
        <v>0</v>
      </c>
      <c r="N534" s="89">
        <f t="shared" si="295"/>
        <v>0</v>
      </c>
      <c r="O534" s="89">
        <f t="shared" si="295"/>
        <v>0</v>
      </c>
      <c r="P534" s="89">
        <f t="shared" si="295"/>
        <v>0</v>
      </c>
      <c r="Q534" s="89">
        <f t="shared" si="296"/>
        <v>0</v>
      </c>
      <c r="R534" s="89">
        <f t="shared" si="296"/>
        <v>0</v>
      </c>
      <c r="S534" s="89">
        <f t="shared" si="296"/>
        <v>0</v>
      </c>
      <c r="T534" s="89">
        <f t="shared" si="296"/>
        <v>0</v>
      </c>
      <c r="U534" s="89">
        <f t="shared" si="296"/>
        <v>0</v>
      </c>
      <c r="V534" s="89">
        <f t="shared" si="296"/>
        <v>0</v>
      </c>
      <c r="W534" s="89">
        <f t="shared" si="296"/>
        <v>0</v>
      </c>
      <c r="X534" s="91">
        <f>SUM(G534:W534)</f>
        <v>0</v>
      </c>
      <c r="Y534" s="87" t="str">
        <f>IF(ABS(F534-X534)&lt;0.01,"ok","err")</f>
        <v>ok</v>
      </c>
      <c r="Z534" s="203" t="str">
        <f>IF(Y534="err",X534-F534,"")</f>
        <v/>
      </c>
    </row>
    <row r="535" spans="1:26" ht="12" hidden="1" customHeight="1" x14ac:dyDescent="0.5">
      <c r="A535" s="86" t="s">
        <v>443</v>
      </c>
      <c r="D535" s="86" t="s">
        <v>1723</v>
      </c>
      <c r="F535" s="89">
        <f t="shared" ref="F535:U535" si="297">SUM(F532:F534)</f>
        <v>0</v>
      </c>
      <c r="G535" s="89">
        <f t="shared" si="297"/>
        <v>0</v>
      </c>
      <c r="H535" s="89">
        <f t="shared" ref="H535" si="298">SUM(H532:H534)</f>
        <v>0</v>
      </c>
      <c r="I535" s="89">
        <f t="shared" si="297"/>
        <v>0</v>
      </c>
      <c r="J535" s="89">
        <f>SUM(J532:J534)</f>
        <v>0</v>
      </c>
      <c r="K535" s="89">
        <f>SUM(K532:K534)</f>
        <v>0</v>
      </c>
      <c r="L535" s="89">
        <f>SUM(L532:L534)</f>
        <v>0</v>
      </c>
      <c r="M535" s="89">
        <f t="shared" si="297"/>
        <v>0</v>
      </c>
      <c r="N535" s="89">
        <f t="shared" si="297"/>
        <v>0</v>
      </c>
      <c r="O535" s="89">
        <f t="shared" si="297"/>
        <v>0</v>
      </c>
      <c r="P535" s="89">
        <f t="shared" si="297"/>
        <v>0</v>
      </c>
      <c r="Q535" s="89">
        <f>SUM(Q532:Q534)</f>
        <v>0</v>
      </c>
      <c r="R535" s="89">
        <f t="shared" si="297"/>
        <v>0</v>
      </c>
      <c r="S535" s="89">
        <f t="shared" si="297"/>
        <v>0</v>
      </c>
      <c r="T535" s="89">
        <f t="shared" si="297"/>
        <v>0</v>
      </c>
      <c r="U535" s="89">
        <f t="shared" si="297"/>
        <v>0</v>
      </c>
      <c r="V535" s="89">
        <f>SUM(V532:V534)</f>
        <v>0</v>
      </c>
      <c r="W535" s="89">
        <f>SUM(W532:W534)</f>
        <v>0</v>
      </c>
      <c r="X535" s="91">
        <f>SUM(G535:W535)</f>
        <v>0</v>
      </c>
      <c r="Y535" s="87" t="str">
        <f>IF(ABS(F535-X535)&lt;0.01,"ok","err")</f>
        <v>ok</v>
      </c>
      <c r="Z535" s="91" t="str">
        <f>IF(Y535="err",X535-F535,"")</f>
        <v/>
      </c>
    </row>
    <row r="536" spans="1:26" ht="12" customHeight="1" x14ac:dyDescent="0.5">
      <c r="F536" s="90"/>
      <c r="G536" s="90"/>
      <c r="H536" s="90"/>
    </row>
    <row r="537" spans="1:26" ht="12" customHeight="1" x14ac:dyDescent="0.5">
      <c r="A537" s="23" t="s">
        <v>1627</v>
      </c>
      <c r="F537" s="90"/>
      <c r="G537" s="90"/>
      <c r="H537" s="90"/>
    </row>
    <row r="538" spans="1:26" ht="12" customHeight="1" x14ac:dyDescent="0.5">
      <c r="A538" s="96" t="s">
        <v>145</v>
      </c>
      <c r="C538" s="86" t="s">
        <v>899</v>
      </c>
      <c r="D538" s="86" t="s">
        <v>1724</v>
      </c>
      <c r="E538" s="86" t="s">
        <v>2252</v>
      </c>
      <c r="F538" s="89">
        <f>VLOOKUP(C538,'WSS-26'!$C$1:$AU$617,17,)</f>
        <v>0</v>
      </c>
      <c r="G538" s="89">
        <f t="shared" ref="G538:W538" si="299">IF(VLOOKUP($E538,$D$5:$W$978,3,)=0,0,(VLOOKUP($E538,$D$5:$W$978,G$1,)/VLOOKUP($E538,$D$5:$W$978,3,))*$F538)</f>
        <v>0</v>
      </c>
      <c r="H538" s="89">
        <f t="shared" si="299"/>
        <v>0</v>
      </c>
      <c r="I538" s="89">
        <f t="shared" si="299"/>
        <v>0</v>
      </c>
      <c r="J538" s="89">
        <f t="shared" si="299"/>
        <v>0</v>
      </c>
      <c r="K538" s="89">
        <f t="shared" si="299"/>
        <v>0</v>
      </c>
      <c r="L538" s="89">
        <f t="shared" si="299"/>
        <v>0</v>
      </c>
      <c r="M538" s="89">
        <f t="shared" si="299"/>
        <v>0</v>
      </c>
      <c r="N538" s="89">
        <f t="shared" si="299"/>
        <v>0</v>
      </c>
      <c r="O538" s="89">
        <f t="shared" si="299"/>
        <v>0</v>
      </c>
      <c r="P538" s="89">
        <f t="shared" si="299"/>
        <v>0</v>
      </c>
      <c r="Q538" s="89">
        <f t="shared" si="299"/>
        <v>0</v>
      </c>
      <c r="R538" s="89">
        <f t="shared" si="299"/>
        <v>0</v>
      </c>
      <c r="S538" s="89">
        <f t="shared" si="299"/>
        <v>0</v>
      </c>
      <c r="T538" s="89">
        <f t="shared" si="299"/>
        <v>0</v>
      </c>
      <c r="U538" s="89">
        <f t="shared" si="299"/>
        <v>0</v>
      </c>
      <c r="V538" s="89">
        <f t="shared" si="299"/>
        <v>0</v>
      </c>
      <c r="W538" s="89">
        <f t="shared" si="299"/>
        <v>0</v>
      </c>
      <c r="X538" s="91">
        <f>SUM(G538:W538)</f>
        <v>0</v>
      </c>
      <c r="Y538" s="87" t="str">
        <f>IF(ABS(F538-X538)&lt;0.01,"ok","err")</f>
        <v>ok</v>
      </c>
      <c r="Z538" s="203" t="str">
        <f>IF(Y538="err",X538-F538,"")</f>
        <v/>
      </c>
    </row>
    <row r="539" spans="1:26" ht="12" customHeight="1" x14ac:dyDescent="0.5">
      <c r="F539" s="90"/>
    </row>
    <row r="540" spans="1:26" ht="12" customHeight="1" x14ac:dyDescent="0.5">
      <c r="A540" s="23" t="s">
        <v>1628</v>
      </c>
      <c r="F540" s="90"/>
      <c r="G540" s="90"/>
      <c r="H540" s="90"/>
    </row>
    <row r="541" spans="1:26" ht="12" customHeight="1" x14ac:dyDescent="0.5">
      <c r="A541" s="96" t="s">
        <v>147</v>
      </c>
      <c r="C541" s="86" t="s">
        <v>899</v>
      </c>
      <c r="D541" s="86" t="s">
        <v>1725</v>
      </c>
      <c r="E541" s="86" t="s">
        <v>2252</v>
      </c>
      <c r="F541" s="89">
        <f>VLOOKUP(C541,'WSS-26'!$C$1:$AU$617,18,)</f>
        <v>0</v>
      </c>
      <c r="G541" s="89">
        <f t="shared" ref="G541:W541" si="300">IF(VLOOKUP($E541,$D$5:$W$978,3,)=0,0,(VLOOKUP($E541,$D$5:$W$978,G$1,)/VLOOKUP($E541,$D$5:$W$978,3,))*$F541)</f>
        <v>0</v>
      </c>
      <c r="H541" s="89">
        <f t="shared" si="300"/>
        <v>0</v>
      </c>
      <c r="I541" s="89">
        <f t="shared" si="300"/>
        <v>0</v>
      </c>
      <c r="J541" s="89">
        <f t="shared" si="300"/>
        <v>0</v>
      </c>
      <c r="K541" s="89">
        <f t="shared" si="300"/>
        <v>0</v>
      </c>
      <c r="L541" s="89">
        <f t="shared" si="300"/>
        <v>0</v>
      </c>
      <c r="M541" s="89">
        <f t="shared" si="300"/>
        <v>0</v>
      </c>
      <c r="N541" s="89">
        <f t="shared" si="300"/>
        <v>0</v>
      </c>
      <c r="O541" s="89">
        <f t="shared" si="300"/>
        <v>0</v>
      </c>
      <c r="P541" s="89">
        <f t="shared" si="300"/>
        <v>0</v>
      </c>
      <c r="Q541" s="89">
        <f t="shared" si="300"/>
        <v>0</v>
      </c>
      <c r="R541" s="89">
        <f t="shared" si="300"/>
        <v>0</v>
      </c>
      <c r="S541" s="89">
        <f t="shared" si="300"/>
        <v>0</v>
      </c>
      <c r="T541" s="89">
        <f t="shared" si="300"/>
        <v>0</v>
      </c>
      <c r="U541" s="89">
        <f t="shared" si="300"/>
        <v>0</v>
      </c>
      <c r="V541" s="89">
        <f t="shared" si="300"/>
        <v>0</v>
      </c>
      <c r="W541" s="89">
        <f t="shared" si="300"/>
        <v>0</v>
      </c>
      <c r="X541" s="91">
        <f>SUM(G541:W541)</f>
        <v>0</v>
      </c>
      <c r="Y541" s="87" t="str">
        <f>IF(ABS(F541-X541)&lt;0.01,"ok","err")</f>
        <v>ok</v>
      </c>
      <c r="Z541" s="203" t="str">
        <f>IF(Y541="err",X541-F541,"")</f>
        <v/>
      </c>
    </row>
    <row r="542" spans="1:26" ht="12" customHeight="1" x14ac:dyDescent="0.5">
      <c r="F542" s="90"/>
    </row>
    <row r="543" spans="1:26" ht="12" customHeight="1" x14ac:dyDescent="0.5">
      <c r="A543" s="23" t="s">
        <v>146</v>
      </c>
      <c r="F543" s="90"/>
    </row>
    <row r="544" spans="1:26" ht="12" customHeight="1" x14ac:dyDescent="0.5">
      <c r="A544" s="96" t="s">
        <v>791</v>
      </c>
      <c r="C544" s="86" t="s">
        <v>899</v>
      </c>
      <c r="D544" s="86" t="s">
        <v>1726</v>
      </c>
      <c r="E544" s="86" t="s">
        <v>2252</v>
      </c>
      <c r="F544" s="89">
        <f>VLOOKUP(C544,'WSS-26'!$C$1:$AU$617,19,)</f>
        <v>0</v>
      </c>
      <c r="G544" s="89">
        <f t="shared" ref="G544:P548" si="301">IF(VLOOKUP($E544,$D$5:$W$978,3,)=0,0,(VLOOKUP($E544,$D$5:$W$978,G$1,)/VLOOKUP($E544,$D$5:$W$978,3,))*$F544)</f>
        <v>0</v>
      </c>
      <c r="H544" s="89">
        <f t="shared" si="301"/>
        <v>0</v>
      </c>
      <c r="I544" s="89">
        <f t="shared" si="301"/>
        <v>0</v>
      </c>
      <c r="J544" s="89">
        <f t="shared" si="301"/>
        <v>0</v>
      </c>
      <c r="K544" s="89">
        <f t="shared" si="301"/>
        <v>0</v>
      </c>
      <c r="L544" s="89">
        <f t="shared" si="301"/>
        <v>0</v>
      </c>
      <c r="M544" s="89">
        <f t="shared" si="301"/>
        <v>0</v>
      </c>
      <c r="N544" s="89">
        <f t="shared" si="301"/>
        <v>0</v>
      </c>
      <c r="O544" s="89">
        <f t="shared" si="301"/>
        <v>0</v>
      </c>
      <c r="P544" s="89">
        <f t="shared" si="301"/>
        <v>0</v>
      </c>
      <c r="Q544" s="89">
        <f t="shared" ref="Q544:W548" si="302">IF(VLOOKUP($E544,$D$5:$W$978,3,)=0,0,(VLOOKUP($E544,$D$5:$W$978,Q$1,)/VLOOKUP($E544,$D$5:$W$978,3,))*$F544)</f>
        <v>0</v>
      </c>
      <c r="R544" s="89">
        <f t="shared" si="302"/>
        <v>0</v>
      </c>
      <c r="S544" s="89">
        <f t="shared" si="302"/>
        <v>0</v>
      </c>
      <c r="T544" s="89">
        <f t="shared" si="302"/>
        <v>0</v>
      </c>
      <c r="U544" s="89">
        <f t="shared" si="302"/>
        <v>0</v>
      </c>
      <c r="V544" s="89">
        <f t="shared" si="302"/>
        <v>0</v>
      </c>
      <c r="W544" s="89">
        <f t="shared" si="302"/>
        <v>0</v>
      </c>
      <c r="X544" s="91">
        <f t="shared" ref="X544:X549" si="303">SUM(G544:W544)</f>
        <v>0</v>
      </c>
      <c r="Y544" s="87" t="str">
        <f t="shared" ref="Y544:Y549" si="304">IF(ABS(F544-X544)&lt;0.01,"ok","err")</f>
        <v>ok</v>
      </c>
      <c r="Z544" s="203" t="str">
        <f t="shared" ref="Z544:Z549" si="305">IF(Y544="err",X544-F544,"")</f>
        <v/>
      </c>
    </row>
    <row r="545" spans="1:26" ht="12" customHeight="1" x14ac:dyDescent="0.5">
      <c r="A545" s="96" t="s">
        <v>792</v>
      </c>
      <c r="C545" s="86" t="s">
        <v>899</v>
      </c>
      <c r="D545" s="86" t="s">
        <v>1727</v>
      </c>
      <c r="E545" s="86" t="s">
        <v>2252</v>
      </c>
      <c r="F545" s="90">
        <f>VLOOKUP(C545,'WSS-26'!$C$1:$AU$617,20,)</f>
        <v>0</v>
      </c>
      <c r="G545" s="89">
        <f t="shared" si="301"/>
        <v>0</v>
      </c>
      <c r="H545" s="89">
        <f t="shared" si="301"/>
        <v>0</v>
      </c>
      <c r="I545" s="89">
        <f t="shared" si="301"/>
        <v>0</v>
      </c>
      <c r="J545" s="89">
        <f t="shared" si="301"/>
        <v>0</v>
      </c>
      <c r="K545" s="89">
        <f t="shared" si="301"/>
        <v>0</v>
      </c>
      <c r="L545" s="89">
        <f t="shared" si="301"/>
        <v>0</v>
      </c>
      <c r="M545" s="89">
        <f t="shared" si="301"/>
        <v>0</v>
      </c>
      <c r="N545" s="89">
        <f t="shared" si="301"/>
        <v>0</v>
      </c>
      <c r="O545" s="89">
        <f t="shared" si="301"/>
        <v>0</v>
      </c>
      <c r="P545" s="89">
        <f t="shared" si="301"/>
        <v>0</v>
      </c>
      <c r="Q545" s="89">
        <f t="shared" si="302"/>
        <v>0</v>
      </c>
      <c r="R545" s="89">
        <f t="shared" si="302"/>
        <v>0</v>
      </c>
      <c r="S545" s="89">
        <f t="shared" si="302"/>
        <v>0</v>
      </c>
      <c r="T545" s="89">
        <f t="shared" si="302"/>
        <v>0</v>
      </c>
      <c r="U545" s="89">
        <f t="shared" si="302"/>
        <v>0</v>
      </c>
      <c r="V545" s="89">
        <f t="shared" si="302"/>
        <v>0</v>
      </c>
      <c r="W545" s="89">
        <f t="shared" si="302"/>
        <v>0</v>
      </c>
      <c r="X545" s="91">
        <f t="shared" si="303"/>
        <v>0</v>
      </c>
      <c r="Y545" s="87" t="str">
        <f t="shared" si="304"/>
        <v>ok</v>
      </c>
      <c r="Z545" s="203" t="str">
        <f t="shared" si="305"/>
        <v/>
      </c>
    </row>
    <row r="546" spans="1:26" ht="12" customHeight="1" x14ac:dyDescent="0.5">
      <c r="A546" s="96" t="s">
        <v>793</v>
      </c>
      <c r="C546" s="86" t="s">
        <v>899</v>
      </c>
      <c r="D546" s="86" t="s">
        <v>1728</v>
      </c>
      <c r="E546" s="86" t="s">
        <v>904</v>
      </c>
      <c r="F546" s="90">
        <f>VLOOKUP(C546,'WSS-26'!$C$1:$AU$617,21,)</f>
        <v>0</v>
      </c>
      <c r="G546" s="89">
        <f t="shared" si="301"/>
        <v>0</v>
      </c>
      <c r="H546" s="89">
        <f t="shared" si="301"/>
        <v>0</v>
      </c>
      <c r="I546" s="89">
        <f t="shared" si="301"/>
        <v>0</v>
      </c>
      <c r="J546" s="89">
        <f t="shared" si="301"/>
        <v>0</v>
      </c>
      <c r="K546" s="89">
        <f t="shared" si="301"/>
        <v>0</v>
      </c>
      <c r="L546" s="89">
        <f t="shared" si="301"/>
        <v>0</v>
      </c>
      <c r="M546" s="89">
        <f t="shared" si="301"/>
        <v>0</v>
      </c>
      <c r="N546" s="89">
        <f t="shared" si="301"/>
        <v>0</v>
      </c>
      <c r="O546" s="89">
        <f t="shared" si="301"/>
        <v>0</v>
      </c>
      <c r="P546" s="89">
        <f t="shared" si="301"/>
        <v>0</v>
      </c>
      <c r="Q546" s="89">
        <f t="shared" si="302"/>
        <v>0</v>
      </c>
      <c r="R546" s="89">
        <f t="shared" si="302"/>
        <v>0</v>
      </c>
      <c r="S546" s="89">
        <f t="shared" si="302"/>
        <v>0</v>
      </c>
      <c r="T546" s="89">
        <f t="shared" si="302"/>
        <v>0</v>
      </c>
      <c r="U546" s="89">
        <f t="shared" si="302"/>
        <v>0</v>
      </c>
      <c r="V546" s="89">
        <f t="shared" si="302"/>
        <v>0</v>
      </c>
      <c r="W546" s="89">
        <f t="shared" si="302"/>
        <v>0</v>
      </c>
      <c r="X546" s="91">
        <f t="shared" si="303"/>
        <v>0</v>
      </c>
      <c r="Y546" s="87" t="str">
        <f t="shared" si="304"/>
        <v>ok</v>
      </c>
      <c r="Z546" s="203" t="str">
        <f t="shared" si="305"/>
        <v/>
      </c>
    </row>
    <row r="547" spans="1:26" ht="12" customHeight="1" x14ac:dyDescent="0.5">
      <c r="A547" s="96" t="s">
        <v>794</v>
      </c>
      <c r="C547" s="86" t="s">
        <v>899</v>
      </c>
      <c r="D547" s="86" t="s">
        <v>1729</v>
      </c>
      <c r="E547" s="86" t="s">
        <v>733</v>
      </c>
      <c r="F547" s="90">
        <f>VLOOKUP(C547,'WSS-26'!$C$1:$AU$617,22,)</f>
        <v>0</v>
      </c>
      <c r="G547" s="89">
        <f t="shared" si="301"/>
        <v>0</v>
      </c>
      <c r="H547" s="89">
        <f t="shared" si="301"/>
        <v>0</v>
      </c>
      <c r="I547" s="89">
        <f t="shared" si="301"/>
        <v>0</v>
      </c>
      <c r="J547" s="89">
        <f t="shared" si="301"/>
        <v>0</v>
      </c>
      <c r="K547" s="89">
        <f t="shared" si="301"/>
        <v>0</v>
      </c>
      <c r="L547" s="89">
        <f t="shared" si="301"/>
        <v>0</v>
      </c>
      <c r="M547" s="89">
        <f t="shared" si="301"/>
        <v>0</v>
      </c>
      <c r="N547" s="89">
        <f t="shared" si="301"/>
        <v>0</v>
      </c>
      <c r="O547" s="89">
        <f t="shared" si="301"/>
        <v>0</v>
      </c>
      <c r="P547" s="89">
        <f t="shared" si="301"/>
        <v>0</v>
      </c>
      <c r="Q547" s="89">
        <f t="shared" si="302"/>
        <v>0</v>
      </c>
      <c r="R547" s="89">
        <f t="shared" si="302"/>
        <v>0</v>
      </c>
      <c r="S547" s="89">
        <f t="shared" si="302"/>
        <v>0</v>
      </c>
      <c r="T547" s="89">
        <f t="shared" si="302"/>
        <v>0</v>
      </c>
      <c r="U547" s="89">
        <f t="shared" si="302"/>
        <v>0</v>
      </c>
      <c r="V547" s="89">
        <f t="shared" si="302"/>
        <v>0</v>
      </c>
      <c r="W547" s="89">
        <f t="shared" si="302"/>
        <v>0</v>
      </c>
      <c r="X547" s="91">
        <f t="shared" si="303"/>
        <v>0</v>
      </c>
      <c r="Y547" s="87" t="str">
        <f t="shared" si="304"/>
        <v>ok</v>
      </c>
      <c r="Z547" s="203" t="str">
        <f t="shared" si="305"/>
        <v/>
      </c>
    </row>
    <row r="548" spans="1:26" ht="12" customHeight="1" x14ac:dyDescent="0.5">
      <c r="A548" s="96" t="s">
        <v>795</v>
      </c>
      <c r="C548" s="86" t="s">
        <v>899</v>
      </c>
      <c r="D548" s="86" t="s">
        <v>1730</v>
      </c>
      <c r="E548" s="86" t="s">
        <v>903</v>
      </c>
      <c r="F548" s="90">
        <f>VLOOKUP(C548,'WSS-26'!$C$1:$AU$617,23,)</f>
        <v>0</v>
      </c>
      <c r="G548" s="89">
        <f t="shared" si="301"/>
        <v>0</v>
      </c>
      <c r="H548" s="89">
        <f t="shared" si="301"/>
        <v>0</v>
      </c>
      <c r="I548" s="89">
        <f t="shared" si="301"/>
        <v>0</v>
      </c>
      <c r="J548" s="89">
        <f t="shared" si="301"/>
        <v>0</v>
      </c>
      <c r="K548" s="89">
        <f t="shared" si="301"/>
        <v>0</v>
      </c>
      <c r="L548" s="89">
        <f t="shared" si="301"/>
        <v>0</v>
      </c>
      <c r="M548" s="89">
        <f t="shared" si="301"/>
        <v>0</v>
      </c>
      <c r="N548" s="89">
        <f t="shared" si="301"/>
        <v>0</v>
      </c>
      <c r="O548" s="89">
        <f t="shared" si="301"/>
        <v>0</v>
      </c>
      <c r="P548" s="89">
        <f t="shared" si="301"/>
        <v>0</v>
      </c>
      <c r="Q548" s="89">
        <f t="shared" si="302"/>
        <v>0</v>
      </c>
      <c r="R548" s="89">
        <f t="shared" si="302"/>
        <v>0</v>
      </c>
      <c r="S548" s="89">
        <f t="shared" si="302"/>
        <v>0</v>
      </c>
      <c r="T548" s="89">
        <f t="shared" si="302"/>
        <v>0</v>
      </c>
      <c r="U548" s="89">
        <f t="shared" si="302"/>
        <v>0</v>
      </c>
      <c r="V548" s="89">
        <f t="shared" si="302"/>
        <v>0</v>
      </c>
      <c r="W548" s="89">
        <f t="shared" si="302"/>
        <v>0</v>
      </c>
      <c r="X548" s="91">
        <f t="shared" si="303"/>
        <v>0</v>
      </c>
      <c r="Y548" s="87" t="str">
        <f t="shared" si="304"/>
        <v>ok</v>
      </c>
      <c r="Z548" s="203" t="str">
        <f t="shared" si="305"/>
        <v/>
      </c>
    </row>
    <row r="549" spans="1:26" ht="12" customHeight="1" x14ac:dyDescent="0.5">
      <c r="A549" s="86" t="s">
        <v>151</v>
      </c>
      <c r="D549" s="86" t="s">
        <v>1731</v>
      </c>
      <c r="F549" s="89">
        <f t="shared" ref="F549:U549" si="306">SUM(F544:F548)</f>
        <v>0</v>
      </c>
      <c r="G549" s="89">
        <f t="shared" si="306"/>
        <v>0</v>
      </c>
      <c r="H549" s="89">
        <f t="shared" ref="H549" si="307">SUM(H544:H548)</f>
        <v>0</v>
      </c>
      <c r="I549" s="89">
        <f t="shared" si="306"/>
        <v>0</v>
      </c>
      <c r="J549" s="89">
        <f>SUM(J544:J548)</f>
        <v>0</v>
      </c>
      <c r="K549" s="89">
        <f>SUM(K544:K548)</f>
        <v>0</v>
      </c>
      <c r="L549" s="89">
        <f>SUM(L544:L548)</f>
        <v>0</v>
      </c>
      <c r="M549" s="89">
        <f t="shared" si="306"/>
        <v>0</v>
      </c>
      <c r="N549" s="89">
        <f t="shared" si="306"/>
        <v>0</v>
      </c>
      <c r="O549" s="89">
        <f t="shared" si="306"/>
        <v>0</v>
      </c>
      <c r="P549" s="89">
        <f t="shared" si="306"/>
        <v>0</v>
      </c>
      <c r="Q549" s="89">
        <f>SUM(Q544:Q548)</f>
        <v>0</v>
      </c>
      <c r="R549" s="89">
        <f t="shared" si="306"/>
        <v>0</v>
      </c>
      <c r="S549" s="89">
        <f t="shared" si="306"/>
        <v>0</v>
      </c>
      <c r="T549" s="89">
        <f t="shared" si="306"/>
        <v>0</v>
      </c>
      <c r="U549" s="89">
        <f t="shared" si="306"/>
        <v>0</v>
      </c>
      <c r="V549" s="89">
        <f>SUM(V544:V548)</f>
        <v>0</v>
      </c>
      <c r="W549" s="89">
        <f>SUM(W544:W548)</f>
        <v>0</v>
      </c>
      <c r="X549" s="91">
        <f t="shared" si="303"/>
        <v>0</v>
      </c>
      <c r="Y549" s="87" t="str">
        <f t="shared" si="304"/>
        <v>ok</v>
      </c>
      <c r="Z549" s="91" t="str">
        <f t="shared" si="305"/>
        <v/>
      </c>
    </row>
    <row r="550" spans="1:26" ht="12" customHeight="1" x14ac:dyDescent="0.5">
      <c r="F550" s="90"/>
    </row>
    <row r="551" spans="1:26" ht="12" customHeight="1" x14ac:dyDescent="0.5">
      <c r="A551" s="23" t="s">
        <v>790</v>
      </c>
      <c r="F551" s="90"/>
    </row>
    <row r="552" spans="1:26" ht="12" customHeight="1" x14ac:dyDescent="0.5">
      <c r="A552" s="96" t="s">
        <v>389</v>
      </c>
      <c r="C552" s="86" t="s">
        <v>899</v>
      </c>
      <c r="D552" s="86" t="s">
        <v>1732</v>
      </c>
      <c r="E552" s="86" t="s">
        <v>2177</v>
      </c>
      <c r="F552" s="89">
        <f>VLOOKUP(C552,'WSS-26'!$C$1:$AU$617,24,)</f>
        <v>0</v>
      </c>
      <c r="G552" s="89">
        <f t="shared" ref="G552:P553" si="308">IF(VLOOKUP($E552,$D$5:$W$978,3,)=0,0,(VLOOKUP($E552,$D$5:$W$978,G$1,)/VLOOKUP($E552,$D$5:$W$978,3,))*$F552)</f>
        <v>0</v>
      </c>
      <c r="H552" s="89">
        <f t="shared" si="308"/>
        <v>0</v>
      </c>
      <c r="I552" s="89">
        <f t="shared" si="308"/>
        <v>0</v>
      </c>
      <c r="J552" s="89">
        <f t="shared" si="308"/>
        <v>0</v>
      </c>
      <c r="K552" s="89">
        <f t="shared" si="308"/>
        <v>0</v>
      </c>
      <c r="L552" s="89">
        <f t="shared" si="308"/>
        <v>0</v>
      </c>
      <c r="M552" s="89">
        <f t="shared" si="308"/>
        <v>0</v>
      </c>
      <c r="N552" s="89">
        <f t="shared" si="308"/>
        <v>0</v>
      </c>
      <c r="O552" s="89">
        <f t="shared" si="308"/>
        <v>0</v>
      </c>
      <c r="P552" s="89">
        <f t="shared" si="308"/>
        <v>0</v>
      </c>
      <c r="Q552" s="89">
        <f t="shared" ref="Q552:W553" si="309">IF(VLOOKUP($E552,$D$5:$W$978,3,)=0,0,(VLOOKUP($E552,$D$5:$W$978,Q$1,)/VLOOKUP($E552,$D$5:$W$978,3,))*$F552)</f>
        <v>0</v>
      </c>
      <c r="R552" s="89">
        <f t="shared" si="309"/>
        <v>0</v>
      </c>
      <c r="S552" s="89">
        <f t="shared" si="309"/>
        <v>0</v>
      </c>
      <c r="T552" s="89">
        <f t="shared" si="309"/>
        <v>0</v>
      </c>
      <c r="U552" s="89">
        <f t="shared" si="309"/>
        <v>0</v>
      </c>
      <c r="V552" s="89">
        <f t="shared" si="309"/>
        <v>0</v>
      </c>
      <c r="W552" s="89">
        <f t="shared" si="309"/>
        <v>0</v>
      </c>
      <c r="X552" s="91">
        <f>SUM(G552:W552)</f>
        <v>0</v>
      </c>
      <c r="Y552" s="87" t="str">
        <f>IF(ABS(F552-X552)&lt;0.01,"ok","err")</f>
        <v>ok</v>
      </c>
      <c r="Z552" s="203" t="str">
        <f>IF(Y552="err",X552-F552,"")</f>
        <v/>
      </c>
    </row>
    <row r="553" spans="1:26" ht="12" customHeight="1" x14ac:dyDescent="0.5">
      <c r="A553" s="96" t="s">
        <v>392</v>
      </c>
      <c r="C553" s="86" t="s">
        <v>899</v>
      </c>
      <c r="D553" s="86" t="s">
        <v>1733</v>
      </c>
      <c r="E553" s="86" t="s">
        <v>2176</v>
      </c>
      <c r="F553" s="90">
        <f>VLOOKUP(C553,'WSS-26'!$C$1:$AU$617,25,)</f>
        <v>0</v>
      </c>
      <c r="G553" s="89">
        <f t="shared" si="308"/>
        <v>0</v>
      </c>
      <c r="H553" s="89">
        <f t="shared" si="308"/>
        <v>0</v>
      </c>
      <c r="I553" s="89">
        <f t="shared" si="308"/>
        <v>0</v>
      </c>
      <c r="J553" s="89">
        <f t="shared" si="308"/>
        <v>0</v>
      </c>
      <c r="K553" s="89">
        <f t="shared" si="308"/>
        <v>0</v>
      </c>
      <c r="L553" s="89">
        <f t="shared" si="308"/>
        <v>0</v>
      </c>
      <c r="M553" s="89">
        <f t="shared" si="308"/>
        <v>0</v>
      </c>
      <c r="N553" s="89">
        <f t="shared" si="308"/>
        <v>0</v>
      </c>
      <c r="O553" s="89">
        <f t="shared" si="308"/>
        <v>0</v>
      </c>
      <c r="P553" s="89">
        <f t="shared" si="308"/>
        <v>0</v>
      </c>
      <c r="Q553" s="89">
        <f t="shared" si="309"/>
        <v>0</v>
      </c>
      <c r="R553" s="89">
        <f t="shared" si="309"/>
        <v>0</v>
      </c>
      <c r="S553" s="89">
        <f t="shared" si="309"/>
        <v>0</v>
      </c>
      <c r="T553" s="89">
        <f t="shared" si="309"/>
        <v>0</v>
      </c>
      <c r="U553" s="89">
        <f t="shared" si="309"/>
        <v>0</v>
      </c>
      <c r="V553" s="89">
        <f t="shared" si="309"/>
        <v>0</v>
      </c>
      <c r="W553" s="89">
        <f t="shared" si="309"/>
        <v>0</v>
      </c>
      <c r="X553" s="91">
        <f>SUM(G553:W553)</f>
        <v>0</v>
      </c>
      <c r="Y553" s="87" t="str">
        <f>IF(ABS(F553-X553)&lt;0.01,"ok","err")</f>
        <v>ok</v>
      </c>
      <c r="Z553" s="203" t="str">
        <f>IF(Y553="err",X553-F553,"")</f>
        <v/>
      </c>
    </row>
    <row r="554" spans="1:26" ht="12" customHeight="1" x14ac:dyDescent="0.5">
      <c r="A554" s="86" t="s">
        <v>1468</v>
      </c>
      <c r="D554" s="86" t="s">
        <v>1734</v>
      </c>
      <c r="F554" s="89">
        <f t="shared" ref="F554:U554" si="310">F552+F553</f>
        <v>0</v>
      </c>
      <c r="G554" s="89">
        <f t="shared" si="310"/>
        <v>0</v>
      </c>
      <c r="H554" s="89">
        <f t="shared" ref="H554" si="311">H552+H553</f>
        <v>0</v>
      </c>
      <c r="I554" s="89">
        <f t="shared" si="310"/>
        <v>0</v>
      </c>
      <c r="J554" s="89">
        <f>J552+J553</f>
        <v>0</v>
      </c>
      <c r="K554" s="89">
        <f>K552+K553</f>
        <v>0</v>
      </c>
      <c r="L554" s="89">
        <f>L552+L553</f>
        <v>0</v>
      </c>
      <c r="M554" s="89">
        <f t="shared" si="310"/>
        <v>0</v>
      </c>
      <c r="N554" s="89">
        <f t="shared" si="310"/>
        <v>0</v>
      </c>
      <c r="O554" s="89">
        <f t="shared" si="310"/>
        <v>0</v>
      </c>
      <c r="P554" s="89">
        <f t="shared" si="310"/>
        <v>0</v>
      </c>
      <c r="Q554" s="89">
        <f>Q552+Q553</f>
        <v>0</v>
      </c>
      <c r="R554" s="89">
        <f t="shared" si="310"/>
        <v>0</v>
      </c>
      <c r="S554" s="89">
        <f t="shared" si="310"/>
        <v>0</v>
      </c>
      <c r="T554" s="89">
        <f t="shared" si="310"/>
        <v>0</v>
      </c>
      <c r="U554" s="89">
        <f t="shared" si="310"/>
        <v>0</v>
      </c>
      <c r="V554" s="89">
        <f>V552+V553</f>
        <v>0</v>
      </c>
      <c r="W554" s="89">
        <f>W552+W553</f>
        <v>0</v>
      </c>
      <c r="X554" s="91">
        <f>SUM(G554:W554)</f>
        <v>0</v>
      </c>
      <c r="Y554" s="87" t="str">
        <f>IF(ABS(F554-X554)&lt;0.01,"ok","err")</f>
        <v>ok</v>
      </c>
      <c r="Z554" s="91" t="str">
        <f>IF(Y554="err",X554-F554,"")</f>
        <v/>
      </c>
    </row>
    <row r="555" spans="1:26" ht="12" customHeight="1" x14ac:dyDescent="0.5">
      <c r="F555" s="90"/>
    </row>
    <row r="556" spans="1:26" ht="12" customHeight="1" x14ac:dyDescent="0.5">
      <c r="A556" s="23" t="s">
        <v>128</v>
      </c>
      <c r="F556" s="90"/>
    </row>
    <row r="557" spans="1:26" ht="12" customHeight="1" x14ac:dyDescent="0.5">
      <c r="A557" s="96" t="s">
        <v>392</v>
      </c>
      <c r="C557" s="86" t="s">
        <v>899</v>
      </c>
      <c r="D557" s="86" t="s">
        <v>1735</v>
      </c>
      <c r="E557" s="86" t="s">
        <v>393</v>
      </c>
      <c r="F557" s="89">
        <f>VLOOKUP(C557,'WSS-26'!$C$1:$AU$617,26,)</f>
        <v>0</v>
      </c>
      <c r="G557" s="89">
        <f t="shared" ref="G557:W557" si="312">IF(VLOOKUP($E557,$D$5:$W$978,3,)=0,0,(VLOOKUP($E557,$D$5:$W$978,G$1,)/VLOOKUP($E557,$D$5:$W$978,3,))*$F557)</f>
        <v>0</v>
      </c>
      <c r="H557" s="89">
        <f t="shared" si="312"/>
        <v>0</v>
      </c>
      <c r="I557" s="89">
        <f t="shared" si="312"/>
        <v>0</v>
      </c>
      <c r="J557" s="89">
        <f t="shared" si="312"/>
        <v>0</v>
      </c>
      <c r="K557" s="89">
        <f t="shared" si="312"/>
        <v>0</v>
      </c>
      <c r="L557" s="89">
        <f t="shared" si="312"/>
        <v>0</v>
      </c>
      <c r="M557" s="89">
        <f t="shared" si="312"/>
        <v>0</v>
      </c>
      <c r="N557" s="89">
        <f t="shared" si="312"/>
        <v>0</v>
      </c>
      <c r="O557" s="89">
        <f t="shared" si="312"/>
        <v>0</v>
      </c>
      <c r="P557" s="89">
        <f t="shared" si="312"/>
        <v>0</v>
      </c>
      <c r="Q557" s="89">
        <f t="shared" si="312"/>
        <v>0</v>
      </c>
      <c r="R557" s="89">
        <f t="shared" si="312"/>
        <v>0</v>
      </c>
      <c r="S557" s="89">
        <f t="shared" si="312"/>
        <v>0</v>
      </c>
      <c r="T557" s="89">
        <f t="shared" si="312"/>
        <v>0</v>
      </c>
      <c r="U557" s="89">
        <f t="shared" si="312"/>
        <v>0</v>
      </c>
      <c r="V557" s="89">
        <f t="shared" si="312"/>
        <v>0</v>
      </c>
      <c r="W557" s="89">
        <f t="shared" si="312"/>
        <v>0</v>
      </c>
      <c r="X557" s="91">
        <f>SUM(G557:W557)</f>
        <v>0</v>
      </c>
      <c r="Y557" s="87" t="str">
        <f>IF(ABS(F557-X557)&lt;0.01,"ok","err")</f>
        <v>ok</v>
      </c>
      <c r="Z557" s="203" t="str">
        <f>IF(Y557="err",X557-F557,"")</f>
        <v/>
      </c>
    </row>
    <row r="558" spans="1:26" ht="12" customHeight="1" x14ac:dyDescent="0.5">
      <c r="F558" s="90"/>
    </row>
    <row r="559" spans="1:26" ht="12" customHeight="1" x14ac:dyDescent="0.5">
      <c r="A559" s="23" t="s">
        <v>127</v>
      </c>
      <c r="F559" s="90"/>
    </row>
    <row r="560" spans="1:26" ht="12" customHeight="1" x14ac:dyDescent="0.5">
      <c r="A560" s="96" t="s">
        <v>392</v>
      </c>
      <c r="C560" s="86" t="s">
        <v>899</v>
      </c>
      <c r="D560" s="86" t="s">
        <v>1736</v>
      </c>
      <c r="E560" s="86" t="s">
        <v>394</v>
      </c>
      <c r="F560" s="89">
        <f>VLOOKUP(C560,'WSS-26'!$C$1:$AU$617,27,)</f>
        <v>0</v>
      </c>
      <c r="G560" s="89">
        <f t="shared" ref="G560:W560" si="313">IF(VLOOKUP($E560,$D$5:$W$978,3,)=0,0,(VLOOKUP($E560,$D$5:$W$978,G$1,)/VLOOKUP($E560,$D$5:$W$978,3,))*$F560)</f>
        <v>0</v>
      </c>
      <c r="H560" s="89">
        <f t="shared" si="313"/>
        <v>0</v>
      </c>
      <c r="I560" s="89">
        <f t="shared" si="313"/>
        <v>0</v>
      </c>
      <c r="J560" s="89">
        <f t="shared" si="313"/>
        <v>0</v>
      </c>
      <c r="K560" s="89">
        <f t="shared" si="313"/>
        <v>0</v>
      </c>
      <c r="L560" s="89">
        <f t="shared" si="313"/>
        <v>0</v>
      </c>
      <c r="M560" s="89">
        <f t="shared" si="313"/>
        <v>0</v>
      </c>
      <c r="N560" s="89">
        <f t="shared" si="313"/>
        <v>0</v>
      </c>
      <c r="O560" s="89">
        <f t="shared" si="313"/>
        <v>0</v>
      </c>
      <c r="P560" s="89">
        <f t="shared" si="313"/>
        <v>0</v>
      </c>
      <c r="Q560" s="89">
        <f t="shared" si="313"/>
        <v>0</v>
      </c>
      <c r="R560" s="89">
        <f t="shared" si="313"/>
        <v>0</v>
      </c>
      <c r="S560" s="89">
        <f t="shared" si="313"/>
        <v>0</v>
      </c>
      <c r="T560" s="89">
        <f t="shared" si="313"/>
        <v>0</v>
      </c>
      <c r="U560" s="89">
        <f t="shared" si="313"/>
        <v>0</v>
      </c>
      <c r="V560" s="89">
        <f t="shared" si="313"/>
        <v>0</v>
      </c>
      <c r="W560" s="89">
        <f t="shared" si="313"/>
        <v>0</v>
      </c>
      <c r="X560" s="91">
        <f>SUM(G560:W560)</f>
        <v>0</v>
      </c>
      <c r="Y560" s="87" t="str">
        <f>IF(ABS(F560-X560)&lt;0.01,"ok","err")</f>
        <v>ok</v>
      </c>
      <c r="Z560" s="203" t="str">
        <f>IF(Y560="err",X560-F560,"")</f>
        <v/>
      </c>
    </row>
    <row r="561" spans="1:26" ht="12" customHeight="1" x14ac:dyDescent="0.5">
      <c r="F561" s="90"/>
    </row>
    <row r="562" spans="1:26" ht="12" customHeight="1" x14ac:dyDescent="0.5">
      <c r="A562" s="23" t="s">
        <v>144</v>
      </c>
      <c r="F562" s="90"/>
    </row>
    <row r="563" spans="1:26" ht="12" customHeight="1" x14ac:dyDescent="0.5">
      <c r="A563" s="96" t="s">
        <v>392</v>
      </c>
      <c r="C563" s="86" t="s">
        <v>899</v>
      </c>
      <c r="D563" s="86" t="s">
        <v>1737</v>
      </c>
      <c r="E563" s="86" t="s">
        <v>395</v>
      </c>
      <c r="F563" s="89">
        <f>VLOOKUP(C563,'WSS-26'!$C$1:$AU$617,28,)</f>
        <v>0</v>
      </c>
      <c r="G563" s="89">
        <f t="shared" ref="G563:W563" si="314">IF(VLOOKUP($E563,$D$5:$W$978,3,)=0,0,(VLOOKUP($E563,$D$5:$W$978,G$1,)/VLOOKUP($E563,$D$5:$W$978,3,))*$F563)</f>
        <v>0</v>
      </c>
      <c r="H563" s="89">
        <f t="shared" si="314"/>
        <v>0</v>
      </c>
      <c r="I563" s="89">
        <f t="shared" si="314"/>
        <v>0</v>
      </c>
      <c r="J563" s="89">
        <f t="shared" si="314"/>
        <v>0</v>
      </c>
      <c r="K563" s="89">
        <f t="shared" si="314"/>
        <v>0</v>
      </c>
      <c r="L563" s="89">
        <f t="shared" si="314"/>
        <v>0</v>
      </c>
      <c r="M563" s="89">
        <f t="shared" si="314"/>
        <v>0</v>
      </c>
      <c r="N563" s="89">
        <f t="shared" si="314"/>
        <v>0</v>
      </c>
      <c r="O563" s="89">
        <f t="shared" si="314"/>
        <v>0</v>
      </c>
      <c r="P563" s="89">
        <f t="shared" si="314"/>
        <v>0</v>
      </c>
      <c r="Q563" s="89">
        <f t="shared" si="314"/>
        <v>0</v>
      </c>
      <c r="R563" s="89">
        <f t="shared" si="314"/>
        <v>0</v>
      </c>
      <c r="S563" s="89">
        <f t="shared" si="314"/>
        <v>0</v>
      </c>
      <c r="T563" s="89">
        <f t="shared" si="314"/>
        <v>0</v>
      </c>
      <c r="U563" s="89">
        <f t="shared" si="314"/>
        <v>0</v>
      </c>
      <c r="V563" s="89">
        <f t="shared" si="314"/>
        <v>0</v>
      </c>
      <c r="W563" s="89">
        <f t="shared" si="314"/>
        <v>0</v>
      </c>
      <c r="X563" s="91">
        <f>SUM(G563:W563)</f>
        <v>0</v>
      </c>
      <c r="Y563" s="87" t="str">
        <f>IF(ABS(F563-X563)&lt;0.01,"ok","err")</f>
        <v>ok</v>
      </c>
      <c r="Z563" s="203" t="str">
        <f>IF(Y563="err",X563-F563,"")</f>
        <v/>
      </c>
    </row>
    <row r="564" spans="1:26" ht="12" customHeight="1" x14ac:dyDescent="0.5">
      <c r="F564" s="90"/>
    </row>
    <row r="565" spans="1:26" ht="12" customHeight="1" x14ac:dyDescent="0.5">
      <c r="A565" s="23" t="s">
        <v>292</v>
      </c>
      <c r="F565" s="90"/>
    </row>
    <row r="566" spans="1:26" ht="12" customHeight="1" x14ac:dyDescent="0.5">
      <c r="A566" s="96" t="s">
        <v>392</v>
      </c>
      <c r="C566" s="86" t="s">
        <v>899</v>
      </c>
      <c r="D566" s="86" t="s">
        <v>1738</v>
      </c>
      <c r="E566" s="86" t="s">
        <v>396</v>
      </c>
      <c r="F566" s="89">
        <f>VLOOKUP(C566,'WSS-26'!$C$1:$AU$617,30,)</f>
        <v>0</v>
      </c>
      <c r="G566" s="89">
        <f t="shared" ref="G566:W566" si="315">IF(VLOOKUP($E566,$D$5:$W$978,3,)=0,0,(VLOOKUP($E566,$D$5:$W$978,G$1,)/VLOOKUP($E566,$D$5:$W$978,3,))*$F566)</f>
        <v>0</v>
      </c>
      <c r="H566" s="89">
        <f t="shared" si="315"/>
        <v>0</v>
      </c>
      <c r="I566" s="89">
        <f t="shared" si="315"/>
        <v>0</v>
      </c>
      <c r="J566" s="89">
        <f t="shared" si="315"/>
        <v>0</v>
      </c>
      <c r="K566" s="89">
        <f t="shared" si="315"/>
        <v>0</v>
      </c>
      <c r="L566" s="89">
        <f t="shared" si="315"/>
        <v>0</v>
      </c>
      <c r="M566" s="89">
        <f t="shared" si="315"/>
        <v>0</v>
      </c>
      <c r="N566" s="89">
        <f t="shared" si="315"/>
        <v>0</v>
      </c>
      <c r="O566" s="89">
        <f t="shared" si="315"/>
        <v>0</v>
      </c>
      <c r="P566" s="89">
        <f t="shared" si="315"/>
        <v>0</v>
      </c>
      <c r="Q566" s="89">
        <f t="shared" si="315"/>
        <v>0</v>
      </c>
      <c r="R566" s="89">
        <f t="shared" si="315"/>
        <v>0</v>
      </c>
      <c r="S566" s="89">
        <f t="shared" si="315"/>
        <v>0</v>
      </c>
      <c r="T566" s="89">
        <f t="shared" si="315"/>
        <v>0</v>
      </c>
      <c r="U566" s="89">
        <f t="shared" si="315"/>
        <v>0</v>
      </c>
      <c r="V566" s="89">
        <f t="shared" si="315"/>
        <v>0</v>
      </c>
      <c r="W566" s="89">
        <f t="shared" si="315"/>
        <v>0</v>
      </c>
      <c r="X566" s="91">
        <f>SUM(G566:W566)</f>
        <v>0</v>
      </c>
      <c r="Y566" s="87" t="str">
        <f>IF(ABS(F566-X566)&lt;0.01,"ok","err")</f>
        <v>ok</v>
      </c>
      <c r="Z566" s="203" t="str">
        <f>IF(Y566="err",X566-F566,"")</f>
        <v/>
      </c>
    </row>
    <row r="567" spans="1:26" ht="12" customHeight="1" x14ac:dyDescent="0.5">
      <c r="F567" s="90"/>
    </row>
    <row r="568" spans="1:26" ht="12" customHeight="1" x14ac:dyDescent="0.5">
      <c r="A568" s="23" t="s">
        <v>1630</v>
      </c>
      <c r="F568" s="90"/>
    </row>
    <row r="569" spans="1:26" ht="12" customHeight="1" x14ac:dyDescent="0.5">
      <c r="A569" s="96" t="s">
        <v>392</v>
      </c>
      <c r="C569" s="86" t="s">
        <v>899</v>
      </c>
      <c r="D569" s="86" t="s">
        <v>1739</v>
      </c>
      <c r="E569" s="86" t="s">
        <v>396</v>
      </c>
      <c r="F569" s="89">
        <f>VLOOKUP(C569,'WSS-26'!$C$1:$AU$617,32,)</f>
        <v>0</v>
      </c>
      <c r="G569" s="89">
        <f t="shared" ref="G569:W569" si="316">IF(VLOOKUP($E569,$D$5:$W$978,3,)=0,0,(VLOOKUP($E569,$D$5:$W$978,G$1,)/VLOOKUP($E569,$D$5:$W$978,3,))*$F569)</f>
        <v>0</v>
      </c>
      <c r="H569" s="89">
        <f t="shared" si="316"/>
        <v>0</v>
      </c>
      <c r="I569" s="89">
        <f t="shared" si="316"/>
        <v>0</v>
      </c>
      <c r="J569" s="89">
        <f t="shared" si="316"/>
        <v>0</v>
      </c>
      <c r="K569" s="89">
        <f t="shared" si="316"/>
        <v>0</v>
      </c>
      <c r="L569" s="89">
        <f t="shared" si="316"/>
        <v>0</v>
      </c>
      <c r="M569" s="89">
        <f t="shared" si="316"/>
        <v>0</v>
      </c>
      <c r="N569" s="89">
        <f t="shared" si="316"/>
        <v>0</v>
      </c>
      <c r="O569" s="89">
        <f t="shared" si="316"/>
        <v>0</v>
      </c>
      <c r="P569" s="89">
        <f t="shared" si="316"/>
        <v>0</v>
      </c>
      <c r="Q569" s="89">
        <f t="shared" si="316"/>
        <v>0</v>
      </c>
      <c r="R569" s="89">
        <f t="shared" si="316"/>
        <v>0</v>
      </c>
      <c r="S569" s="89">
        <f t="shared" si="316"/>
        <v>0</v>
      </c>
      <c r="T569" s="89">
        <f t="shared" si="316"/>
        <v>0</v>
      </c>
      <c r="U569" s="89">
        <f t="shared" si="316"/>
        <v>0</v>
      </c>
      <c r="V569" s="89">
        <f t="shared" si="316"/>
        <v>0</v>
      </c>
      <c r="W569" s="89">
        <f t="shared" si="316"/>
        <v>0</v>
      </c>
      <c r="X569" s="91">
        <f>SUM(G569:W569)</f>
        <v>0</v>
      </c>
      <c r="Y569" s="87" t="str">
        <f>IF(ABS(F569-X569)&lt;0.01,"ok","err")</f>
        <v>ok</v>
      </c>
      <c r="Z569" s="203" t="str">
        <f>IF(Y569="err",X569-F569,"")</f>
        <v/>
      </c>
    </row>
    <row r="570" spans="1:26" ht="12" customHeight="1" x14ac:dyDescent="0.5">
      <c r="F570" s="90"/>
    </row>
    <row r="571" spans="1:26" ht="12" customHeight="1" x14ac:dyDescent="0.5">
      <c r="A571" s="23" t="s">
        <v>1629</v>
      </c>
      <c r="F571" s="90"/>
    </row>
    <row r="572" spans="1:26" ht="12" customHeight="1" x14ac:dyDescent="0.5">
      <c r="A572" s="96" t="s">
        <v>392</v>
      </c>
      <c r="C572" s="86" t="s">
        <v>899</v>
      </c>
      <c r="D572" s="86" t="s">
        <v>1740</v>
      </c>
      <c r="E572" s="86" t="s">
        <v>397</v>
      </c>
      <c r="F572" s="89">
        <f>VLOOKUP(C572,'WSS-26'!$C$1:$AU$617,34,)</f>
        <v>0</v>
      </c>
      <c r="G572" s="89">
        <f t="shared" ref="G572:W572" si="317">IF(VLOOKUP($E572,$D$5:$W$978,3,)=0,0,(VLOOKUP($E572,$D$5:$W$978,G$1,)/VLOOKUP($E572,$D$5:$W$978,3,))*$F572)</f>
        <v>0</v>
      </c>
      <c r="H572" s="89">
        <f t="shared" si="317"/>
        <v>0</v>
      </c>
      <c r="I572" s="89">
        <f t="shared" si="317"/>
        <v>0</v>
      </c>
      <c r="J572" s="89">
        <f t="shared" si="317"/>
        <v>0</v>
      </c>
      <c r="K572" s="89">
        <f t="shared" si="317"/>
        <v>0</v>
      </c>
      <c r="L572" s="89">
        <f t="shared" si="317"/>
        <v>0</v>
      </c>
      <c r="M572" s="89">
        <f t="shared" si="317"/>
        <v>0</v>
      </c>
      <c r="N572" s="89">
        <f t="shared" si="317"/>
        <v>0</v>
      </c>
      <c r="O572" s="89">
        <f t="shared" si="317"/>
        <v>0</v>
      </c>
      <c r="P572" s="89">
        <f t="shared" si="317"/>
        <v>0</v>
      </c>
      <c r="Q572" s="89">
        <f t="shared" si="317"/>
        <v>0</v>
      </c>
      <c r="R572" s="89">
        <f t="shared" si="317"/>
        <v>0</v>
      </c>
      <c r="S572" s="89">
        <f t="shared" si="317"/>
        <v>0</v>
      </c>
      <c r="T572" s="89">
        <f t="shared" si="317"/>
        <v>0</v>
      </c>
      <c r="U572" s="89">
        <f t="shared" si="317"/>
        <v>0</v>
      </c>
      <c r="V572" s="89">
        <f t="shared" si="317"/>
        <v>0</v>
      </c>
      <c r="W572" s="89">
        <f t="shared" si="317"/>
        <v>0</v>
      </c>
      <c r="X572" s="91">
        <f>SUM(G572:W572)</f>
        <v>0</v>
      </c>
      <c r="Y572" s="87" t="str">
        <f>IF(ABS(F572-X572)&lt;0.01,"ok","err")</f>
        <v>ok</v>
      </c>
      <c r="Z572" s="203" t="str">
        <f>IF(Y572="err",X572-F572,"")</f>
        <v/>
      </c>
    </row>
    <row r="573" spans="1:26" ht="12" customHeight="1" x14ac:dyDescent="0.5">
      <c r="F573" s="90"/>
    </row>
    <row r="574" spans="1:26" ht="12" customHeight="1" x14ac:dyDescent="0.5">
      <c r="A574" s="86" t="s">
        <v>62</v>
      </c>
      <c r="D574" s="86" t="s">
        <v>410</v>
      </c>
      <c r="F574" s="89">
        <f>F529+F535+F538+F541+F549+F554+F557+F560+F563+F566+F569+F572</f>
        <v>0</v>
      </c>
      <c r="G574" s="89">
        <f t="shared" ref="G574:U574" si="318">G529+G535+G538+G541+G549+G554+G557+G560+G563+G566+G569+G572</f>
        <v>0</v>
      </c>
      <c r="H574" s="89">
        <f t="shared" ref="H574" si="319">H529+H535+H538+H541+H549+H554+H557+H560+H563+H566+H569+H572</f>
        <v>0</v>
      </c>
      <c r="I574" s="89">
        <f t="shared" si="318"/>
        <v>0</v>
      </c>
      <c r="J574" s="89">
        <f>J529+J535+J538+J541+J549+J554+J557+J560+J563+J566+J569+J572</f>
        <v>0</v>
      </c>
      <c r="K574" s="89">
        <f>K529+K535+K538+K541+K549+K554+K557+K560+K563+K566+K569+K572</f>
        <v>0</v>
      </c>
      <c r="L574" s="89">
        <f>L529+L535+L538+L541+L549+L554+L557+L560+L563+L566+L569+L572</f>
        <v>0</v>
      </c>
      <c r="M574" s="89">
        <f t="shared" si="318"/>
        <v>0</v>
      </c>
      <c r="N574" s="89">
        <f t="shared" si="318"/>
        <v>0</v>
      </c>
      <c r="O574" s="89">
        <f t="shared" si="318"/>
        <v>0</v>
      </c>
      <c r="P574" s="89">
        <f>P529+P535+P538+P541+P549+P554+P557+P560+P563+P566+P569+P572</f>
        <v>0</v>
      </c>
      <c r="Q574" s="89">
        <f>Q529+Q535+Q538+Q541+Q549+Q554+Q557+Q560+Q563+Q566+Q569+Q572</f>
        <v>0</v>
      </c>
      <c r="R574" s="89">
        <f t="shared" si="318"/>
        <v>0</v>
      </c>
      <c r="S574" s="89">
        <f t="shared" si="318"/>
        <v>0</v>
      </c>
      <c r="T574" s="89">
        <f t="shared" si="318"/>
        <v>0</v>
      </c>
      <c r="U574" s="89">
        <f t="shared" si="318"/>
        <v>0</v>
      </c>
      <c r="V574" s="89">
        <f>V529+V535+V538+V541+V549+V554+V557+V560+V563+V566+V569+V572</f>
        <v>0</v>
      </c>
      <c r="W574" s="89">
        <f>W529+W535+W538+W541+W549+W554+W557+W560+W563+W566+W569+W572</f>
        <v>0</v>
      </c>
      <c r="X574" s="91">
        <f>SUM(G574:W574)</f>
        <v>0</v>
      </c>
      <c r="Y574" s="87" t="str">
        <f>IF(ABS(F574-X574)&lt;0.01,"ok","err")</f>
        <v>ok</v>
      </c>
      <c r="Z574" s="91" t="str">
        <f>IF(Y574="err",X574-F574,"")</f>
        <v/>
      </c>
    </row>
    <row r="575" spans="1:26" ht="12" customHeight="1" x14ac:dyDescent="0.5">
      <c r="F575" s="89"/>
      <c r="G575" s="89"/>
      <c r="H575" s="89"/>
      <c r="I575" s="89"/>
      <c r="J575" s="89"/>
      <c r="K575" s="89"/>
      <c r="L575" s="89"/>
      <c r="M575" s="89"/>
      <c r="N575" s="89"/>
      <c r="O575" s="89"/>
      <c r="P575" s="89"/>
      <c r="Q575" s="89"/>
      <c r="R575" s="89"/>
      <c r="S575" s="89"/>
      <c r="T575" s="89"/>
      <c r="U575" s="89"/>
      <c r="V575" s="89"/>
      <c r="W575" s="89"/>
      <c r="X575" s="91"/>
      <c r="Y575" s="87"/>
    </row>
    <row r="576" spans="1:26" ht="12" customHeight="1" x14ac:dyDescent="0.5">
      <c r="F576" s="89"/>
      <c r="G576" s="89"/>
      <c r="H576" s="89"/>
      <c r="I576" s="89"/>
      <c r="J576" s="89"/>
      <c r="K576" s="89"/>
      <c r="L576" s="89"/>
      <c r="M576" s="89"/>
      <c r="N576" s="89"/>
      <c r="O576" s="89"/>
      <c r="P576" s="89"/>
      <c r="Q576" s="89"/>
      <c r="R576" s="89"/>
      <c r="S576" s="89"/>
      <c r="T576" s="89"/>
      <c r="U576" s="89"/>
      <c r="V576" s="89"/>
      <c r="W576" s="89"/>
      <c r="X576" s="91"/>
      <c r="Y576" s="87"/>
    </row>
    <row r="577" spans="1:26" ht="12" customHeight="1" x14ac:dyDescent="0.5">
      <c r="F577" s="89"/>
      <c r="G577" s="89"/>
      <c r="H577" s="89"/>
      <c r="I577" s="89"/>
      <c r="J577" s="89"/>
      <c r="K577" s="89"/>
      <c r="L577" s="89"/>
      <c r="M577" s="89"/>
      <c r="N577" s="89"/>
      <c r="O577" s="89"/>
      <c r="P577" s="89"/>
      <c r="Q577" s="89"/>
      <c r="R577" s="89"/>
      <c r="S577" s="89"/>
      <c r="T577" s="89"/>
      <c r="U577" s="89"/>
      <c r="V577" s="89"/>
      <c r="W577" s="89"/>
      <c r="X577" s="91"/>
      <c r="Y577" s="87"/>
    </row>
    <row r="578" spans="1:26" ht="12" customHeight="1" x14ac:dyDescent="0.5">
      <c r="F578" s="89"/>
      <c r="G578" s="89"/>
      <c r="H578" s="89"/>
      <c r="I578" s="89"/>
      <c r="J578" s="89"/>
      <c r="K578" s="89"/>
      <c r="L578" s="89"/>
      <c r="M578" s="89"/>
      <c r="N578" s="89"/>
      <c r="O578" s="89"/>
      <c r="P578" s="89"/>
      <c r="Q578" s="89"/>
      <c r="R578" s="89"/>
      <c r="S578" s="89"/>
      <c r="T578" s="89"/>
      <c r="U578" s="89"/>
      <c r="V578" s="89"/>
      <c r="W578" s="89"/>
      <c r="X578" s="91"/>
      <c r="Y578" s="87"/>
    </row>
    <row r="579" spans="1:26" ht="12" customHeight="1" x14ac:dyDescent="0.5">
      <c r="F579" s="89"/>
      <c r="G579" s="89"/>
      <c r="H579" s="89"/>
      <c r="I579" s="89"/>
      <c r="J579" s="89"/>
      <c r="K579" s="89"/>
      <c r="L579" s="89"/>
      <c r="M579" s="89"/>
      <c r="N579" s="89"/>
      <c r="O579" s="89"/>
      <c r="P579" s="89"/>
      <c r="Q579" s="89"/>
      <c r="R579" s="89"/>
      <c r="S579" s="89"/>
      <c r="T579" s="89"/>
      <c r="U579" s="89"/>
      <c r="V579" s="89"/>
      <c r="W579" s="89"/>
      <c r="X579" s="91"/>
      <c r="Y579" s="87"/>
    </row>
    <row r="580" spans="1:26" ht="12" customHeight="1" x14ac:dyDescent="0.5">
      <c r="F580" s="89"/>
      <c r="G580" s="89"/>
      <c r="H580" s="89"/>
      <c r="I580" s="89"/>
      <c r="J580" s="89"/>
      <c r="K580" s="89"/>
      <c r="L580" s="89"/>
      <c r="M580" s="89"/>
      <c r="N580" s="89"/>
      <c r="O580" s="89"/>
      <c r="P580" s="89"/>
      <c r="Q580" s="89"/>
      <c r="R580" s="89"/>
      <c r="S580" s="89"/>
      <c r="T580" s="89"/>
      <c r="U580" s="89"/>
      <c r="V580" s="89"/>
      <c r="W580" s="89"/>
      <c r="X580" s="91"/>
      <c r="Y580" s="87"/>
    </row>
    <row r="581" spans="1:26" ht="12" customHeight="1" x14ac:dyDescent="0.5">
      <c r="F581" s="89"/>
      <c r="G581" s="89"/>
      <c r="H581" s="89"/>
      <c r="I581" s="89"/>
      <c r="J581" s="89"/>
      <c r="K581" s="89"/>
      <c r="L581" s="89"/>
      <c r="M581" s="89"/>
      <c r="N581" s="89"/>
      <c r="O581" s="89"/>
      <c r="P581" s="89"/>
      <c r="Q581" s="89"/>
      <c r="R581" s="89"/>
      <c r="S581" s="89"/>
      <c r="T581" s="89"/>
      <c r="U581" s="89"/>
      <c r="V581" s="89"/>
      <c r="W581" s="89"/>
      <c r="X581" s="91"/>
      <c r="Y581" s="87"/>
    </row>
    <row r="582" spans="1:26" ht="12" customHeight="1" x14ac:dyDescent="0.5">
      <c r="A582" s="22" t="s">
        <v>1134</v>
      </c>
    </row>
    <row r="584" spans="1:26" ht="12" customHeight="1" x14ac:dyDescent="0.5">
      <c r="A584" s="23" t="s">
        <v>137</v>
      </c>
    </row>
    <row r="585" spans="1:26" ht="12" customHeight="1" x14ac:dyDescent="0.5">
      <c r="A585" s="96" t="s">
        <v>2273</v>
      </c>
      <c r="C585" s="86" t="s">
        <v>376</v>
      </c>
      <c r="D585" s="86" t="s">
        <v>1135</v>
      </c>
      <c r="E585" s="86" t="s">
        <v>2272</v>
      </c>
      <c r="F585" s="89">
        <f>VLOOKUP(C585,'WSS-26'!$C$1:$AU$617,6,)</f>
        <v>68341836.106964022</v>
      </c>
      <c r="G585" s="89">
        <f t="shared" ref="G585:P590" si="320">IF(VLOOKUP($E585,$D$5:$W$978,3,)=0,0,(VLOOKUP($E585,$D$5:$W$978,G$1,)/VLOOKUP($E585,$D$5:$W$978,3,))*$F585)</f>
        <v>28018373.485886611</v>
      </c>
      <c r="H585" s="89">
        <f t="shared" si="320"/>
        <v>28614.029197397227</v>
      </c>
      <c r="I585" s="89">
        <f t="shared" si="320"/>
        <v>7554268.8743704185</v>
      </c>
      <c r="J585" s="89">
        <f t="shared" si="320"/>
        <v>484736.79828335741</v>
      </c>
      <c r="K585" s="89">
        <f t="shared" si="320"/>
        <v>7044658.1102027847</v>
      </c>
      <c r="L585" s="89">
        <f t="shared" si="320"/>
        <v>306056.45109525771</v>
      </c>
      <c r="M585" s="89">
        <f t="shared" si="320"/>
        <v>6775034.3194376919</v>
      </c>
      <c r="N585" s="89">
        <f t="shared" si="320"/>
        <v>12402450.138009746</v>
      </c>
      <c r="O585" s="89">
        <f t="shared" si="320"/>
        <v>4037184.2261401461</v>
      </c>
      <c r="P585" s="89">
        <f t="shared" si="320"/>
        <v>1671792.4333129814</v>
      </c>
      <c r="Q585" s="89">
        <f t="shared" ref="Q585:W590" si="321">IF(VLOOKUP($E585,$D$5:$W$978,3,)=0,0,(VLOOKUP($E585,$D$5:$W$978,Q$1,)/VLOOKUP($E585,$D$5:$W$978,3,))*$F585)</f>
        <v>10896.839790363336</v>
      </c>
      <c r="R585" s="89">
        <f t="shared" si="321"/>
        <v>396.46057342272422</v>
      </c>
      <c r="S585" s="89">
        <f t="shared" si="321"/>
        <v>6483.0345432500553</v>
      </c>
      <c r="T585" s="89">
        <f t="shared" si="321"/>
        <v>834.47752331052618</v>
      </c>
      <c r="U585" s="89">
        <f t="shared" si="321"/>
        <v>56.428597271687927</v>
      </c>
      <c r="V585" s="89">
        <f t="shared" si="321"/>
        <v>0</v>
      </c>
      <c r="W585" s="89">
        <f t="shared" si="321"/>
        <v>0</v>
      </c>
      <c r="X585" s="91">
        <f t="shared" ref="X585:X590" si="322">SUM(G585:W585)</f>
        <v>68341836.106963992</v>
      </c>
      <c r="Y585" s="87" t="str">
        <f t="shared" ref="Y585:Y590" si="323">IF(ABS(F585-X585)&lt;0.01,"ok","err")</f>
        <v>ok</v>
      </c>
      <c r="Z585" s="203" t="str">
        <f t="shared" ref="Z585:Z590" si="324">IF(Y585="err",X585-F585,"")</f>
        <v/>
      </c>
    </row>
    <row r="586" spans="1:26" ht="12" hidden="1" customHeight="1" x14ac:dyDescent="0.5">
      <c r="A586" s="96" t="s">
        <v>2274</v>
      </c>
      <c r="C586" s="86" t="s">
        <v>376</v>
      </c>
      <c r="D586" s="86" t="s">
        <v>1136</v>
      </c>
      <c r="E586" s="86" t="s">
        <v>2272</v>
      </c>
      <c r="F586" s="90">
        <f>VLOOKUP(C586,'WSS-26'!$C$1:$AU$617,7,)</f>
        <v>0</v>
      </c>
      <c r="G586" s="89">
        <f t="shared" si="320"/>
        <v>0</v>
      </c>
      <c r="H586" s="89">
        <f t="shared" si="320"/>
        <v>0</v>
      </c>
      <c r="I586" s="89">
        <f t="shared" si="320"/>
        <v>0</v>
      </c>
      <c r="J586" s="89">
        <f t="shared" si="320"/>
        <v>0</v>
      </c>
      <c r="K586" s="89">
        <f t="shared" si="320"/>
        <v>0</v>
      </c>
      <c r="L586" s="89">
        <f t="shared" si="320"/>
        <v>0</v>
      </c>
      <c r="M586" s="89">
        <f t="shared" si="320"/>
        <v>0</v>
      </c>
      <c r="N586" s="89">
        <f t="shared" si="320"/>
        <v>0</v>
      </c>
      <c r="O586" s="89">
        <f t="shared" si="320"/>
        <v>0</v>
      </c>
      <c r="P586" s="89">
        <f t="shared" si="320"/>
        <v>0</v>
      </c>
      <c r="Q586" s="89">
        <f t="shared" si="321"/>
        <v>0</v>
      </c>
      <c r="R586" s="89">
        <f t="shared" si="321"/>
        <v>0</v>
      </c>
      <c r="S586" s="89">
        <f t="shared" si="321"/>
        <v>0</v>
      </c>
      <c r="T586" s="89">
        <f t="shared" si="321"/>
        <v>0</v>
      </c>
      <c r="U586" s="89">
        <f t="shared" si="321"/>
        <v>0</v>
      </c>
      <c r="V586" s="89">
        <f t="shared" si="321"/>
        <v>0</v>
      </c>
      <c r="W586" s="89">
        <f t="shared" si="321"/>
        <v>0</v>
      </c>
      <c r="X586" s="91">
        <f t="shared" si="322"/>
        <v>0</v>
      </c>
      <c r="Y586" s="87" t="str">
        <f t="shared" si="323"/>
        <v>ok</v>
      </c>
      <c r="Z586" s="203" t="str">
        <f t="shared" si="324"/>
        <v/>
      </c>
    </row>
    <row r="587" spans="1:26" ht="12" hidden="1" customHeight="1" x14ac:dyDescent="0.5">
      <c r="A587" s="96" t="s">
        <v>2274</v>
      </c>
      <c r="C587" s="86" t="s">
        <v>376</v>
      </c>
      <c r="D587" s="86" t="s">
        <v>1137</v>
      </c>
      <c r="E587" s="86" t="s">
        <v>2272</v>
      </c>
      <c r="F587" s="90">
        <f>VLOOKUP(C587,'WSS-26'!$C$1:$AU$617,8,)</f>
        <v>0</v>
      </c>
      <c r="G587" s="89">
        <f t="shared" si="320"/>
        <v>0</v>
      </c>
      <c r="H587" s="89">
        <f t="shared" si="320"/>
        <v>0</v>
      </c>
      <c r="I587" s="89">
        <f t="shared" si="320"/>
        <v>0</v>
      </c>
      <c r="J587" s="89">
        <f t="shared" si="320"/>
        <v>0</v>
      </c>
      <c r="K587" s="89">
        <f t="shared" si="320"/>
        <v>0</v>
      </c>
      <c r="L587" s="89">
        <f t="shared" si="320"/>
        <v>0</v>
      </c>
      <c r="M587" s="89">
        <f t="shared" si="320"/>
        <v>0</v>
      </c>
      <c r="N587" s="89">
        <f t="shared" si="320"/>
        <v>0</v>
      </c>
      <c r="O587" s="89">
        <f t="shared" si="320"/>
        <v>0</v>
      </c>
      <c r="P587" s="89">
        <f t="shared" si="320"/>
        <v>0</v>
      </c>
      <c r="Q587" s="89">
        <f t="shared" si="321"/>
        <v>0</v>
      </c>
      <c r="R587" s="89">
        <f t="shared" si="321"/>
        <v>0</v>
      </c>
      <c r="S587" s="89">
        <f t="shared" si="321"/>
        <v>0</v>
      </c>
      <c r="T587" s="89">
        <f t="shared" si="321"/>
        <v>0</v>
      </c>
      <c r="U587" s="89">
        <f t="shared" si="321"/>
        <v>0</v>
      </c>
      <c r="V587" s="89">
        <f t="shared" si="321"/>
        <v>0</v>
      </c>
      <c r="W587" s="89">
        <f t="shared" si="321"/>
        <v>0</v>
      </c>
      <c r="X587" s="91">
        <f t="shared" si="322"/>
        <v>0</v>
      </c>
      <c r="Y587" s="87" t="str">
        <f t="shared" si="323"/>
        <v>ok</v>
      </c>
      <c r="Z587" s="203" t="str">
        <f t="shared" si="324"/>
        <v/>
      </c>
    </row>
    <row r="588" spans="1:26" ht="12" customHeight="1" x14ac:dyDescent="0.5">
      <c r="A588" s="96" t="s">
        <v>2276</v>
      </c>
      <c r="C588" s="86" t="s">
        <v>376</v>
      </c>
      <c r="D588" s="86" t="s">
        <v>1138</v>
      </c>
      <c r="E588" s="86" t="s">
        <v>390</v>
      </c>
      <c r="F588" s="90">
        <f>VLOOKUP(C588,'WSS-26'!$C$1:$AU$617,9,)</f>
        <v>0</v>
      </c>
      <c r="G588" s="89">
        <f t="shared" si="320"/>
        <v>0</v>
      </c>
      <c r="H588" s="89">
        <f t="shared" si="320"/>
        <v>0</v>
      </c>
      <c r="I588" s="89">
        <f t="shared" si="320"/>
        <v>0</v>
      </c>
      <c r="J588" s="89">
        <f t="shared" si="320"/>
        <v>0</v>
      </c>
      <c r="K588" s="89">
        <f t="shared" si="320"/>
        <v>0</v>
      </c>
      <c r="L588" s="89">
        <f t="shared" si="320"/>
        <v>0</v>
      </c>
      <c r="M588" s="89">
        <f t="shared" si="320"/>
        <v>0</v>
      </c>
      <c r="N588" s="89">
        <f t="shared" si="320"/>
        <v>0</v>
      </c>
      <c r="O588" s="89">
        <f t="shared" si="320"/>
        <v>0</v>
      </c>
      <c r="P588" s="89">
        <f t="shared" si="320"/>
        <v>0</v>
      </c>
      <c r="Q588" s="89">
        <f t="shared" si="321"/>
        <v>0</v>
      </c>
      <c r="R588" s="89">
        <f t="shared" si="321"/>
        <v>0</v>
      </c>
      <c r="S588" s="89">
        <f t="shared" si="321"/>
        <v>0</v>
      </c>
      <c r="T588" s="89">
        <f t="shared" si="321"/>
        <v>0</v>
      </c>
      <c r="U588" s="89">
        <f t="shared" si="321"/>
        <v>0</v>
      </c>
      <c r="V588" s="89">
        <f t="shared" si="321"/>
        <v>0</v>
      </c>
      <c r="W588" s="89">
        <f t="shared" si="321"/>
        <v>0</v>
      </c>
      <c r="X588" s="91">
        <f t="shared" si="322"/>
        <v>0</v>
      </c>
      <c r="Y588" s="87" t="str">
        <f t="shared" si="323"/>
        <v>ok</v>
      </c>
      <c r="Z588" s="203" t="str">
        <f t="shared" si="324"/>
        <v/>
      </c>
    </row>
    <row r="589" spans="1:26" ht="12" hidden="1" customHeight="1" x14ac:dyDescent="0.5">
      <c r="A589" s="96" t="s">
        <v>2275</v>
      </c>
      <c r="C589" s="86" t="s">
        <v>376</v>
      </c>
      <c r="D589" s="86" t="s">
        <v>1139</v>
      </c>
      <c r="E589" s="86" t="s">
        <v>390</v>
      </c>
      <c r="F589" s="90">
        <f>VLOOKUP(C589,'WSS-26'!$C$1:$AU$617,10,)</f>
        <v>0</v>
      </c>
      <c r="G589" s="89">
        <f t="shared" si="320"/>
        <v>0</v>
      </c>
      <c r="H589" s="89">
        <f t="shared" si="320"/>
        <v>0</v>
      </c>
      <c r="I589" s="89">
        <f t="shared" si="320"/>
        <v>0</v>
      </c>
      <c r="J589" s="89">
        <f t="shared" si="320"/>
        <v>0</v>
      </c>
      <c r="K589" s="89">
        <f t="shared" si="320"/>
        <v>0</v>
      </c>
      <c r="L589" s="89">
        <f t="shared" si="320"/>
        <v>0</v>
      </c>
      <c r="M589" s="89">
        <f t="shared" si="320"/>
        <v>0</v>
      </c>
      <c r="N589" s="89">
        <f t="shared" si="320"/>
        <v>0</v>
      </c>
      <c r="O589" s="89">
        <f t="shared" si="320"/>
        <v>0</v>
      </c>
      <c r="P589" s="89">
        <f t="shared" si="320"/>
        <v>0</v>
      </c>
      <c r="Q589" s="89">
        <f t="shared" si="321"/>
        <v>0</v>
      </c>
      <c r="R589" s="89">
        <f t="shared" si="321"/>
        <v>0</v>
      </c>
      <c r="S589" s="89">
        <f t="shared" si="321"/>
        <v>0</v>
      </c>
      <c r="T589" s="89">
        <f t="shared" si="321"/>
        <v>0</v>
      </c>
      <c r="U589" s="89">
        <f t="shared" si="321"/>
        <v>0</v>
      </c>
      <c r="V589" s="89">
        <f t="shared" si="321"/>
        <v>0</v>
      </c>
      <c r="W589" s="89">
        <f t="shared" si="321"/>
        <v>0</v>
      </c>
      <c r="X589" s="91">
        <f t="shared" si="322"/>
        <v>0</v>
      </c>
      <c r="Y589" s="87" t="str">
        <f t="shared" si="323"/>
        <v>ok</v>
      </c>
      <c r="Z589" s="203" t="str">
        <f t="shared" si="324"/>
        <v/>
      </c>
    </row>
    <row r="590" spans="1:26" ht="12" hidden="1" customHeight="1" x14ac:dyDescent="0.5">
      <c r="A590" s="96" t="s">
        <v>2275</v>
      </c>
      <c r="C590" s="86" t="s">
        <v>376</v>
      </c>
      <c r="D590" s="86" t="s">
        <v>1140</v>
      </c>
      <c r="E590" s="86" t="s">
        <v>390</v>
      </c>
      <c r="F590" s="90">
        <f>VLOOKUP(C590,'WSS-26'!$C$1:$AU$617,11,)</f>
        <v>0</v>
      </c>
      <c r="G590" s="89">
        <f t="shared" si="320"/>
        <v>0</v>
      </c>
      <c r="H590" s="89">
        <f t="shared" si="320"/>
        <v>0</v>
      </c>
      <c r="I590" s="89">
        <f t="shared" si="320"/>
        <v>0</v>
      </c>
      <c r="J590" s="89">
        <f t="shared" si="320"/>
        <v>0</v>
      </c>
      <c r="K590" s="89">
        <f t="shared" si="320"/>
        <v>0</v>
      </c>
      <c r="L590" s="89">
        <f t="shared" si="320"/>
        <v>0</v>
      </c>
      <c r="M590" s="89">
        <f t="shared" si="320"/>
        <v>0</v>
      </c>
      <c r="N590" s="89">
        <f t="shared" si="320"/>
        <v>0</v>
      </c>
      <c r="O590" s="89">
        <f t="shared" si="320"/>
        <v>0</v>
      </c>
      <c r="P590" s="89">
        <f t="shared" si="320"/>
        <v>0</v>
      </c>
      <c r="Q590" s="89">
        <f t="shared" si="321"/>
        <v>0</v>
      </c>
      <c r="R590" s="89">
        <f t="shared" si="321"/>
        <v>0</v>
      </c>
      <c r="S590" s="89">
        <f t="shared" si="321"/>
        <v>0</v>
      </c>
      <c r="T590" s="89">
        <f t="shared" si="321"/>
        <v>0</v>
      </c>
      <c r="U590" s="89">
        <f t="shared" si="321"/>
        <v>0</v>
      </c>
      <c r="V590" s="89">
        <f t="shared" si="321"/>
        <v>0</v>
      </c>
      <c r="W590" s="89">
        <f t="shared" si="321"/>
        <v>0</v>
      </c>
      <c r="X590" s="91">
        <f t="shared" si="322"/>
        <v>0</v>
      </c>
      <c r="Y590" s="87" t="str">
        <f t="shared" si="323"/>
        <v>ok</v>
      </c>
      <c r="Z590" s="203" t="str">
        <f t="shared" si="324"/>
        <v/>
      </c>
    </row>
    <row r="591" spans="1:26" ht="12" customHeight="1" x14ac:dyDescent="0.5">
      <c r="A591" s="86" t="s">
        <v>160</v>
      </c>
      <c r="D591" s="86" t="s">
        <v>1141</v>
      </c>
      <c r="F591" s="89">
        <f t="shared" ref="F591:U591" si="325">SUM(F585:F590)</f>
        <v>68341836.106964022</v>
      </c>
      <c r="G591" s="89">
        <f t="shared" si="325"/>
        <v>28018373.485886611</v>
      </c>
      <c r="H591" s="89">
        <f t="shared" ref="H591" si="326">SUM(H585:H590)</f>
        <v>28614.029197397227</v>
      </c>
      <c r="I591" s="89">
        <f t="shared" si="325"/>
        <v>7554268.8743704185</v>
      </c>
      <c r="J591" s="89">
        <f>SUM(J585:J590)</f>
        <v>484736.79828335741</v>
      </c>
      <c r="K591" s="89">
        <f>SUM(K585:K590)</f>
        <v>7044658.1102027847</v>
      </c>
      <c r="L591" s="89">
        <f>SUM(L585:L590)</f>
        <v>306056.45109525771</v>
      </c>
      <c r="M591" s="89">
        <f t="shared" si="325"/>
        <v>6775034.3194376919</v>
      </c>
      <c r="N591" s="89">
        <f t="shared" si="325"/>
        <v>12402450.138009746</v>
      </c>
      <c r="O591" s="89">
        <f t="shared" si="325"/>
        <v>4037184.2261401461</v>
      </c>
      <c r="P591" s="89">
        <f t="shared" si="325"/>
        <v>1671792.4333129814</v>
      </c>
      <c r="Q591" s="89">
        <f>SUM(Q585:Q590)</f>
        <v>10896.839790363336</v>
      </c>
      <c r="R591" s="89">
        <f t="shared" si="325"/>
        <v>396.46057342272422</v>
      </c>
      <c r="S591" s="89">
        <f t="shared" si="325"/>
        <v>6483.0345432500553</v>
      </c>
      <c r="T591" s="89">
        <f t="shared" si="325"/>
        <v>834.47752331052618</v>
      </c>
      <c r="U591" s="89">
        <f t="shared" si="325"/>
        <v>56.428597271687927</v>
      </c>
      <c r="V591" s="89">
        <f>SUM(V585:V590)</f>
        <v>0</v>
      </c>
      <c r="W591" s="89">
        <f>SUM(W585:W590)</f>
        <v>0</v>
      </c>
      <c r="X591" s="91">
        <f>SUM(G591:W591)</f>
        <v>68341836.106963992</v>
      </c>
      <c r="Y591" s="87" t="str">
        <f>IF(ABS(F591-X591)&lt;0.01,"ok","err")</f>
        <v>ok</v>
      </c>
      <c r="Z591" s="203" t="str">
        <f>IF(Y591="err",X591-F591,"")</f>
        <v/>
      </c>
    </row>
    <row r="592" spans="1:26" ht="12" customHeight="1" x14ac:dyDescent="0.5">
      <c r="F592" s="90"/>
      <c r="G592" s="90"/>
      <c r="H592" s="90"/>
    </row>
    <row r="593" spans="1:26" ht="12" customHeight="1" x14ac:dyDescent="0.5">
      <c r="A593" s="23" t="s">
        <v>441</v>
      </c>
      <c r="F593" s="90"/>
      <c r="G593" s="90"/>
      <c r="H593" s="90"/>
    </row>
    <row r="594" spans="1:26" ht="12" customHeight="1" x14ac:dyDescent="0.5">
      <c r="A594" s="96" t="s">
        <v>2247</v>
      </c>
      <c r="C594" s="86" t="s">
        <v>376</v>
      </c>
      <c r="D594" s="86" t="s">
        <v>1142</v>
      </c>
      <c r="E594" s="86" t="s">
        <v>2248</v>
      </c>
      <c r="F594" s="89">
        <f>VLOOKUP(C594,'WSS-26'!$C$1:$AU$617,13,)</f>
        <v>15624866.399741719</v>
      </c>
      <c r="G594" s="89">
        <f t="shared" ref="G594:P596" si="327">IF(VLOOKUP($E594,$D$5:$W$978,3,)=0,0,(VLOOKUP($E594,$D$5:$W$978,G$1,)/VLOOKUP($E594,$D$5:$W$978,3,))*$F594)</f>
        <v>6889606.0048501771</v>
      </c>
      <c r="H594" s="89">
        <f t="shared" si="327"/>
        <v>22134.563989119953</v>
      </c>
      <c r="I594" s="89">
        <f t="shared" si="327"/>
        <v>1772605.4620481918</v>
      </c>
      <c r="J594" s="89">
        <f t="shared" si="327"/>
        <v>181416.05049018617</v>
      </c>
      <c r="K594" s="89">
        <f t="shared" si="327"/>
        <v>1581318.9330297383</v>
      </c>
      <c r="L594" s="89">
        <f t="shared" si="327"/>
        <v>67950.565251286505</v>
      </c>
      <c r="M594" s="89">
        <f t="shared" si="327"/>
        <v>1398937.2928524495</v>
      </c>
      <c r="N594" s="89">
        <f t="shared" si="327"/>
        <v>2278358.0367028448</v>
      </c>
      <c r="O594" s="89">
        <f t="shared" si="327"/>
        <v>790085.3131333983</v>
      </c>
      <c r="P594" s="89">
        <f t="shared" si="327"/>
        <v>529417.76199906925</v>
      </c>
      <c r="Q594" s="89">
        <f t="shared" ref="Q594:W596" si="328">IF(VLOOKUP($E594,$D$5:$W$978,3,)=0,0,(VLOOKUP($E594,$D$5:$W$978,Q$1,)/VLOOKUP($E594,$D$5:$W$978,3,))*$F594)</f>
        <v>106630.56248531988</v>
      </c>
      <c r="R594" s="89">
        <f t="shared" si="328"/>
        <v>3879.5480855562932</v>
      </c>
      <c r="S594" s="89">
        <f t="shared" si="328"/>
        <v>1045.2450116076764</v>
      </c>
      <c r="T594" s="89">
        <f t="shared" si="328"/>
        <v>1471.8753562340262</v>
      </c>
      <c r="U594" s="89">
        <f t="shared" si="328"/>
        <v>9.1844565402113378</v>
      </c>
      <c r="V594" s="89">
        <f t="shared" si="328"/>
        <v>0</v>
      </c>
      <c r="W594" s="89">
        <f t="shared" si="328"/>
        <v>0</v>
      </c>
      <c r="X594" s="91">
        <f>SUM(G594:W594)</f>
        <v>15624866.399741719</v>
      </c>
      <c r="Y594" s="87" t="str">
        <f>IF(ABS(F594-X594)&lt;0.01,"ok","err")</f>
        <v>ok</v>
      </c>
      <c r="Z594" s="203" t="str">
        <f>IF(Y594="err",X594-F594,"")</f>
        <v/>
      </c>
    </row>
    <row r="595" spans="1:26" ht="12" hidden="1" customHeight="1" x14ac:dyDescent="0.5">
      <c r="A595" s="96" t="s">
        <v>2246</v>
      </c>
      <c r="C595" s="86" t="s">
        <v>376</v>
      </c>
      <c r="D595" s="86" t="s">
        <v>1143</v>
      </c>
      <c r="E595" s="86" t="s">
        <v>2248</v>
      </c>
      <c r="F595" s="90">
        <f>VLOOKUP(C595,'WSS-26'!$C$1:$AU$617,14,)</f>
        <v>0</v>
      </c>
      <c r="G595" s="89">
        <f t="shared" si="327"/>
        <v>0</v>
      </c>
      <c r="H595" s="89">
        <f t="shared" si="327"/>
        <v>0</v>
      </c>
      <c r="I595" s="89">
        <f t="shared" si="327"/>
        <v>0</v>
      </c>
      <c r="J595" s="89">
        <f t="shared" si="327"/>
        <v>0</v>
      </c>
      <c r="K595" s="89">
        <f t="shared" si="327"/>
        <v>0</v>
      </c>
      <c r="L595" s="89">
        <f t="shared" si="327"/>
        <v>0</v>
      </c>
      <c r="M595" s="89">
        <f t="shared" si="327"/>
        <v>0</v>
      </c>
      <c r="N595" s="89">
        <f t="shared" si="327"/>
        <v>0</v>
      </c>
      <c r="O595" s="89">
        <f t="shared" si="327"/>
        <v>0</v>
      </c>
      <c r="P595" s="89">
        <f t="shared" si="327"/>
        <v>0</v>
      </c>
      <c r="Q595" s="89">
        <f t="shared" si="328"/>
        <v>0</v>
      </c>
      <c r="R595" s="89">
        <f t="shared" si="328"/>
        <v>0</v>
      </c>
      <c r="S595" s="89">
        <f t="shared" si="328"/>
        <v>0</v>
      </c>
      <c r="T595" s="89">
        <f t="shared" si="328"/>
        <v>0</v>
      </c>
      <c r="U595" s="89">
        <f t="shared" si="328"/>
        <v>0</v>
      </c>
      <c r="V595" s="89">
        <f t="shared" si="328"/>
        <v>0</v>
      </c>
      <c r="W595" s="89">
        <f t="shared" si="328"/>
        <v>0</v>
      </c>
      <c r="X595" s="91">
        <f>SUM(G595:W595)</f>
        <v>0</v>
      </c>
      <c r="Y595" s="87" t="str">
        <f>IF(ABS(F595-X595)&lt;0.01,"ok","err")</f>
        <v>ok</v>
      </c>
      <c r="Z595" s="203" t="str">
        <f>IF(Y595="err",X595-F595,"")</f>
        <v/>
      </c>
    </row>
    <row r="596" spans="1:26" ht="12" hidden="1" customHeight="1" x14ac:dyDescent="0.5">
      <c r="A596" s="96" t="s">
        <v>2246</v>
      </c>
      <c r="C596" s="86" t="s">
        <v>376</v>
      </c>
      <c r="D596" s="86" t="s">
        <v>1144</v>
      </c>
      <c r="E596" s="86" t="s">
        <v>2248</v>
      </c>
      <c r="F596" s="90">
        <f>VLOOKUP(C596,'WSS-26'!$C$1:$AU$617,15,)</f>
        <v>0</v>
      </c>
      <c r="G596" s="89">
        <f t="shared" si="327"/>
        <v>0</v>
      </c>
      <c r="H596" s="89">
        <f t="shared" si="327"/>
        <v>0</v>
      </c>
      <c r="I596" s="89">
        <f t="shared" si="327"/>
        <v>0</v>
      </c>
      <c r="J596" s="89">
        <f t="shared" si="327"/>
        <v>0</v>
      </c>
      <c r="K596" s="89">
        <f t="shared" si="327"/>
        <v>0</v>
      </c>
      <c r="L596" s="89">
        <f t="shared" si="327"/>
        <v>0</v>
      </c>
      <c r="M596" s="89">
        <f t="shared" si="327"/>
        <v>0</v>
      </c>
      <c r="N596" s="89">
        <f t="shared" si="327"/>
        <v>0</v>
      </c>
      <c r="O596" s="89">
        <f t="shared" si="327"/>
        <v>0</v>
      </c>
      <c r="P596" s="89">
        <f t="shared" si="327"/>
        <v>0</v>
      </c>
      <c r="Q596" s="89">
        <f t="shared" si="328"/>
        <v>0</v>
      </c>
      <c r="R596" s="89">
        <f t="shared" si="328"/>
        <v>0</v>
      </c>
      <c r="S596" s="89">
        <f t="shared" si="328"/>
        <v>0</v>
      </c>
      <c r="T596" s="89">
        <f t="shared" si="328"/>
        <v>0</v>
      </c>
      <c r="U596" s="89">
        <f t="shared" si="328"/>
        <v>0</v>
      </c>
      <c r="V596" s="89">
        <f t="shared" si="328"/>
        <v>0</v>
      </c>
      <c r="W596" s="89">
        <f t="shared" si="328"/>
        <v>0</v>
      </c>
      <c r="X596" s="91">
        <f>SUM(G596:W596)</f>
        <v>0</v>
      </c>
      <c r="Y596" s="87" t="str">
        <f>IF(ABS(F596-X596)&lt;0.01,"ok","err")</f>
        <v>ok</v>
      </c>
      <c r="Z596" s="203" t="str">
        <f>IF(Y596="err",X596-F596,"")</f>
        <v/>
      </c>
    </row>
    <row r="597" spans="1:26" ht="12" hidden="1" customHeight="1" x14ac:dyDescent="0.5">
      <c r="A597" s="86" t="s">
        <v>443</v>
      </c>
      <c r="D597" s="86" t="s">
        <v>1145</v>
      </c>
      <c r="F597" s="89">
        <f t="shared" ref="F597:U597" si="329">SUM(F594:F596)</f>
        <v>15624866.399741719</v>
      </c>
      <c r="G597" s="89">
        <f t="shared" si="329"/>
        <v>6889606.0048501771</v>
      </c>
      <c r="H597" s="89">
        <f t="shared" ref="H597" si="330">SUM(H594:H596)</f>
        <v>22134.563989119953</v>
      </c>
      <c r="I597" s="89">
        <f t="shared" si="329"/>
        <v>1772605.4620481918</v>
      </c>
      <c r="J597" s="89">
        <f>SUM(J594:J596)</f>
        <v>181416.05049018617</v>
      </c>
      <c r="K597" s="89">
        <f>SUM(K594:K596)</f>
        <v>1581318.9330297383</v>
      </c>
      <c r="L597" s="89">
        <f>SUM(L594:L596)</f>
        <v>67950.565251286505</v>
      </c>
      <c r="M597" s="89">
        <f t="shared" si="329"/>
        <v>1398937.2928524495</v>
      </c>
      <c r="N597" s="89">
        <f t="shared" si="329"/>
        <v>2278358.0367028448</v>
      </c>
      <c r="O597" s="89">
        <f t="shared" si="329"/>
        <v>790085.3131333983</v>
      </c>
      <c r="P597" s="89">
        <f t="shared" si="329"/>
        <v>529417.76199906925</v>
      </c>
      <c r="Q597" s="89">
        <f>SUM(Q594:Q596)</f>
        <v>106630.56248531988</v>
      </c>
      <c r="R597" s="89">
        <f t="shared" si="329"/>
        <v>3879.5480855562932</v>
      </c>
      <c r="S597" s="89">
        <f t="shared" si="329"/>
        <v>1045.2450116076764</v>
      </c>
      <c r="T597" s="89">
        <f t="shared" si="329"/>
        <v>1471.8753562340262</v>
      </c>
      <c r="U597" s="89">
        <f t="shared" si="329"/>
        <v>9.1844565402113378</v>
      </c>
      <c r="V597" s="89">
        <f>SUM(V594:V596)</f>
        <v>0</v>
      </c>
      <c r="W597" s="89">
        <f>SUM(W594:W596)</f>
        <v>0</v>
      </c>
      <c r="X597" s="91">
        <f>SUM(G597:W597)</f>
        <v>15624866.399741719</v>
      </c>
      <c r="Y597" s="87" t="str">
        <f>IF(ABS(F597-X597)&lt;0.01,"ok","err")</f>
        <v>ok</v>
      </c>
      <c r="Z597" s="91" t="str">
        <f>IF(Y597="err",X597-F597,"")</f>
        <v/>
      </c>
    </row>
    <row r="598" spans="1:26" ht="12" customHeight="1" x14ac:dyDescent="0.5">
      <c r="F598" s="90"/>
      <c r="G598" s="90"/>
      <c r="H598" s="90"/>
    </row>
    <row r="599" spans="1:26" ht="12" customHeight="1" x14ac:dyDescent="0.5">
      <c r="A599" s="23" t="s">
        <v>1627</v>
      </c>
      <c r="F599" s="90"/>
      <c r="G599" s="90"/>
      <c r="H599" s="90"/>
    </row>
    <row r="600" spans="1:26" ht="12" customHeight="1" x14ac:dyDescent="0.5">
      <c r="A600" s="96" t="s">
        <v>145</v>
      </c>
      <c r="C600" s="86" t="s">
        <v>376</v>
      </c>
      <c r="D600" s="86" t="s">
        <v>1146</v>
      </c>
      <c r="E600" s="86" t="s">
        <v>2252</v>
      </c>
      <c r="F600" s="89">
        <f>VLOOKUP(C600,'WSS-26'!$C$1:$AU$617,17,)</f>
        <v>0</v>
      </c>
      <c r="G600" s="89">
        <f t="shared" ref="G600:W600" si="331">IF(VLOOKUP($E600,$D$5:$W$978,3,)=0,0,(VLOOKUP($E600,$D$5:$W$978,G$1,)/VLOOKUP($E600,$D$5:$W$978,3,))*$F600)</f>
        <v>0</v>
      </c>
      <c r="H600" s="89">
        <f t="shared" si="331"/>
        <v>0</v>
      </c>
      <c r="I600" s="89">
        <f t="shared" si="331"/>
        <v>0</v>
      </c>
      <c r="J600" s="89">
        <f t="shared" si="331"/>
        <v>0</v>
      </c>
      <c r="K600" s="89">
        <f t="shared" si="331"/>
        <v>0</v>
      </c>
      <c r="L600" s="89">
        <f t="shared" si="331"/>
        <v>0</v>
      </c>
      <c r="M600" s="89">
        <f t="shared" si="331"/>
        <v>0</v>
      </c>
      <c r="N600" s="89">
        <f t="shared" si="331"/>
        <v>0</v>
      </c>
      <c r="O600" s="89">
        <f t="shared" si="331"/>
        <v>0</v>
      </c>
      <c r="P600" s="89">
        <f t="shared" si="331"/>
        <v>0</v>
      </c>
      <c r="Q600" s="89">
        <f t="shared" si="331"/>
        <v>0</v>
      </c>
      <c r="R600" s="89">
        <f t="shared" si="331"/>
        <v>0</v>
      </c>
      <c r="S600" s="89">
        <f t="shared" si="331"/>
        <v>0</v>
      </c>
      <c r="T600" s="89">
        <f t="shared" si="331"/>
        <v>0</v>
      </c>
      <c r="U600" s="89">
        <f t="shared" si="331"/>
        <v>0</v>
      </c>
      <c r="V600" s="89">
        <f t="shared" si="331"/>
        <v>0</v>
      </c>
      <c r="W600" s="89">
        <f t="shared" si="331"/>
        <v>0</v>
      </c>
      <c r="X600" s="91">
        <f>SUM(G600:W600)</f>
        <v>0</v>
      </c>
      <c r="Y600" s="87" t="str">
        <f>IF(ABS(F600-X600)&lt;0.01,"ok","err")</f>
        <v>ok</v>
      </c>
      <c r="Z600" s="203" t="str">
        <f>IF(Y600="err",X600-F600,"")</f>
        <v/>
      </c>
    </row>
    <row r="601" spans="1:26" ht="12" customHeight="1" x14ac:dyDescent="0.5">
      <c r="F601" s="90"/>
    </row>
    <row r="602" spans="1:26" ht="12" customHeight="1" x14ac:dyDescent="0.5">
      <c r="A602" s="23" t="s">
        <v>1628</v>
      </c>
      <c r="F602" s="90"/>
      <c r="G602" s="90"/>
      <c r="H602" s="90"/>
    </row>
    <row r="603" spans="1:26" ht="12" customHeight="1" x14ac:dyDescent="0.5">
      <c r="A603" s="96" t="s">
        <v>147</v>
      </c>
      <c r="C603" s="86" t="s">
        <v>376</v>
      </c>
      <c r="D603" s="86" t="s">
        <v>1147</v>
      </c>
      <c r="E603" s="86" t="s">
        <v>2252</v>
      </c>
      <c r="F603" s="89">
        <f>VLOOKUP(C603,'WSS-26'!$C$1:$AU$617,18,)</f>
        <v>4024346.4010056118</v>
      </c>
      <c r="G603" s="89">
        <f t="shared" ref="G603:W603" si="332">IF(VLOOKUP($E603,$D$5:$W$978,3,)=0,0,(VLOOKUP($E603,$D$5:$W$978,G$1,)/VLOOKUP($E603,$D$5:$W$978,3,))*$F603)</f>
        <v>1938165.4628980064</v>
      </c>
      <c r="H603" s="89">
        <f t="shared" si="332"/>
        <v>6226.8361107757055</v>
      </c>
      <c r="I603" s="89">
        <f t="shared" si="332"/>
        <v>498664.60919064988</v>
      </c>
      <c r="J603" s="89">
        <f t="shared" si="332"/>
        <v>51035.476227219478</v>
      </c>
      <c r="K603" s="89">
        <f t="shared" si="332"/>
        <v>444852.3964457984</v>
      </c>
      <c r="L603" s="89">
        <f t="shared" si="332"/>
        <v>19115.670571252773</v>
      </c>
      <c r="M603" s="89">
        <f t="shared" si="332"/>
        <v>393545.28312038269</v>
      </c>
      <c r="N603" s="89">
        <f t="shared" si="332"/>
        <v>640941.5655619324</v>
      </c>
      <c r="O603" s="89">
        <f t="shared" si="332"/>
        <v>0</v>
      </c>
      <c r="P603" s="89">
        <f t="shared" si="332"/>
        <v>0</v>
      </c>
      <c r="Q603" s="89">
        <f t="shared" si="332"/>
        <v>29997.023538493191</v>
      </c>
      <c r="R603" s="89">
        <f t="shared" si="332"/>
        <v>1091.384050957904</v>
      </c>
      <c r="S603" s="89">
        <f t="shared" si="332"/>
        <v>294.04552021381943</v>
      </c>
      <c r="T603" s="89">
        <f t="shared" si="332"/>
        <v>414.06402327436513</v>
      </c>
      <c r="U603" s="89">
        <f t="shared" si="332"/>
        <v>2.5837466539006302</v>
      </c>
      <c r="V603" s="89">
        <f t="shared" si="332"/>
        <v>0</v>
      </c>
      <c r="W603" s="89">
        <f t="shared" si="332"/>
        <v>0</v>
      </c>
      <c r="X603" s="91">
        <f>SUM(G603:W603)</f>
        <v>4024346.4010056108</v>
      </c>
      <c r="Y603" s="87" t="str">
        <f>IF(ABS(F603-X603)&lt;0.01,"ok","err")</f>
        <v>ok</v>
      </c>
      <c r="Z603" s="203" t="str">
        <f>IF(Y603="err",X603-F603,"")</f>
        <v/>
      </c>
    </row>
    <row r="604" spans="1:26" ht="12" customHeight="1" x14ac:dyDescent="0.5">
      <c r="F604" s="90"/>
    </row>
    <row r="605" spans="1:26" ht="12" customHeight="1" x14ac:dyDescent="0.5">
      <c r="A605" s="23" t="s">
        <v>146</v>
      </c>
      <c r="F605" s="90"/>
      <c r="G605" s="89"/>
      <c r="H605" s="89"/>
      <c r="I605" s="89"/>
      <c r="J605" s="89"/>
      <c r="K605" s="89"/>
      <c r="L605" s="89"/>
      <c r="M605" s="89"/>
      <c r="N605" s="89"/>
      <c r="O605" s="89"/>
      <c r="P605" s="89"/>
      <c r="Q605" s="89"/>
      <c r="R605" s="89"/>
      <c r="S605" s="89"/>
      <c r="T605" s="89"/>
      <c r="U605" s="89"/>
      <c r="V605" s="89"/>
      <c r="W605" s="89"/>
      <c r="X605" s="91"/>
      <c r="Y605" s="87"/>
      <c r="Z605" s="203"/>
    </row>
    <row r="606" spans="1:26" ht="12" customHeight="1" x14ac:dyDescent="0.5">
      <c r="A606" s="96" t="s">
        <v>791</v>
      </c>
      <c r="C606" s="86" t="s">
        <v>376</v>
      </c>
      <c r="D606" s="86" t="s">
        <v>1148</v>
      </c>
      <c r="E606" s="86" t="s">
        <v>2252</v>
      </c>
      <c r="F606" s="89">
        <f>VLOOKUP(C606,'WSS-26'!$C$1:$AU$617,19,)</f>
        <v>0</v>
      </c>
      <c r="G606" s="89">
        <f t="shared" ref="G606:P610" si="333">IF(VLOOKUP($E606,$D$5:$W$978,3,)=0,0,(VLOOKUP($E606,$D$5:$W$978,G$1,)/VLOOKUP($E606,$D$5:$W$978,3,))*$F606)</f>
        <v>0</v>
      </c>
      <c r="H606" s="89">
        <f t="shared" si="333"/>
        <v>0</v>
      </c>
      <c r="I606" s="89">
        <f t="shared" si="333"/>
        <v>0</v>
      </c>
      <c r="J606" s="89">
        <f t="shared" si="333"/>
        <v>0</v>
      </c>
      <c r="K606" s="89">
        <f t="shared" si="333"/>
        <v>0</v>
      </c>
      <c r="L606" s="89">
        <f t="shared" si="333"/>
        <v>0</v>
      </c>
      <c r="M606" s="89">
        <f t="shared" si="333"/>
        <v>0</v>
      </c>
      <c r="N606" s="89">
        <f t="shared" si="333"/>
        <v>0</v>
      </c>
      <c r="O606" s="89">
        <f t="shared" si="333"/>
        <v>0</v>
      </c>
      <c r="P606" s="89">
        <f t="shared" si="333"/>
        <v>0</v>
      </c>
      <c r="Q606" s="89">
        <f t="shared" ref="Q606:W610" si="334">IF(VLOOKUP($E606,$D$5:$W$978,3,)=0,0,(VLOOKUP($E606,$D$5:$W$978,Q$1,)/VLOOKUP($E606,$D$5:$W$978,3,))*$F606)</f>
        <v>0</v>
      </c>
      <c r="R606" s="89">
        <f t="shared" si="334"/>
        <v>0</v>
      </c>
      <c r="S606" s="89">
        <f t="shared" si="334"/>
        <v>0</v>
      </c>
      <c r="T606" s="89">
        <f t="shared" si="334"/>
        <v>0</v>
      </c>
      <c r="U606" s="89">
        <f t="shared" si="334"/>
        <v>0</v>
      </c>
      <c r="V606" s="89">
        <f t="shared" si="334"/>
        <v>0</v>
      </c>
      <c r="W606" s="89">
        <f t="shared" si="334"/>
        <v>0</v>
      </c>
      <c r="X606" s="91">
        <f t="shared" ref="X606:X611" si="335">SUM(G606:W606)</f>
        <v>0</v>
      </c>
      <c r="Y606" s="87" t="str">
        <f t="shared" ref="Y606:Y611" si="336">IF(ABS(F606-X606)&lt;0.01,"ok","err")</f>
        <v>ok</v>
      </c>
      <c r="Z606" s="203" t="str">
        <f t="shared" ref="Z606:Z611" si="337">IF(Y606="err",X606-F606,"")</f>
        <v/>
      </c>
    </row>
    <row r="607" spans="1:26" ht="12" customHeight="1" x14ac:dyDescent="0.5">
      <c r="A607" s="96" t="s">
        <v>792</v>
      </c>
      <c r="C607" s="86" t="s">
        <v>376</v>
      </c>
      <c r="D607" s="86" t="s">
        <v>1149</v>
      </c>
      <c r="E607" s="86" t="s">
        <v>2252</v>
      </c>
      <c r="F607" s="90">
        <f>VLOOKUP(C607,'WSS-26'!$C$1:$AU$617,20,)</f>
        <v>3200777.2979566362</v>
      </c>
      <c r="G607" s="89">
        <f t="shared" si="333"/>
        <v>1541526.3486705262</v>
      </c>
      <c r="H607" s="89">
        <f t="shared" si="333"/>
        <v>4952.5348157124708</v>
      </c>
      <c r="I607" s="89">
        <f t="shared" si="333"/>
        <v>396614.55584266054</v>
      </c>
      <c r="J607" s="89">
        <f t="shared" si="333"/>
        <v>40591.235798605878</v>
      </c>
      <c r="K607" s="89">
        <f t="shared" si="333"/>
        <v>353814.83341730142</v>
      </c>
      <c r="L607" s="89">
        <f t="shared" si="333"/>
        <v>15203.712181534524</v>
      </c>
      <c r="M607" s="89">
        <f t="shared" si="333"/>
        <v>313007.55014898168</v>
      </c>
      <c r="N607" s="89">
        <f t="shared" si="333"/>
        <v>509775.00640968239</v>
      </c>
      <c r="O607" s="89">
        <f t="shared" si="333"/>
        <v>0</v>
      </c>
      <c r="P607" s="89">
        <f t="shared" si="333"/>
        <v>0</v>
      </c>
      <c r="Q607" s="89">
        <f t="shared" si="334"/>
        <v>23858.232463360444</v>
      </c>
      <c r="R607" s="89">
        <f t="shared" si="334"/>
        <v>868.03593567022483</v>
      </c>
      <c r="S607" s="89">
        <f t="shared" si="334"/>
        <v>233.8700827123281</v>
      </c>
      <c r="T607" s="89">
        <f t="shared" si="334"/>
        <v>329.32719839077492</v>
      </c>
      <c r="U607" s="89">
        <f t="shared" si="334"/>
        <v>2.0549914966092468</v>
      </c>
      <c r="V607" s="89">
        <f t="shared" si="334"/>
        <v>0</v>
      </c>
      <c r="W607" s="89">
        <f t="shared" si="334"/>
        <v>0</v>
      </c>
      <c r="X607" s="91">
        <f t="shared" si="335"/>
        <v>3200777.2979566352</v>
      </c>
      <c r="Y607" s="87" t="str">
        <f t="shared" si="336"/>
        <v>ok</v>
      </c>
      <c r="Z607" s="203" t="str">
        <f t="shared" si="337"/>
        <v/>
      </c>
    </row>
    <row r="608" spans="1:26" ht="12" customHeight="1" x14ac:dyDescent="0.5">
      <c r="A608" s="96" t="s">
        <v>793</v>
      </c>
      <c r="C608" s="86" t="s">
        <v>376</v>
      </c>
      <c r="D608" s="86" t="s">
        <v>1150</v>
      </c>
      <c r="E608" s="86" t="s">
        <v>904</v>
      </c>
      <c r="F608" s="90">
        <f>VLOOKUP(C608,'WSS-26'!$C$1:$AU$617,21,)</f>
        <v>6221559.3841182869</v>
      </c>
      <c r="G608" s="89">
        <f t="shared" si="333"/>
        <v>4990570.881705326</v>
      </c>
      <c r="H608" s="89">
        <f t="shared" si="333"/>
        <v>7298.9313681392641</v>
      </c>
      <c r="I608" s="89">
        <f t="shared" si="333"/>
        <v>935347.88603721489</v>
      </c>
      <c r="J608" s="89">
        <f t="shared" si="333"/>
        <v>4790.6298763019313</v>
      </c>
      <c r="K608" s="89">
        <f t="shared" si="333"/>
        <v>50177.328492115288</v>
      </c>
      <c r="L608" s="89">
        <f t="shared" si="333"/>
        <v>2304.9256952018727</v>
      </c>
      <c r="M608" s="89">
        <f t="shared" si="333"/>
        <v>8654.7700123756604</v>
      </c>
      <c r="N608" s="89">
        <f t="shared" si="333"/>
        <v>2892.4557743709779</v>
      </c>
      <c r="O608" s="89">
        <f t="shared" si="333"/>
        <v>0</v>
      </c>
      <c r="P608" s="89">
        <f t="shared" si="333"/>
        <v>0</v>
      </c>
      <c r="Q608" s="89">
        <f t="shared" si="334"/>
        <v>217555.60912309834</v>
      </c>
      <c r="R608" s="89">
        <f t="shared" si="334"/>
        <v>135.5838644236396</v>
      </c>
      <c r="S608" s="89">
        <f t="shared" si="334"/>
        <v>1672.2009945582215</v>
      </c>
      <c r="T608" s="89">
        <f t="shared" si="334"/>
        <v>45.19462147454653</v>
      </c>
      <c r="U608" s="89">
        <f t="shared" si="334"/>
        <v>112.98655368636631</v>
      </c>
      <c r="V608" s="89">
        <f t="shared" si="334"/>
        <v>0</v>
      </c>
      <c r="W608" s="89">
        <f t="shared" si="334"/>
        <v>0</v>
      </c>
      <c r="X608" s="91">
        <f t="shared" si="335"/>
        <v>6221559.3841182878</v>
      </c>
      <c r="Y608" s="87" t="str">
        <f t="shared" si="336"/>
        <v>ok</v>
      </c>
      <c r="Z608" s="203" t="str">
        <f t="shared" si="337"/>
        <v/>
      </c>
    </row>
    <row r="609" spans="1:26" ht="12" customHeight="1" x14ac:dyDescent="0.5">
      <c r="A609" s="96" t="s">
        <v>794</v>
      </c>
      <c r="C609" s="86" t="s">
        <v>376</v>
      </c>
      <c r="D609" s="86" t="s">
        <v>1151</v>
      </c>
      <c r="E609" s="86" t="s">
        <v>733</v>
      </c>
      <c r="F609" s="90">
        <f>VLOOKUP(C609,'WSS-26'!$C$1:$AU$617,22,)</f>
        <v>1440940.9718787491</v>
      </c>
      <c r="G609" s="89">
        <f t="shared" si="333"/>
        <v>1190044.8260026742</v>
      </c>
      <c r="H609" s="89">
        <f t="shared" si="333"/>
        <v>3578.5590234219317</v>
      </c>
      <c r="I609" s="89">
        <f t="shared" si="333"/>
        <v>222515.13068547662</v>
      </c>
      <c r="J609" s="89">
        <f t="shared" si="333"/>
        <v>16129.070516840204</v>
      </c>
      <c r="K609" s="89">
        <f t="shared" si="333"/>
        <v>0</v>
      </c>
      <c r="L609" s="89">
        <f t="shared" si="333"/>
        <v>0</v>
      </c>
      <c r="M609" s="89">
        <f t="shared" si="333"/>
        <v>0</v>
      </c>
      <c r="N609" s="89">
        <f t="shared" si="333"/>
        <v>0</v>
      </c>
      <c r="O609" s="89">
        <f t="shared" si="333"/>
        <v>0</v>
      </c>
      <c r="P609" s="89">
        <f t="shared" si="333"/>
        <v>0</v>
      </c>
      <c r="Q609" s="89">
        <f t="shared" si="334"/>
        <v>8289.8023890381901</v>
      </c>
      <c r="R609" s="89">
        <f t="shared" si="334"/>
        <v>301.60852797208815</v>
      </c>
      <c r="S609" s="89">
        <f t="shared" si="334"/>
        <v>81.260704177083213</v>
      </c>
      <c r="T609" s="89">
        <f t="shared" si="334"/>
        <v>0</v>
      </c>
      <c r="U609" s="89">
        <f t="shared" si="334"/>
        <v>0.71402914881503532</v>
      </c>
      <c r="V609" s="89">
        <f t="shared" si="334"/>
        <v>0</v>
      </c>
      <c r="W609" s="89">
        <f t="shared" si="334"/>
        <v>0</v>
      </c>
      <c r="X609" s="91">
        <f t="shared" si="335"/>
        <v>1440940.9718787493</v>
      </c>
      <c r="Y609" s="87" t="str">
        <f t="shared" si="336"/>
        <v>ok</v>
      </c>
      <c r="Z609" s="203" t="str">
        <f t="shared" si="337"/>
        <v/>
      </c>
    </row>
    <row r="610" spans="1:26" ht="12" customHeight="1" x14ac:dyDescent="0.5">
      <c r="A610" s="96" t="s">
        <v>795</v>
      </c>
      <c r="C610" s="86" t="s">
        <v>376</v>
      </c>
      <c r="D610" s="86" t="s">
        <v>1152</v>
      </c>
      <c r="E610" s="86" t="s">
        <v>903</v>
      </c>
      <c r="F610" s="90">
        <f>VLOOKUP(C610,'WSS-26'!$C$1:$AU$617,23,)</f>
        <v>2908901.9295372954</v>
      </c>
      <c r="G610" s="89">
        <f t="shared" si="333"/>
        <v>2335301.7827951005</v>
      </c>
      <c r="H610" s="89">
        <f t="shared" si="333"/>
        <v>3415.4824849797942</v>
      </c>
      <c r="I610" s="89">
        <f t="shared" si="333"/>
        <v>437689.32203802979</v>
      </c>
      <c r="J610" s="89">
        <f t="shared" si="333"/>
        <v>2241.7408260548491</v>
      </c>
      <c r="K610" s="89">
        <f t="shared" si="333"/>
        <v>23480.120303088643</v>
      </c>
      <c r="L610" s="89">
        <f t="shared" si="333"/>
        <v>0</v>
      </c>
      <c r="M610" s="89">
        <f t="shared" si="333"/>
        <v>4049.9374357500337</v>
      </c>
      <c r="N610" s="89">
        <f t="shared" si="333"/>
        <v>0</v>
      </c>
      <c r="O610" s="89">
        <f t="shared" si="333"/>
        <v>0</v>
      </c>
      <c r="P610" s="89">
        <f t="shared" si="333"/>
        <v>0</v>
      </c>
      <c r="Q610" s="89">
        <f t="shared" si="334"/>
        <v>101803.58397567482</v>
      </c>
      <c r="R610" s="89">
        <f t="shared" si="334"/>
        <v>63.445495077024034</v>
      </c>
      <c r="S610" s="89">
        <f t="shared" si="334"/>
        <v>782.49443928329651</v>
      </c>
      <c r="T610" s="89">
        <f t="shared" si="334"/>
        <v>21.148498359008009</v>
      </c>
      <c r="U610" s="89">
        <f t="shared" si="334"/>
        <v>52.871245897520026</v>
      </c>
      <c r="V610" s="89">
        <f t="shared" si="334"/>
        <v>0</v>
      </c>
      <c r="W610" s="89">
        <f t="shared" si="334"/>
        <v>0</v>
      </c>
      <c r="X610" s="91">
        <f t="shared" si="335"/>
        <v>2908901.9295372958</v>
      </c>
      <c r="Y610" s="87" t="str">
        <f t="shared" si="336"/>
        <v>ok</v>
      </c>
      <c r="Z610" s="203" t="str">
        <f t="shared" si="337"/>
        <v/>
      </c>
    </row>
    <row r="611" spans="1:26" ht="12" customHeight="1" x14ac:dyDescent="0.5">
      <c r="A611" s="86" t="s">
        <v>151</v>
      </c>
      <c r="D611" s="86" t="s">
        <v>1153</v>
      </c>
      <c r="F611" s="89">
        <f t="shared" ref="F611:U611" si="338">SUM(F606:F610)</f>
        <v>13772179.583490968</v>
      </c>
      <c r="G611" s="89">
        <f t="shared" si="338"/>
        <v>10057443.839173626</v>
      </c>
      <c r="H611" s="89">
        <f t="shared" ref="H611" si="339">SUM(H606:H610)</f>
        <v>19245.507692253461</v>
      </c>
      <c r="I611" s="89">
        <f t="shared" si="338"/>
        <v>1992166.8946033819</v>
      </c>
      <c r="J611" s="89">
        <f>SUM(J606:J610)</f>
        <v>63752.67701780286</v>
      </c>
      <c r="K611" s="89">
        <f>SUM(K606:K610)</f>
        <v>427472.28221250535</v>
      </c>
      <c r="L611" s="89">
        <f>SUM(L606:L610)</f>
        <v>17508.637876736397</v>
      </c>
      <c r="M611" s="89">
        <f t="shared" si="338"/>
        <v>325712.25759710738</v>
      </c>
      <c r="N611" s="89">
        <f t="shared" si="338"/>
        <v>512667.46218405338</v>
      </c>
      <c r="O611" s="89">
        <f t="shared" si="338"/>
        <v>0</v>
      </c>
      <c r="P611" s="89">
        <f t="shared" si="338"/>
        <v>0</v>
      </c>
      <c r="Q611" s="89">
        <f>SUM(Q606:Q610)</f>
        <v>351507.22795117181</v>
      </c>
      <c r="R611" s="89">
        <f t="shared" si="338"/>
        <v>1368.6738231429767</v>
      </c>
      <c r="S611" s="89">
        <f t="shared" si="338"/>
        <v>2769.8262207309294</v>
      </c>
      <c r="T611" s="89">
        <f t="shared" si="338"/>
        <v>395.67031822432943</v>
      </c>
      <c r="U611" s="89">
        <f t="shared" si="338"/>
        <v>168.62682022931062</v>
      </c>
      <c r="V611" s="89">
        <f>SUM(V606:V610)</f>
        <v>0</v>
      </c>
      <c r="W611" s="89">
        <f>SUM(W606:W610)</f>
        <v>0</v>
      </c>
      <c r="X611" s="91">
        <f t="shared" si="335"/>
        <v>13772179.58349096</v>
      </c>
      <c r="Y611" s="87" t="str">
        <f t="shared" si="336"/>
        <v>ok</v>
      </c>
      <c r="Z611" s="91" t="str">
        <f t="shared" si="337"/>
        <v/>
      </c>
    </row>
    <row r="612" spans="1:26" ht="12" customHeight="1" x14ac:dyDescent="0.5">
      <c r="F612" s="90"/>
    </row>
    <row r="613" spans="1:26" ht="12" customHeight="1" x14ac:dyDescent="0.5">
      <c r="A613" s="23" t="s">
        <v>790</v>
      </c>
      <c r="F613" s="90"/>
    </row>
    <row r="614" spans="1:26" ht="12" customHeight="1" x14ac:dyDescent="0.5">
      <c r="A614" s="96" t="s">
        <v>389</v>
      </c>
      <c r="C614" s="86" t="s">
        <v>376</v>
      </c>
      <c r="D614" s="86" t="s">
        <v>1154</v>
      </c>
      <c r="E614" s="86" t="s">
        <v>2177</v>
      </c>
      <c r="F614" s="89">
        <f>VLOOKUP(C614,'WSS-26'!$C$1:$AU$617,24,)</f>
        <v>2100509.0809078151</v>
      </c>
      <c r="G614" s="89">
        <f t="shared" ref="G614:P615" si="340">IF(VLOOKUP($E614,$D$5:$W$978,3,)=0,0,(VLOOKUP($E614,$D$5:$W$978,G$1,)/VLOOKUP($E614,$D$5:$W$978,3,))*$F614)</f>
        <v>1431802.0413400093</v>
      </c>
      <c r="H614" s="89">
        <f t="shared" si="340"/>
        <v>4305.5421130663508</v>
      </c>
      <c r="I614" s="89">
        <f t="shared" si="340"/>
        <v>267719.00636269682</v>
      </c>
      <c r="J614" s="89">
        <f t="shared" si="340"/>
        <v>19405.685892101737</v>
      </c>
      <c r="K614" s="89">
        <f t="shared" si="340"/>
        <v>197797.40539208069</v>
      </c>
      <c r="L614" s="89">
        <f t="shared" si="340"/>
        <v>0</v>
      </c>
      <c r="M614" s="89">
        <f t="shared" si="340"/>
        <v>168809.56979553381</v>
      </c>
      <c r="N614" s="89">
        <f t="shared" si="340"/>
        <v>0</v>
      </c>
      <c r="O614" s="89">
        <f t="shared" si="340"/>
        <v>0</v>
      </c>
      <c r="P614" s="89">
        <f t="shared" si="340"/>
        <v>0</v>
      </c>
      <c r="Q614" s="89">
        <f t="shared" ref="Q614:W615" si="341">IF(VLOOKUP($E614,$D$5:$W$978,3,)=0,0,(VLOOKUP($E614,$D$5:$W$978,Q$1,)/VLOOKUP($E614,$D$5:$W$978,3,))*$F614)</f>
        <v>9973.8730202281422</v>
      </c>
      <c r="R614" s="89">
        <f t="shared" si="341"/>
        <v>362.88020131690456</v>
      </c>
      <c r="S614" s="89">
        <f t="shared" si="341"/>
        <v>97.768789527271906</v>
      </c>
      <c r="T614" s="89">
        <f t="shared" si="341"/>
        <v>234.44891731813058</v>
      </c>
      <c r="U614" s="89">
        <f t="shared" si="341"/>
        <v>0.85908393575700426</v>
      </c>
      <c r="V614" s="89">
        <f t="shared" si="341"/>
        <v>0</v>
      </c>
      <c r="W614" s="89">
        <f t="shared" si="341"/>
        <v>0</v>
      </c>
      <c r="X614" s="91">
        <f>SUM(G614:W614)</f>
        <v>2100509.0809078151</v>
      </c>
      <c r="Y614" s="87" t="str">
        <f>IF(ABS(F614-X614)&lt;0.01,"ok","err")</f>
        <v>ok</v>
      </c>
      <c r="Z614" s="203" t="str">
        <f>IF(Y614="err",X614-F614,"")</f>
        <v/>
      </c>
    </row>
    <row r="615" spans="1:26" ht="12" customHeight="1" x14ac:dyDescent="0.5">
      <c r="A615" s="96" t="s">
        <v>392</v>
      </c>
      <c r="C615" s="86" t="s">
        <v>376</v>
      </c>
      <c r="D615" s="86" t="s">
        <v>1155</v>
      </c>
      <c r="E615" s="86" t="s">
        <v>2176</v>
      </c>
      <c r="F615" s="90">
        <f>VLOOKUP(C615,'WSS-26'!$C$1:$AU$617,25,)</f>
        <v>1745159.661032195</v>
      </c>
      <c r="G615" s="89">
        <f t="shared" si="340"/>
        <v>1401035.3619308313</v>
      </c>
      <c r="H615" s="89">
        <f t="shared" si="340"/>
        <v>2049.0763869433213</v>
      </c>
      <c r="I615" s="89">
        <f t="shared" si="340"/>
        <v>262586.28423640231</v>
      </c>
      <c r="J615" s="89">
        <f t="shared" si="340"/>
        <v>1344.9046254860186</v>
      </c>
      <c r="K615" s="89">
        <f t="shared" si="340"/>
        <v>14086.607174017474</v>
      </c>
      <c r="L615" s="89">
        <f t="shared" si="340"/>
        <v>0</v>
      </c>
      <c r="M615" s="89">
        <f t="shared" si="340"/>
        <v>2429.7097715148357</v>
      </c>
      <c r="N615" s="89">
        <f t="shared" si="340"/>
        <v>0</v>
      </c>
      <c r="O615" s="89">
        <f t="shared" si="340"/>
        <v>0</v>
      </c>
      <c r="P615" s="89">
        <f t="shared" si="340"/>
        <v>0</v>
      </c>
      <c r="Q615" s="89">
        <f t="shared" si="341"/>
        <v>61075.798499370969</v>
      </c>
      <c r="R615" s="89">
        <f t="shared" si="341"/>
        <v>38.063338457151474</v>
      </c>
      <c r="S615" s="89">
        <f t="shared" si="341"/>
        <v>469.44784097153484</v>
      </c>
      <c r="T615" s="89">
        <f t="shared" si="341"/>
        <v>12.687779485717156</v>
      </c>
      <c r="U615" s="89">
        <f t="shared" si="341"/>
        <v>31.719448714292891</v>
      </c>
      <c r="V615" s="89">
        <f t="shared" si="341"/>
        <v>0</v>
      </c>
      <c r="W615" s="89">
        <f t="shared" si="341"/>
        <v>0</v>
      </c>
      <c r="X615" s="91">
        <f>SUM(G615:W615)</f>
        <v>1745159.661032195</v>
      </c>
      <c r="Y615" s="87" t="str">
        <f>IF(ABS(F615-X615)&lt;0.01,"ok","err")</f>
        <v>ok</v>
      </c>
      <c r="Z615" s="203" t="str">
        <f>IF(Y615="err",X615-F615,"")</f>
        <v/>
      </c>
    </row>
    <row r="616" spans="1:26" ht="12" customHeight="1" x14ac:dyDescent="0.5">
      <c r="A616" s="86" t="s">
        <v>1468</v>
      </c>
      <c r="D616" s="86" t="s">
        <v>1156</v>
      </c>
      <c r="F616" s="89">
        <f t="shared" ref="F616:U616" si="342">F614+F615</f>
        <v>3845668.7419400103</v>
      </c>
      <c r="G616" s="89">
        <f t="shared" si="342"/>
        <v>2832837.4032708406</v>
      </c>
      <c r="H616" s="89">
        <f t="shared" ref="H616" si="343">H614+H615</f>
        <v>6354.6185000096721</v>
      </c>
      <c r="I616" s="89">
        <f t="shared" si="342"/>
        <v>530305.29059909913</v>
      </c>
      <c r="J616" s="89">
        <f>J614+J615</f>
        <v>20750.590517587756</v>
      </c>
      <c r="K616" s="89">
        <f>K614+K615</f>
        <v>211884.01256609816</v>
      </c>
      <c r="L616" s="89">
        <f>L614+L615</f>
        <v>0</v>
      </c>
      <c r="M616" s="89">
        <f t="shared" si="342"/>
        <v>171239.27956704865</v>
      </c>
      <c r="N616" s="89">
        <f t="shared" si="342"/>
        <v>0</v>
      </c>
      <c r="O616" s="89">
        <f t="shared" si="342"/>
        <v>0</v>
      </c>
      <c r="P616" s="89">
        <f t="shared" si="342"/>
        <v>0</v>
      </c>
      <c r="Q616" s="89">
        <f>Q614+Q615</f>
        <v>71049.671519599113</v>
      </c>
      <c r="R616" s="89">
        <f t="shared" si="342"/>
        <v>400.94353977405603</v>
      </c>
      <c r="S616" s="89">
        <f t="shared" si="342"/>
        <v>567.21663049880681</v>
      </c>
      <c r="T616" s="89">
        <f t="shared" si="342"/>
        <v>247.13669680384774</v>
      </c>
      <c r="U616" s="89">
        <f t="shared" si="342"/>
        <v>32.578532650049894</v>
      </c>
      <c r="V616" s="89">
        <f>V614+V615</f>
        <v>0</v>
      </c>
      <c r="W616" s="89">
        <f>W614+W615</f>
        <v>0</v>
      </c>
      <c r="X616" s="91">
        <f>SUM(G616:W616)</f>
        <v>3845668.7419400099</v>
      </c>
      <c r="Y616" s="87" t="str">
        <f>IF(ABS(F616-X616)&lt;0.01,"ok","err")</f>
        <v>ok</v>
      </c>
      <c r="Z616" s="91" t="str">
        <f>IF(Y616="err",X616-F616,"")</f>
        <v/>
      </c>
    </row>
    <row r="617" spans="1:26" ht="12" customHeight="1" x14ac:dyDescent="0.5">
      <c r="F617" s="90"/>
    </row>
    <row r="618" spans="1:26" ht="12" customHeight="1" x14ac:dyDescent="0.5">
      <c r="A618" s="23" t="s">
        <v>128</v>
      </c>
      <c r="F618" s="90"/>
    </row>
    <row r="619" spans="1:26" ht="12" customHeight="1" x14ac:dyDescent="0.5">
      <c r="A619" s="96" t="s">
        <v>392</v>
      </c>
      <c r="C619" s="86" t="s">
        <v>376</v>
      </c>
      <c r="D619" s="86" t="s">
        <v>1157</v>
      </c>
      <c r="E619" s="86" t="s">
        <v>393</v>
      </c>
      <c r="F619" s="89">
        <f>VLOOKUP(C619,'WSS-26'!$C$1:$AU$617,26,)</f>
        <v>1471391.4910519426</v>
      </c>
      <c r="G619" s="89">
        <f t="shared" ref="G619:W619" si="344">IF(VLOOKUP($E619,$D$5:$W$978,3,)=0,0,(VLOOKUP($E619,$D$5:$W$978,G$1,)/VLOOKUP($E619,$D$5:$W$978,3,))*$F619)</f>
        <v>1161969.8300186084</v>
      </c>
      <c r="H619" s="89">
        <f t="shared" si="344"/>
        <v>1700.0907485712883</v>
      </c>
      <c r="I619" s="89">
        <f t="shared" si="344"/>
        <v>261601.30733140756</v>
      </c>
      <c r="J619" s="89">
        <f t="shared" si="344"/>
        <v>2366.8986005641896</v>
      </c>
      <c r="K619" s="89">
        <f t="shared" si="344"/>
        <v>33996.493816453411</v>
      </c>
      <c r="L619" s="89">
        <f t="shared" si="344"/>
        <v>0</v>
      </c>
      <c r="M619" s="89">
        <f t="shared" si="344"/>
        <v>9726.2479017718688</v>
      </c>
      <c r="N619" s="89">
        <f t="shared" si="344"/>
        <v>0</v>
      </c>
      <c r="O619" s="89">
        <f t="shared" si="344"/>
        <v>0</v>
      </c>
      <c r="P619" s="89">
        <f t="shared" si="344"/>
        <v>0</v>
      </c>
      <c r="Q619" s="89">
        <f t="shared" si="344"/>
        <v>0</v>
      </c>
      <c r="R619" s="89">
        <f t="shared" si="344"/>
        <v>0</v>
      </c>
      <c r="S619" s="89">
        <f t="shared" si="344"/>
        <v>0</v>
      </c>
      <c r="T619" s="89">
        <f t="shared" si="344"/>
        <v>30.622634565946626</v>
      </c>
      <c r="U619" s="89">
        <f t="shared" si="344"/>
        <v>0</v>
      </c>
      <c r="V619" s="89">
        <f t="shared" si="344"/>
        <v>0</v>
      </c>
      <c r="W619" s="89">
        <f t="shared" si="344"/>
        <v>0</v>
      </c>
      <c r="X619" s="91">
        <f>SUM(G619:W619)</f>
        <v>1471391.4910519426</v>
      </c>
      <c r="Y619" s="87" t="str">
        <f>IF(ABS(F619-X619)&lt;0.01,"ok","err")</f>
        <v>ok</v>
      </c>
      <c r="Z619" s="203" t="str">
        <f>IF(Y619="err",X619-F619,"")</f>
        <v/>
      </c>
    </row>
    <row r="620" spans="1:26" ht="12" customHeight="1" x14ac:dyDescent="0.5">
      <c r="F620" s="90"/>
    </row>
    <row r="621" spans="1:26" ht="12" customHeight="1" x14ac:dyDescent="0.5">
      <c r="A621" s="23" t="s">
        <v>127</v>
      </c>
      <c r="F621" s="90"/>
    </row>
    <row r="622" spans="1:26" ht="12" customHeight="1" x14ac:dyDescent="0.5">
      <c r="A622" s="96" t="s">
        <v>392</v>
      </c>
      <c r="C622" s="86" t="s">
        <v>376</v>
      </c>
      <c r="D622" s="86" t="s">
        <v>1158</v>
      </c>
      <c r="E622" s="86" t="s">
        <v>394</v>
      </c>
      <c r="F622" s="89">
        <f>VLOOKUP(C622,'WSS-26'!$C$1:$AU$617,27,)</f>
        <v>875093.61186417006</v>
      </c>
      <c r="G622" s="89">
        <f t="shared" ref="G622:W622" si="345">IF(VLOOKUP($E622,$D$5:$W$978,3,)=0,0,(VLOOKUP($E622,$D$5:$W$978,G$1,)/VLOOKUP($E622,$D$5:$W$978,3,))*$F622)</f>
        <v>527902.18772095488</v>
      </c>
      <c r="H622" s="89">
        <f t="shared" si="345"/>
        <v>772.37945625538828</v>
      </c>
      <c r="I622" s="89">
        <f t="shared" si="345"/>
        <v>213335.95067350878</v>
      </c>
      <c r="J622" s="89">
        <f t="shared" si="345"/>
        <v>4354.6357820394314</v>
      </c>
      <c r="K622" s="89">
        <f t="shared" si="345"/>
        <v>66702.176040255712</v>
      </c>
      <c r="L622" s="89">
        <f t="shared" si="345"/>
        <v>13044.34341925527</v>
      </c>
      <c r="M622" s="89">
        <f t="shared" si="345"/>
        <v>11930.482762023086</v>
      </c>
      <c r="N622" s="89">
        <f t="shared" si="345"/>
        <v>23107.684534621636</v>
      </c>
      <c r="O622" s="89">
        <f t="shared" si="345"/>
        <v>11456.62496362106</v>
      </c>
      <c r="P622" s="89">
        <f t="shared" si="345"/>
        <v>707.21244337721612</v>
      </c>
      <c r="Q622" s="89">
        <f t="shared" si="345"/>
        <v>0</v>
      </c>
      <c r="R622" s="89">
        <f t="shared" si="345"/>
        <v>129.07850100670319</v>
      </c>
      <c r="S622" s="89">
        <f t="shared" si="345"/>
        <v>1590.7730077770555</v>
      </c>
      <c r="T622" s="89">
        <f t="shared" si="345"/>
        <v>60.082559473989882</v>
      </c>
      <c r="U622" s="89">
        <f t="shared" si="345"/>
        <v>0</v>
      </c>
      <c r="V622" s="89">
        <f t="shared" si="345"/>
        <v>0</v>
      </c>
      <c r="W622" s="89">
        <f t="shared" si="345"/>
        <v>0</v>
      </c>
      <c r="X622" s="91">
        <f>SUM(G622:W622)</f>
        <v>875093.61186417018</v>
      </c>
      <c r="Y622" s="87" t="str">
        <f>IF(ABS(F622-X622)&lt;0.01,"ok","err")</f>
        <v>ok</v>
      </c>
      <c r="Z622" s="203" t="str">
        <f>IF(Y622="err",X622-F622,"")</f>
        <v/>
      </c>
    </row>
    <row r="623" spans="1:26" ht="12" customHeight="1" x14ac:dyDescent="0.5">
      <c r="F623" s="90"/>
    </row>
    <row r="624" spans="1:26" ht="12" customHeight="1" x14ac:dyDescent="0.5">
      <c r="A624" s="23" t="s">
        <v>144</v>
      </c>
      <c r="F624" s="90"/>
    </row>
    <row r="625" spans="1:26" ht="12" customHeight="1" x14ac:dyDescent="0.5">
      <c r="A625" s="96" t="s">
        <v>392</v>
      </c>
      <c r="C625" s="86" t="s">
        <v>376</v>
      </c>
      <c r="D625" s="86" t="s">
        <v>1159</v>
      </c>
      <c r="E625" s="86" t="s">
        <v>395</v>
      </c>
      <c r="F625" s="89">
        <f>VLOOKUP(C625,'WSS-26'!$C$1:$AU$617,28,)</f>
        <v>1685046.6639415524</v>
      </c>
      <c r="G625" s="89">
        <f t="shared" ref="G625:W625" si="346">IF(VLOOKUP($E625,$D$5:$W$978,3,)=0,0,(VLOOKUP($E625,$D$5:$W$978,G$1,)/VLOOKUP($E625,$D$5:$W$978,3,))*$F625)</f>
        <v>0</v>
      </c>
      <c r="H625" s="89">
        <f t="shared" si="346"/>
        <v>0</v>
      </c>
      <c r="I625" s="89">
        <f t="shared" si="346"/>
        <v>0</v>
      </c>
      <c r="J625" s="89">
        <f t="shared" si="346"/>
        <v>0</v>
      </c>
      <c r="K625" s="89">
        <f t="shared" si="346"/>
        <v>0</v>
      </c>
      <c r="L625" s="89">
        <f t="shared" si="346"/>
        <v>0</v>
      </c>
      <c r="M625" s="89">
        <f t="shared" si="346"/>
        <v>0</v>
      </c>
      <c r="N625" s="89">
        <f t="shared" si="346"/>
        <v>0</v>
      </c>
      <c r="O625" s="89">
        <f t="shared" si="346"/>
        <v>0</v>
      </c>
      <c r="P625" s="89">
        <f t="shared" si="346"/>
        <v>0</v>
      </c>
      <c r="Q625" s="89">
        <f t="shared" si="346"/>
        <v>1685046.6639415524</v>
      </c>
      <c r="R625" s="89">
        <f t="shared" si="346"/>
        <v>0</v>
      </c>
      <c r="S625" s="89">
        <f t="shared" si="346"/>
        <v>0</v>
      </c>
      <c r="T625" s="89">
        <f t="shared" si="346"/>
        <v>0</v>
      </c>
      <c r="U625" s="89">
        <f t="shared" si="346"/>
        <v>0</v>
      </c>
      <c r="V625" s="89">
        <f t="shared" si="346"/>
        <v>0</v>
      </c>
      <c r="W625" s="89">
        <f t="shared" si="346"/>
        <v>0</v>
      </c>
      <c r="X625" s="91">
        <f>SUM(G625:W625)</f>
        <v>1685046.6639415524</v>
      </c>
      <c r="Y625" s="87" t="str">
        <f>IF(ABS(F625-X625)&lt;0.01,"ok","err")</f>
        <v>ok</v>
      </c>
      <c r="Z625" s="203" t="str">
        <f>IF(Y625="err",X625-F625,"")</f>
        <v/>
      </c>
    </row>
    <row r="626" spans="1:26" ht="12" customHeight="1" x14ac:dyDescent="0.5">
      <c r="F626" s="90"/>
    </row>
    <row r="627" spans="1:26" ht="12" customHeight="1" x14ac:dyDescent="0.5">
      <c r="A627" s="23" t="s">
        <v>292</v>
      </c>
      <c r="F627" s="90"/>
    </row>
    <row r="628" spans="1:26" ht="12" customHeight="1" x14ac:dyDescent="0.5">
      <c r="A628" s="96" t="s">
        <v>392</v>
      </c>
      <c r="C628" s="86" t="s">
        <v>376</v>
      </c>
      <c r="D628" s="86" t="s">
        <v>1160</v>
      </c>
      <c r="E628" s="86" t="s">
        <v>396</v>
      </c>
      <c r="F628" s="89">
        <f>VLOOKUP(C628,'WSS-26'!$C$1:$AU$617,30,)</f>
        <v>0</v>
      </c>
      <c r="G628" s="89">
        <f t="shared" ref="G628:W628" si="347">IF(VLOOKUP($E628,$D$5:$W$978,3,)=0,0,(VLOOKUP($E628,$D$5:$W$978,G$1,)/VLOOKUP($E628,$D$5:$W$978,3,))*$F628)</f>
        <v>0</v>
      </c>
      <c r="H628" s="89">
        <f t="shared" si="347"/>
        <v>0</v>
      </c>
      <c r="I628" s="89">
        <f t="shared" si="347"/>
        <v>0</v>
      </c>
      <c r="J628" s="89">
        <f t="shared" si="347"/>
        <v>0</v>
      </c>
      <c r="K628" s="89">
        <f t="shared" si="347"/>
        <v>0</v>
      </c>
      <c r="L628" s="89">
        <f t="shared" si="347"/>
        <v>0</v>
      </c>
      <c r="M628" s="89">
        <f t="shared" si="347"/>
        <v>0</v>
      </c>
      <c r="N628" s="89">
        <f t="shared" si="347"/>
        <v>0</v>
      </c>
      <c r="O628" s="89">
        <f t="shared" si="347"/>
        <v>0</v>
      </c>
      <c r="P628" s="89">
        <f t="shared" si="347"/>
        <v>0</v>
      </c>
      <c r="Q628" s="89">
        <f t="shared" si="347"/>
        <v>0</v>
      </c>
      <c r="R628" s="89">
        <f t="shared" si="347"/>
        <v>0</v>
      </c>
      <c r="S628" s="89">
        <f t="shared" si="347"/>
        <v>0</v>
      </c>
      <c r="T628" s="89">
        <f t="shared" si="347"/>
        <v>0</v>
      </c>
      <c r="U628" s="89">
        <f t="shared" si="347"/>
        <v>0</v>
      </c>
      <c r="V628" s="89">
        <f t="shared" si="347"/>
        <v>0</v>
      </c>
      <c r="W628" s="89">
        <f t="shared" si="347"/>
        <v>0</v>
      </c>
      <c r="X628" s="91">
        <f>SUM(G628:W628)</f>
        <v>0</v>
      </c>
      <c r="Y628" s="87" t="str">
        <f>IF(ABS(F628-X628)&lt;0.01,"ok","err")</f>
        <v>ok</v>
      </c>
      <c r="Z628" s="203" t="str">
        <f>IF(Y628="err",X628-F628,"")</f>
        <v/>
      </c>
    </row>
    <row r="629" spans="1:26" ht="12" customHeight="1" x14ac:dyDescent="0.5">
      <c r="F629" s="90"/>
    </row>
    <row r="630" spans="1:26" ht="12" customHeight="1" x14ac:dyDescent="0.5">
      <c r="A630" s="23" t="s">
        <v>1630</v>
      </c>
      <c r="F630" s="90"/>
    </row>
    <row r="631" spans="1:26" ht="12" customHeight="1" x14ac:dyDescent="0.5">
      <c r="A631" s="96" t="s">
        <v>392</v>
      </c>
      <c r="C631" s="86" t="s">
        <v>376</v>
      </c>
      <c r="D631" s="86" t="s">
        <v>1161</v>
      </c>
      <c r="E631" s="86" t="s">
        <v>396</v>
      </c>
      <c r="F631" s="89">
        <f>VLOOKUP(C631,'WSS-26'!$C$1:$AU$617,32,)</f>
        <v>0</v>
      </c>
      <c r="G631" s="89">
        <f t="shared" ref="G631:W631" si="348">IF(VLOOKUP($E631,$D$5:$W$978,3,)=0,0,(VLOOKUP($E631,$D$5:$W$978,G$1,)/VLOOKUP($E631,$D$5:$W$978,3,))*$F631)</f>
        <v>0</v>
      </c>
      <c r="H631" s="89">
        <f t="shared" si="348"/>
        <v>0</v>
      </c>
      <c r="I631" s="89">
        <f t="shared" si="348"/>
        <v>0</v>
      </c>
      <c r="J631" s="89">
        <f t="shared" si="348"/>
        <v>0</v>
      </c>
      <c r="K631" s="89">
        <f t="shared" si="348"/>
        <v>0</v>
      </c>
      <c r="L631" s="89">
        <f t="shared" si="348"/>
        <v>0</v>
      </c>
      <c r="M631" s="89">
        <f t="shared" si="348"/>
        <v>0</v>
      </c>
      <c r="N631" s="89">
        <f t="shared" si="348"/>
        <v>0</v>
      </c>
      <c r="O631" s="89">
        <f t="shared" si="348"/>
        <v>0</v>
      </c>
      <c r="P631" s="89">
        <f t="shared" si="348"/>
        <v>0</v>
      </c>
      <c r="Q631" s="89">
        <f t="shared" si="348"/>
        <v>0</v>
      </c>
      <c r="R631" s="89">
        <f t="shared" si="348"/>
        <v>0</v>
      </c>
      <c r="S631" s="89">
        <f t="shared" si="348"/>
        <v>0</v>
      </c>
      <c r="T631" s="89">
        <f t="shared" si="348"/>
        <v>0</v>
      </c>
      <c r="U631" s="89">
        <f t="shared" si="348"/>
        <v>0</v>
      </c>
      <c r="V631" s="89">
        <f t="shared" si="348"/>
        <v>0</v>
      </c>
      <c r="W631" s="89">
        <f t="shared" si="348"/>
        <v>0</v>
      </c>
      <c r="X631" s="91">
        <f>SUM(G631:W631)</f>
        <v>0</v>
      </c>
      <c r="Y631" s="87" t="str">
        <f>IF(ABS(F631-X631)&lt;0.01,"ok","err")</f>
        <v>ok</v>
      </c>
      <c r="Z631" s="203" t="str">
        <f>IF(Y631="err",X631-F631,"")</f>
        <v/>
      </c>
    </row>
    <row r="632" spans="1:26" ht="12" customHeight="1" x14ac:dyDescent="0.5">
      <c r="F632" s="90"/>
    </row>
    <row r="633" spans="1:26" ht="12" customHeight="1" x14ac:dyDescent="0.5">
      <c r="A633" s="23" t="s">
        <v>1629</v>
      </c>
      <c r="F633" s="90"/>
    </row>
    <row r="634" spans="1:26" ht="12" customHeight="1" x14ac:dyDescent="0.5">
      <c r="A634" s="96" t="s">
        <v>392</v>
      </c>
      <c r="C634" s="86" t="s">
        <v>376</v>
      </c>
      <c r="D634" s="86" t="s">
        <v>1162</v>
      </c>
      <c r="E634" s="86" t="s">
        <v>397</v>
      </c>
      <c r="F634" s="89">
        <f>VLOOKUP(C634,'WSS-26'!$C$1:$AU$617,34,)</f>
        <v>0</v>
      </c>
      <c r="G634" s="89">
        <f t="shared" ref="G634:W634" si="349">IF(VLOOKUP($E634,$D$5:$W$978,3,)=0,0,(VLOOKUP($E634,$D$5:$W$978,G$1,)/VLOOKUP($E634,$D$5:$W$978,3,))*$F634)</f>
        <v>0</v>
      </c>
      <c r="H634" s="89">
        <f t="shared" si="349"/>
        <v>0</v>
      </c>
      <c r="I634" s="89">
        <f t="shared" si="349"/>
        <v>0</v>
      </c>
      <c r="J634" s="89">
        <f t="shared" si="349"/>
        <v>0</v>
      </c>
      <c r="K634" s="89">
        <f t="shared" si="349"/>
        <v>0</v>
      </c>
      <c r="L634" s="89">
        <f t="shared" si="349"/>
        <v>0</v>
      </c>
      <c r="M634" s="89">
        <f t="shared" si="349"/>
        <v>0</v>
      </c>
      <c r="N634" s="89">
        <f t="shared" si="349"/>
        <v>0</v>
      </c>
      <c r="O634" s="89">
        <f t="shared" si="349"/>
        <v>0</v>
      </c>
      <c r="P634" s="89">
        <f t="shared" si="349"/>
        <v>0</v>
      </c>
      <c r="Q634" s="89">
        <f t="shared" si="349"/>
        <v>0</v>
      </c>
      <c r="R634" s="89">
        <f t="shared" si="349"/>
        <v>0</v>
      </c>
      <c r="S634" s="89">
        <f t="shared" si="349"/>
        <v>0</v>
      </c>
      <c r="T634" s="89">
        <f t="shared" si="349"/>
        <v>0</v>
      </c>
      <c r="U634" s="89">
        <f t="shared" si="349"/>
        <v>0</v>
      </c>
      <c r="V634" s="89">
        <f t="shared" si="349"/>
        <v>0</v>
      </c>
      <c r="W634" s="89">
        <f t="shared" si="349"/>
        <v>0</v>
      </c>
      <c r="X634" s="91">
        <f>SUM(G634:W634)</f>
        <v>0</v>
      </c>
      <c r="Y634" s="87" t="str">
        <f>IF(ABS(F634-X634)&lt;0.01,"ok","err")</f>
        <v>ok</v>
      </c>
      <c r="Z634" s="203" t="str">
        <f>IF(Y634="err",X634-F634,"")</f>
        <v/>
      </c>
    </row>
    <row r="635" spans="1:26" ht="12" customHeight="1" x14ac:dyDescent="0.5">
      <c r="F635" s="90"/>
    </row>
    <row r="636" spans="1:26" ht="12" customHeight="1" x14ac:dyDescent="0.5">
      <c r="A636" s="86" t="s">
        <v>62</v>
      </c>
      <c r="D636" s="86" t="s">
        <v>1163</v>
      </c>
      <c r="F636" s="89">
        <f>F591+F597+F600+F603+F611+F616+F619+F622+F625+F628+F631+F634</f>
        <v>109640428.99999999</v>
      </c>
      <c r="G636" s="89">
        <f t="shared" ref="G636:U636" si="350">G591+G597+G600+G603+G611+G616+G619+G622+G625+G628+G631+G634</f>
        <v>51426298.213818833</v>
      </c>
      <c r="H636" s="89">
        <f t="shared" ref="H636" si="351">H591+H597+H600+H603+H611+H616+H619+H622+H625+H628+H631+H634</f>
        <v>85048.025694382683</v>
      </c>
      <c r="I636" s="89">
        <f t="shared" si="350"/>
        <v>12822948.388816658</v>
      </c>
      <c r="J636" s="89">
        <f>J591+J597+J600+J603+J611+J616+J619+J622+J625+J628+J631+J634</f>
        <v>808413.12691875722</v>
      </c>
      <c r="K636" s="89">
        <f>K591+K597+K600+K603+K611+K616+K619+K622+K625+K628+K631+K634</f>
        <v>9810884.4043136351</v>
      </c>
      <c r="L636" s="89">
        <f>L591+L597+L600+L603+L611+L616+L619+L622+L625+L628+L631+L634</f>
        <v>423675.66821378865</v>
      </c>
      <c r="M636" s="89">
        <f t="shared" si="350"/>
        <v>9086125.1632384751</v>
      </c>
      <c r="N636" s="89">
        <f t="shared" si="350"/>
        <v>15857524.886993198</v>
      </c>
      <c r="O636" s="89">
        <f t="shared" si="350"/>
        <v>4838726.1642371649</v>
      </c>
      <c r="P636" s="89">
        <f>P591+P597+P600+P603+P611+P616+P619+P622+P625+P628+P631+P634</f>
        <v>2201917.407755428</v>
      </c>
      <c r="Q636" s="89">
        <f>Q591+Q597+Q600+Q603+Q611+Q616+Q619+Q622+Q625+Q628+Q631+Q634</f>
        <v>2255127.9892264996</v>
      </c>
      <c r="R636" s="89">
        <f t="shared" si="350"/>
        <v>7266.0885738606576</v>
      </c>
      <c r="S636" s="89">
        <f t="shared" si="350"/>
        <v>12750.140934078341</v>
      </c>
      <c r="T636" s="89">
        <f t="shared" si="350"/>
        <v>3453.929111887031</v>
      </c>
      <c r="U636" s="89">
        <f t="shared" si="350"/>
        <v>269.4021533451604</v>
      </c>
      <c r="V636" s="89">
        <f>V591+V597+V600+V603+V611+V616+V619+V622+V625+V628+V631+V634</f>
        <v>0</v>
      </c>
      <c r="W636" s="89">
        <f>W591+W597+W600+W603+W611+W616+W619+W622+W625+W628+W631+W634</f>
        <v>0</v>
      </c>
      <c r="X636" s="91">
        <f>SUM(G636:W636)</f>
        <v>109640429</v>
      </c>
      <c r="Y636" s="87" t="str">
        <f>IF(ABS(F636-X636)&lt;0.01,"ok","err")</f>
        <v>ok</v>
      </c>
      <c r="Z636" s="203" t="str">
        <f>IF(Y636="err",X636-F636,"")</f>
        <v/>
      </c>
    </row>
    <row r="637" spans="1:26" ht="12" customHeight="1" x14ac:dyDescent="0.5">
      <c r="F637" s="89"/>
      <c r="G637" s="89"/>
      <c r="H637" s="89"/>
      <c r="I637" s="89"/>
      <c r="J637" s="89"/>
      <c r="K637" s="89"/>
      <c r="L637" s="89"/>
      <c r="M637" s="89"/>
      <c r="N637" s="89"/>
      <c r="O637" s="89"/>
      <c r="P637" s="89"/>
      <c r="Q637" s="89"/>
      <c r="R637" s="89"/>
      <c r="S637" s="89"/>
      <c r="T637" s="89"/>
      <c r="U637" s="89"/>
      <c r="V637" s="89"/>
      <c r="W637" s="89"/>
      <c r="X637" s="91"/>
      <c r="Y637" s="87"/>
    </row>
    <row r="638" spans="1:26" ht="12" customHeight="1" x14ac:dyDescent="0.5">
      <c r="F638" s="89"/>
      <c r="G638" s="89"/>
      <c r="H638" s="89"/>
      <c r="I638" s="89"/>
      <c r="J638" s="89"/>
      <c r="K638" s="89"/>
      <c r="L638" s="89"/>
      <c r="M638" s="89"/>
      <c r="N638" s="89"/>
      <c r="O638" s="89"/>
      <c r="P638" s="89"/>
      <c r="Q638" s="89"/>
      <c r="R638" s="89"/>
      <c r="S638" s="89"/>
      <c r="T638" s="89"/>
      <c r="U638" s="89"/>
      <c r="V638" s="89"/>
      <c r="W638" s="89"/>
      <c r="X638" s="91"/>
      <c r="Y638" s="87"/>
    </row>
    <row r="639" spans="1:26" ht="12" customHeight="1" x14ac:dyDescent="0.5">
      <c r="F639" s="89"/>
      <c r="G639" s="89"/>
      <c r="H639" s="89"/>
      <c r="I639" s="89"/>
      <c r="J639" s="89"/>
      <c r="K639" s="89"/>
      <c r="L639" s="89"/>
      <c r="M639" s="89"/>
      <c r="N639" s="89"/>
      <c r="O639" s="89"/>
      <c r="P639" s="89"/>
      <c r="Q639" s="89"/>
      <c r="R639" s="89"/>
      <c r="S639" s="89"/>
      <c r="T639" s="89"/>
      <c r="U639" s="89"/>
      <c r="V639" s="89"/>
      <c r="W639" s="89"/>
      <c r="X639" s="91"/>
      <c r="Y639" s="87"/>
    </row>
    <row r="640" spans="1:26" ht="12" customHeight="1" x14ac:dyDescent="0.5">
      <c r="F640" s="89"/>
      <c r="G640" s="89"/>
      <c r="H640" s="89"/>
      <c r="I640" s="89"/>
      <c r="J640" s="89"/>
      <c r="K640" s="89"/>
      <c r="L640" s="89"/>
      <c r="M640" s="89"/>
      <c r="N640" s="89"/>
      <c r="O640" s="89"/>
      <c r="P640" s="89"/>
      <c r="Q640" s="89"/>
      <c r="R640" s="89"/>
      <c r="S640" s="89"/>
      <c r="T640" s="89"/>
      <c r="U640" s="89"/>
      <c r="V640" s="89"/>
      <c r="W640" s="89"/>
      <c r="X640" s="91"/>
      <c r="Y640" s="87"/>
    </row>
    <row r="641" spans="1:26" ht="12" customHeight="1" x14ac:dyDescent="0.5">
      <c r="F641" s="89"/>
      <c r="G641" s="89"/>
      <c r="H641" s="89"/>
      <c r="I641" s="89"/>
      <c r="J641" s="89"/>
      <c r="K641" s="89"/>
      <c r="L641" s="89"/>
      <c r="M641" s="89"/>
      <c r="N641" s="89"/>
      <c r="O641" s="89"/>
      <c r="P641" s="89"/>
      <c r="Q641" s="89"/>
      <c r="R641" s="89"/>
      <c r="S641" s="89"/>
      <c r="T641" s="89"/>
      <c r="U641" s="89"/>
      <c r="V641" s="89"/>
      <c r="W641" s="89"/>
      <c r="X641" s="91"/>
      <c r="Y641" s="87"/>
    </row>
    <row r="642" spans="1:26" ht="12" customHeight="1" x14ac:dyDescent="0.5">
      <c r="F642" s="89"/>
      <c r="G642" s="89"/>
      <c r="H642" s="89"/>
      <c r="I642" s="89"/>
      <c r="J642" s="89"/>
      <c r="K642" s="89"/>
      <c r="L642" s="89"/>
      <c r="M642" s="89"/>
      <c r="N642" s="89"/>
      <c r="O642" s="89"/>
      <c r="P642" s="89"/>
      <c r="Q642" s="89"/>
      <c r="R642" s="89"/>
      <c r="S642" s="89"/>
      <c r="T642" s="89"/>
      <c r="U642" s="89"/>
      <c r="V642" s="89"/>
      <c r="W642" s="89"/>
      <c r="X642" s="91"/>
      <c r="Y642" s="87"/>
    </row>
    <row r="643" spans="1:26" ht="12" customHeight="1" x14ac:dyDescent="0.5">
      <c r="F643" s="89"/>
      <c r="G643" s="89"/>
      <c r="H643" s="89"/>
      <c r="I643" s="89"/>
      <c r="J643" s="89"/>
      <c r="K643" s="89"/>
      <c r="L643" s="89"/>
      <c r="M643" s="89"/>
      <c r="N643" s="89"/>
      <c r="O643" s="89"/>
      <c r="P643" s="89"/>
      <c r="Q643" s="89"/>
      <c r="R643" s="89"/>
      <c r="S643" s="89"/>
      <c r="T643" s="89"/>
      <c r="U643" s="89"/>
      <c r="V643" s="89"/>
      <c r="W643" s="89"/>
      <c r="X643" s="91"/>
      <c r="Y643" s="87"/>
    </row>
    <row r="644" spans="1:26" ht="12" customHeight="1" x14ac:dyDescent="0.5">
      <c r="F644" s="89"/>
      <c r="G644" s="89"/>
      <c r="H644" s="89"/>
      <c r="I644" s="89"/>
      <c r="J644" s="89"/>
      <c r="K644" s="89"/>
      <c r="L644" s="89"/>
      <c r="M644" s="89"/>
      <c r="N644" s="89"/>
      <c r="O644" s="89"/>
      <c r="P644" s="89"/>
      <c r="Q644" s="89"/>
      <c r="R644" s="89"/>
      <c r="S644" s="89"/>
      <c r="T644" s="89"/>
      <c r="U644" s="89"/>
      <c r="V644" s="89"/>
      <c r="W644" s="89"/>
      <c r="X644" s="91"/>
      <c r="Y644" s="87"/>
    </row>
    <row r="645" spans="1:26" ht="12" customHeight="1" x14ac:dyDescent="0.5">
      <c r="F645" s="89"/>
      <c r="G645" s="89"/>
      <c r="H645" s="89"/>
      <c r="I645" s="89"/>
      <c r="J645" s="89"/>
      <c r="K645" s="89"/>
      <c r="L645" s="89"/>
      <c r="M645" s="89"/>
      <c r="N645" s="89"/>
      <c r="O645" s="89"/>
      <c r="P645" s="89"/>
      <c r="Q645" s="89"/>
      <c r="R645" s="89"/>
      <c r="S645" s="89"/>
      <c r="T645" s="89"/>
      <c r="U645" s="89"/>
      <c r="V645" s="89"/>
      <c r="W645" s="89"/>
      <c r="X645" s="91"/>
      <c r="Y645" s="87"/>
    </row>
    <row r="646" spans="1:26" ht="12" customHeight="1" x14ac:dyDescent="0.5">
      <c r="F646" s="89"/>
      <c r="G646" s="89"/>
      <c r="H646" s="89"/>
      <c r="I646" s="89"/>
      <c r="J646" s="89"/>
      <c r="K646" s="89"/>
      <c r="L646" s="89"/>
      <c r="M646" s="89"/>
      <c r="N646" s="89"/>
      <c r="O646" s="89"/>
      <c r="P646" s="89"/>
      <c r="Q646" s="89"/>
      <c r="R646" s="89"/>
      <c r="S646" s="89"/>
      <c r="T646" s="89"/>
      <c r="U646" s="89"/>
      <c r="V646" s="89"/>
      <c r="W646" s="89"/>
      <c r="X646" s="91"/>
      <c r="Y646" s="87"/>
    </row>
    <row r="647" spans="1:26" ht="12" customHeight="1" x14ac:dyDescent="0.5">
      <c r="F647" s="89"/>
      <c r="G647" s="89"/>
      <c r="H647" s="89"/>
      <c r="I647" s="89"/>
      <c r="J647" s="89"/>
      <c r="K647" s="89"/>
      <c r="L647" s="89"/>
      <c r="M647" s="89"/>
      <c r="N647" s="89"/>
      <c r="O647" s="89"/>
      <c r="P647" s="89"/>
      <c r="Q647" s="89"/>
      <c r="R647" s="89"/>
      <c r="S647" s="89"/>
      <c r="T647" s="89"/>
      <c r="U647" s="89"/>
      <c r="V647" s="89"/>
      <c r="W647" s="89"/>
      <c r="X647" s="91"/>
      <c r="Y647" s="87"/>
    </row>
    <row r="648" spans="1:26" ht="12" customHeight="1" x14ac:dyDescent="0.5">
      <c r="A648" s="22" t="s">
        <v>552</v>
      </c>
      <c r="F648" s="91"/>
    </row>
    <row r="649" spans="1:26" ht="12" customHeight="1" x14ac:dyDescent="0.5">
      <c r="F649" s="91"/>
      <c r="G649" s="91"/>
      <c r="H649" s="91"/>
    </row>
    <row r="650" spans="1:26" ht="12" customHeight="1" x14ac:dyDescent="0.5">
      <c r="A650" s="288" t="s">
        <v>411</v>
      </c>
    </row>
    <row r="651" spans="1:26" ht="12" customHeight="1" x14ac:dyDescent="0.5">
      <c r="A651" s="96" t="s">
        <v>896</v>
      </c>
      <c r="D651" s="86" t="s">
        <v>412</v>
      </c>
      <c r="E651" s="86" t="s">
        <v>494</v>
      </c>
      <c r="F651" s="89">
        <f>F826</f>
        <v>1558608458.4696758</v>
      </c>
      <c r="G651" s="89">
        <f t="shared" ref="G651:P652" si="352">IF(VLOOKUP($E651,$D$5:$AK$1060,3,)=0,0,(VLOOKUP($E651,$D$5:$AK$1060,G$1,)/VLOOKUP($E651,$D$5:$AK$1060,3,))*$F651)</f>
        <v>610498742.60889256</v>
      </c>
      <c r="H651" s="89">
        <f t="shared" si="352"/>
        <v>994054.40110739076</v>
      </c>
      <c r="I651" s="89">
        <f t="shared" si="352"/>
        <v>224799513.08000001</v>
      </c>
      <c r="J651" s="89">
        <f t="shared" si="352"/>
        <v>11901436</v>
      </c>
      <c r="K651" s="89">
        <f t="shared" si="352"/>
        <v>169760856.79999998</v>
      </c>
      <c r="L651" s="89">
        <f t="shared" si="352"/>
        <v>9429914.5700000003</v>
      </c>
      <c r="M651" s="89">
        <f t="shared" si="352"/>
        <v>134172118.09000002</v>
      </c>
      <c r="N651" s="89">
        <f t="shared" si="352"/>
        <v>250417885.84999999</v>
      </c>
      <c r="O651" s="89">
        <f t="shared" si="352"/>
        <v>82247980.760000005</v>
      </c>
      <c r="P651" s="89">
        <f t="shared" si="352"/>
        <v>32956814.48</v>
      </c>
      <c r="Q651" s="89">
        <f t="shared" ref="Q651:W652" si="353">IF(VLOOKUP($E651,$D$5:$AK$1060,3,)=0,0,(VLOOKUP($E651,$D$5:$AK$1060,Q$1,)/VLOOKUP($E651,$D$5:$AK$1060,3,))*$F651)</f>
        <v>30555893.249675885</v>
      </c>
      <c r="R651" s="89">
        <f t="shared" si="353"/>
        <v>307245.55999999994</v>
      </c>
      <c r="S651" s="89">
        <f t="shared" si="353"/>
        <v>271290.95</v>
      </c>
      <c r="T651" s="89">
        <f t="shared" si="353"/>
        <v>92319.950000000012</v>
      </c>
      <c r="U651" s="89">
        <f t="shared" si="353"/>
        <v>1533.0000000000002</v>
      </c>
      <c r="V651" s="89">
        <f t="shared" si="353"/>
        <v>162504.0000000002</v>
      </c>
      <c r="W651" s="89">
        <f t="shared" si="353"/>
        <v>38355.120000000003</v>
      </c>
      <c r="X651" s="91">
        <f>SUM(G651:W651)</f>
        <v>1558608458.4696758</v>
      </c>
      <c r="Y651" s="87" t="str">
        <f>IF(ABS(F651-X651)&lt;0.01,"ok","err")</f>
        <v>ok</v>
      </c>
      <c r="Z651" s="91" t="str">
        <f>IF(Y651="err",X651-F651,"")</f>
        <v/>
      </c>
    </row>
    <row r="652" spans="1:26" ht="12" customHeight="1" x14ac:dyDescent="0.5">
      <c r="A652" s="86" t="s">
        <v>2352</v>
      </c>
      <c r="E652" s="86" t="s">
        <v>104</v>
      </c>
      <c r="F652" s="90">
        <f>9557872.60243877-694271.5</f>
        <v>8863601.1024387702</v>
      </c>
      <c r="G652" s="90">
        <f t="shared" si="352"/>
        <v>3055519.7481216351</v>
      </c>
      <c r="H652" s="90">
        <f t="shared" si="352"/>
        <v>5024.1445088369974</v>
      </c>
      <c r="I652" s="90">
        <f t="shared" si="352"/>
        <v>864128.52119734825</v>
      </c>
      <c r="J652" s="90">
        <f t="shared" si="352"/>
        <v>66193.643769274699</v>
      </c>
      <c r="K652" s="90">
        <f t="shared" si="352"/>
        <v>874964.38868657814</v>
      </c>
      <c r="L652" s="90">
        <f t="shared" si="352"/>
        <v>39542.324591824668</v>
      </c>
      <c r="M652" s="90">
        <f t="shared" si="352"/>
        <v>918738.07330489147</v>
      </c>
      <c r="N652" s="90">
        <f t="shared" si="352"/>
        <v>1985075.4923949896</v>
      </c>
      <c r="O652" s="90">
        <f t="shared" si="352"/>
        <v>690878.16450370161</v>
      </c>
      <c r="P652" s="90">
        <f t="shared" si="352"/>
        <v>298011.92947084259</v>
      </c>
      <c r="Q652" s="90">
        <f t="shared" si="353"/>
        <v>61867.963383552473</v>
      </c>
      <c r="R652" s="90">
        <f t="shared" si="353"/>
        <v>2250.9469308068133</v>
      </c>
      <c r="S652" s="90">
        <f t="shared" si="353"/>
        <v>1232.0476065249654</v>
      </c>
      <c r="T652" s="90">
        <f t="shared" si="353"/>
        <v>168.07549232265984</v>
      </c>
      <c r="U652" s="90">
        <f t="shared" si="353"/>
        <v>5.6384756389550574</v>
      </c>
      <c r="V652" s="90">
        <f t="shared" si="353"/>
        <v>0</v>
      </c>
      <c r="W652" s="90">
        <f t="shared" si="353"/>
        <v>0</v>
      </c>
      <c r="X652" s="90">
        <f t="shared" ref="X652:X667" si="354">SUM(G652:W652)</f>
        <v>8863601.1024387684</v>
      </c>
      <c r="Y652" s="87" t="str">
        <f t="shared" ref="Y652:Y667" si="355">IF(ABS(F652-X652)&lt;0.01,"ok","err")</f>
        <v>ok</v>
      </c>
      <c r="Z652" s="91" t="str">
        <f t="shared" ref="Z652:Z667" si="356">IF(Y652="err",X652-F652,"")</f>
        <v/>
      </c>
    </row>
    <row r="653" spans="1:26" ht="12" customHeight="1" x14ac:dyDescent="0.5">
      <c r="A653" s="86" t="s">
        <v>2253</v>
      </c>
      <c r="F653" s="90">
        <v>-18634070.13000004</v>
      </c>
      <c r="G653" s="90"/>
      <c r="H653" s="90"/>
      <c r="I653" s="90"/>
      <c r="J653" s="90"/>
      <c r="K653" s="90"/>
      <c r="L653" s="90"/>
      <c r="M653" s="90"/>
      <c r="N653" s="90">
        <f>-(18120.7358333333+67917.27)*12</f>
        <v>-1032456.0699999996</v>
      </c>
      <c r="O653" s="90">
        <f>(-282176.6825)*12</f>
        <v>-3386120.19</v>
      </c>
      <c r="P653" s="90">
        <f>-1184624.48916667*12</f>
        <v>-14215493.87000004</v>
      </c>
      <c r="Q653" s="90"/>
      <c r="R653" s="90"/>
      <c r="S653" s="90"/>
      <c r="T653" s="90"/>
      <c r="U653" s="90"/>
      <c r="V653" s="90"/>
      <c r="W653" s="90"/>
      <c r="X653" s="90">
        <f t="shared" si="354"/>
        <v>-18634070.13000004</v>
      </c>
      <c r="Y653" s="87" t="str">
        <f t="shared" si="355"/>
        <v>ok</v>
      </c>
      <c r="Z653" s="91" t="str">
        <f t="shared" si="356"/>
        <v/>
      </c>
    </row>
    <row r="654" spans="1:26" ht="12" customHeight="1" x14ac:dyDescent="0.5">
      <c r="A654" s="86" t="s">
        <v>2077</v>
      </c>
      <c r="E654" s="86" t="s">
        <v>1838</v>
      </c>
      <c r="F654" s="90">
        <f>'Jurisdictional Study'!F952</f>
        <v>3870654</v>
      </c>
      <c r="G654" s="90">
        <f t="shared" ref="G654:P664" si="357">IF(VLOOKUP($E654,$D$5:$AK$1060,3,)=0,0,(VLOOKUP($E654,$D$5:$AK$1060,G$1,)/VLOOKUP($E654,$D$5:$AK$1060,3,))*$F654)</f>
        <v>3000722.6275143009</v>
      </c>
      <c r="H654" s="90">
        <f t="shared" si="357"/>
        <v>4390.3900482372183</v>
      </c>
      <c r="I654" s="90">
        <f t="shared" si="357"/>
        <v>603038.21722056426</v>
      </c>
      <c r="J654" s="90">
        <f t="shared" si="357"/>
        <v>17978.568167879603</v>
      </c>
      <c r="K654" s="90">
        <f t="shared" si="357"/>
        <v>188379.86751858002</v>
      </c>
      <c r="L654" s="90">
        <f t="shared" si="357"/>
        <v>8644.3939414093202</v>
      </c>
      <c r="M654" s="90">
        <f t="shared" si="357"/>
        <v>32506.724018507335</v>
      </c>
      <c r="N654" s="90">
        <f t="shared" si="357"/>
        <v>10840.184830315266</v>
      </c>
      <c r="O654" s="90">
        <f t="shared" si="357"/>
        <v>848.42393950211147</v>
      </c>
      <c r="P654" s="90">
        <f t="shared" si="357"/>
        <v>42.421196975105573</v>
      </c>
      <c r="Q654" s="90">
        <f t="shared" ref="Q654:W664" si="358">IF(VLOOKUP($E654,$D$5:$AK$1060,3,)=0,0,(VLOOKUP($E654,$D$5:$AK$1060,Q$1,)/VLOOKUP($E654,$D$5:$AK$1060,3,))*$F654)</f>
        <v>3262.1816037291887</v>
      </c>
      <c r="R654" s="90">
        <f t="shared" si="358"/>
        <v>0</v>
      </c>
      <c r="S654" s="90">
        <f t="shared" si="358"/>
        <v>0</v>
      </c>
      <c r="T654" s="90">
        <f t="shared" si="358"/>
        <v>0</v>
      </c>
      <c r="U654" s="90">
        <f t="shared" si="358"/>
        <v>0</v>
      </c>
      <c r="V654" s="90">
        <f t="shared" si="358"/>
        <v>0</v>
      </c>
      <c r="W654" s="90">
        <f t="shared" si="358"/>
        <v>0</v>
      </c>
      <c r="X654" s="90">
        <f t="shared" si="354"/>
        <v>3870654.0000000009</v>
      </c>
      <c r="Y654" s="87" t="str">
        <f t="shared" si="355"/>
        <v>ok</v>
      </c>
      <c r="Z654" s="91" t="str">
        <f t="shared" si="356"/>
        <v/>
      </c>
    </row>
    <row r="655" spans="1:26" ht="12" customHeight="1" x14ac:dyDescent="0.5">
      <c r="A655" s="86" t="s">
        <v>2078</v>
      </c>
      <c r="E655" s="86" t="s">
        <v>2354</v>
      </c>
      <c r="F655" s="90">
        <f>'Jurisdictional Study'!F953</f>
        <v>2104204</v>
      </c>
      <c r="G655" s="90">
        <f t="shared" si="357"/>
        <v>2001190.9648715449</v>
      </c>
      <c r="H655" s="90">
        <f t="shared" si="357"/>
        <v>2927.964356396481</v>
      </c>
      <c r="I655" s="90">
        <f t="shared" si="357"/>
        <v>96023.647610294109</v>
      </c>
      <c r="J655" s="90">
        <f t="shared" si="357"/>
        <v>268.25081663598098</v>
      </c>
      <c r="K655" s="90">
        <f t="shared" si="357"/>
        <v>2810.7384763776145</v>
      </c>
      <c r="L655" s="90">
        <f t="shared" si="357"/>
        <v>128.97944443924334</v>
      </c>
      <c r="M655" s="90">
        <f t="shared" si="357"/>
        <v>485.01945108754921</v>
      </c>
      <c r="N655" s="90">
        <f t="shared" si="357"/>
        <v>161.74193662497876</v>
      </c>
      <c r="O655" s="90">
        <f t="shared" si="357"/>
        <v>12.658984436345108</v>
      </c>
      <c r="P655" s="90">
        <f t="shared" si="357"/>
        <v>0.63294922181725555</v>
      </c>
      <c r="Q655" s="90">
        <f t="shared" si="358"/>
        <v>193.40110294117648</v>
      </c>
      <c r="R655" s="90">
        <f t="shared" si="358"/>
        <v>0</v>
      </c>
      <c r="S655" s="90">
        <f t="shared" si="358"/>
        <v>0</v>
      </c>
      <c r="T655" s="90">
        <f t="shared" si="358"/>
        <v>0</v>
      </c>
      <c r="U655" s="90">
        <f t="shared" si="358"/>
        <v>0</v>
      </c>
      <c r="V655" s="90">
        <f t="shared" si="358"/>
        <v>0</v>
      </c>
      <c r="W655" s="90">
        <f t="shared" si="358"/>
        <v>0</v>
      </c>
      <c r="X655" s="90">
        <f t="shared" si="354"/>
        <v>2104203.9999999991</v>
      </c>
      <c r="Y655" s="87" t="str">
        <f t="shared" si="355"/>
        <v>ok</v>
      </c>
      <c r="Z655" s="91" t="str">
        <f t="shared" si="356"/>
        <v/>
      </c>
    </row>
    <row r="656" spans="1:26" ht="12" customHeight="1" x14ac:dyDescent="0.5">
      <c r="A656" s="86" t="s">
        <v>2079</v>
      </c>
      <c r="E656" s="86" t="s">
        <v>2107</v>
      </c>
      <c r="F656" s="90">
        <f>'Jurisdictional Study'!F954</f>
        <v>93979</v>
      </c>
      <c r="G656" s="90">
        <f t="shared" si="357"/>
        <v>9777.2141701902437</v>
      </c>
      <c r="H656" s="90">
        <f t="shared" si="357"/>
        <v>14.305148832714822</v>
      </c>
      <c r="I656" s="90">
        <f t="shared" si="357"/>
        <v>18330.567180402548</v>
      </c>
      <c r="J656" s="90">
        <f t="shared" si="357"/>
        <v>4534.3369452632514</v>
      </c>
      <c r="K656" s="90">
        <f t="shared" si="357"/>
        <v>47510.891026314479</v>
      </c>
      <c r="L656" s="90">
        <f t="shared" si="357"/>
        <v>2180.1844536190865</v>
      </c>
      <c r="M656" s="90">
        <f t="shared" si="357"/>
        <v>8198.4526415141154</v>
      </c>
      <c r="N656" s="90">
        <f t="shared" si="357"/>
        <v>2733.9802653137463</v>
      </c>
      <c r="O656" s="90">
        <f t="shared" si="357"/>
        <v>213.97922115974256</v>
      </c>
      <c r="P656" s="90">
        <f t="shared" si="357"/>
        <v>10.698961057987129</v>
      </c>
      <c r="Q656" s="90">
        <f t="shared" si="358"/>
        <v>474.38998633208439</v>
      </c>
      <c r="R656" s="90">
        <f t="shared" si="358"/>
        <v>0</v>
      </c>
      <c r="S656" s="90">
        <f t="shared" si="358"/>
        <v>0</v>
      </c>
      <c r="T656" s="90">
        <f t="shared" si="358"/>
        <v>0</v>
      </c>
      <c r="U656" s="90">
        <f t="shared" si="358"/>
        <v>0</v>
      </c>
      <c r="V656" s="90">
        <f t="shared" si="358"/>
        <v>0</v>
      </c>
      <c r="W656" s="90">
        <f t="shared" si="358"/>
        <v>0</v>
      </c>
      <c r="X656" s="90">
        <f t="shared" si="354"/>
        <v>93979</v>
      </c>
      <c r="Y656" s="87" t="str">
        <f t="shared" si="355"/>
        <v>ok</v>
      </c>
      <c r="Z656" s="91" t="str">
        <f t="shared" si="356"/>
        <v/>
      </c>
    </row>
    <row r="657" spans="1:26" ht="12" customHeight="1" x14ac:dyDescent="0.5">
      <c r="A657" s="86" t="s">
        <v>2080</v>
      </c>
      <c r="E657" s="86" t="s">
        <v>2357</v>
      </c>
      <c r="F657" s="90">
        <f>'Jurisdictional Study'!F955</f>
        <v>2942175</v>
      </c>
      <c r="G657" s="90">
        <f t="shared" si="357"/>
        <v>1385436.5105339969</v>
      </c>
      <c r="H657" s="90">
        <f t="shared" si="357"/>
        <v>6422.9116773908454</v>
      </c>
      <c r="I657" s="90">
        <f t="shared" si="357"/>
        <v>345565.49072631658</v>
      </c>
      <c r="J657" s="90">
        <f t="shared" si="357"/>
        <v>21940.126942258998</v>
      </c>
      <c r="K657" s="90">
        <f t="shared" si="357"/>
        <v>259883.78562978545</v>
      </c>
      <c r="L657" s="90">
        <f t="shared" si="357"/>
        <v>11263.469641649506</v>
      </c>
      <c r="M657" s="90">
        <f t="shared" si="357"/>
        <v>240607.75571481112</v>
      </c>
      <c r="N657" s="90">
        <f t="shared" si="357"/>
        <v>419364.66080728208</v>
      </c>
      <c r="O657" s="90">
        <f t="shared" si="357"/>
        <v>127735.19746444409</v>
      </c>
      <c r="P657" s="90">
        <f t="shared" si="357"/>
        <v>59090.353869675389</v>
      </c>
      <c r="Q657" s="90">
        <f t="shared" si="358"/>
        <v>64191.573608192586</v>
      </c>
      <c r="R657" s="90">
        <f t="shared" si="358"/>
        <v>225.77633477526712</v>
      </c>
      <c r="S657" s="90">
        <f t="shared" si="358"/>
        <v>348.48368910247495</v>
      </c>
      <c r="T657" s="90">
        <f t="shared" si="358"/>
        <v>98.903360318157127</v>
      </c>
      <c r="U657" s="90">
        <f t="shared" si="358"/>
        <v>0</v>
      </c>
      <c r="V657" s="90">
        <f t="shared" si="358"/>
        <v>0</v>
      </c>
      <c r="W657" s="90">
        <f t="shared" si="358"/>
        <v>0</v>
      </c>
      <c r="X657" s="90">
        <f t="shared" si="354"/>
        <v>2942174.9999999986</v>
      </c>
      <c r="Y657" s="87" t="str">
        <f t="shared" si="355"/>
        <v>ok</v>
      </c>
      <c r="Z657" s="91" t="str">
        <f t="shared" si="356"/>
        <v/>
      </c>
    </row>
    <row r="658" spans="1:26" ht="12" customHeight="1" x14ac:dyDescent="0.5">
      <c r="A658" s="86" t="s">
        <v>2081</v>
      </c>
      <c r="E658" s="86" t="s">
        <v>136</v>
      </c>
      <c r="F658" s="90">
        <f>'Jurisdictional Study'!F958</f>
        <v>26560959</v>
      </c>
      <c r="G658" s="90">
        <f t="shared" si="357"/>
        <v>11711750.868090896</v>
      </c>
      <c r="H658" s="90">
        <f t="shared" si="357"/>
        <v>37626.897507911483</v>
      </c>
      <c r="I658" s="90">
        <f t="shared" si="357"/>
        <v>3013280.2288419153</v>
      </c>
      <c r="J658" s="90">
        <f t="shared" si="357"/>
        <v>308392.03073707031</v>
      </c>
      <c r="K658" s="90">
        <f t="shared" si="357"/>
        <v>2688109.214605567</v>
      </c>
      <c r="L658" s="90">
        <f t="shared" si="357"/>
        <v>115510.24703136533</v>
      </c>
      <c r="M658" s="90">
        <f t="shared" si="357"/>
        <v>2378075.7625959036</v>
      </c>
      <c r="N658" s="90">
        <f t="shared" si="357"/>
        <v>3873017.0775210653</v>
      </c>
      <c r="O658" s="90">
        <f t="shared" si="357"/>
        <v>1343078.594834273</v>
      </c>
      <c r="P658" s="90">
        <f t="shared" si="357"/>
        <v>899965.67718246102</v>
      </c>
      <c r="Q658" s="90">
        <f t="shared" si="358"/>
        <v>181262.98976651326</v>
      </c>
      <c r="R658" s="90">
        <f t="shared" si="358"/>
        <v>6594.9055180844643</v>
      </c>
      <c r="S658" s="90">
        <f t="shared" si="358"/>
        <v>1776.8286261138808</v>
      </c>
      <c r="T658" s="90">
        <f t="shared" si="358"/>
        <v>2502.0643370549778</v>
      </c>
      <c r="U658" s="90">
        <f t="shared" si="358"/>
        <v>15.612803806493201</v>
      </c>
      <c r="V658" s="90">
        <f t="shared" si="358"/>
        <v>0</v>
      </c>
      <c r="W658" s="90">
        <f t="shared" si="358"/>
        <v>0</v>
      </c>
      <c r="X658" s="90">
        <f t="shared" si="354"/>
        <v>26560959</v>
      </c>
      <c r="Y658" s="87" t="str">
        <f t="shared" si="355"/>
        <v>ok</v>
      </c>
      <c r="Z658" s="91" t="str">
        <f t="shared" si="356"/>
        <v/>
      </c>
    </row>
    <row r="659" spans="1:26" ht="12" customHeight="1" x14ac:dyDescent="0.5">
      <c r="A659" s="86" t="s">
        <v>2170</v>
      </c>
      <c r="E659" s="86" t="s">
        <v>2272</v>
      </c>
      <c r="F659" s="90">
        <f>'Jurisdictional Study'!F959</f>
        <v>1421404</v>
      </c>
      <c r="G659" s="90">
        <f t="shared" si="357"/>
        <v>582738.63295099512</v>
      </c>
      <c r="H659" s="90">
        <f t="shared" si="357"/>
        <v>595.12734620767276</v>
      </c>
      <c r="I659" s="90">
        <f t="shared" si="357"/>
        <v>157117.05460034375</v>
      </c>
      <c r="J659" s="90">
        <f t="shared" si="357"/>
        <v>10081.772209759927</v>
      </c>
      <c r="K659" s="90">
        <f t="shared" si="357"/>
        <v>146517.94254989771</v>
      </c>
      <c r="L659" s="90">
        <f t="shared" si="357"/>
        <v>6365.4986256401471</v>
      </c>
      <c r="M659" s="90">
        <f t="shared" si="357"/>
        <v>140910.18664926843</v>
      </c>
      <c r="N659" s="90">
        <f t="shared" si="357"/>
        <v>257951.69167500932</v>
      </c>
      <c r="O659" s="90">
        <f t="shared" si="357"/>
        <v>83967.158839441239</v>
      </c>
      <c r="P659" s="90">
        <f t="shared" si="357"/>
        <v>34770.684945625289</v>
      </c>
      <c r="Q659" s="90">
        <f t="shared" si="358"/>
        <v>226.63733589392547</v>
      </c>
      <c r="R659" s="90">
        <f t="shared" si="358"/>
        <v>8.2457638981685228</v>
      </c>
      <c r="S659" s="90">
        <f t="shared" si="358"/>
        <v>134.83704502014095</v>
      </c>
      <c r="T659" s="90">
        <f t="shared" si="358"/>
        <v>17.355835855613027</v>
      </c>
      <c r="U659" s="90">
        <f t="shared" si="358"/>
        <v>1.1736271432747347</v>
      </c>
      <c r="V659" s="90">
        <f t="shared" si="358"/>
        <v>0</v>
      </c>
      <c r="W659" s="90">
        <f t="shared" si="358"/>
        <v>0</v>
      </c>
      <c r="X659" s="90">
        <f t="shared" si="354"/>
        <v>1421403.9999999998</v>
      </c>
      <c r="Y659" s="87" t="str">
        <f t="shared" si="355"/>
        <v>ok</v>
      </c>
      <c r="Z659" s="91" t="str">
        <f t="shared" si="356"/>
        <v/>
      </c>
    </row>
    <row r="660" spans="1:26" ht="12" customHeight="1" x14ac:dyDescent="0.5">
      <c r="A660" s="86" t="s">
        <v>2082</v>
      </c>
      <c r="E660" s="86" t="s">
        <v>2107</v>
      </c>
      <c r="F660" s="90">
        <f>'Jurisdictional Study'!F960</f>
        <v>600</v>
      </c>
      <c r="G660" s="90">
        <f t="shared" si="357"/>
        <v>62.421695294844021</v>
      </c>
      <c r="H660" s="90">
        <f t="shared" si="357"/>
        <v>9.1329864114630857E-2</v>
      </c>
      <c r="I660" s="90">
        <f t="shared" si="357"/>
        <v>117.0297652479972</v>
      </c>
      <c r="J660" s="90">
        <f t="shared" si="357"/>
        <v>28.949043585885686</v>
      </c>
      <c r="K660" s="90">
        <f t="shared" si="357"/>
        <v>303.3287714892549</v>
      </c>
      <c r="L660" s="90">
        <f t="shared" si="357"/>
        <v>13.919180584720543</v>
      </c>
      <c r="M660" s="90">
        <f t="shared" si="357"/>
        <v>52.342242255274783</v>
      </c>
      <c r="N660" s="90">
        <f t="shared" si="357"/>
        <v>17.454837348644354</v>
      </c>
      <c r="O660" s="90">
        <f t="shared" si="357"/>
        <v>1.3661300151719591</v>
      </c>
      <c r="P660" s="90">
        <f t="shared" si="357"/>
        <v>6.8306500758597954E-2</v>
      </c>
      <c r="Q660" s="90">
        <f t="shared" si="358"/>
        <v>3.0286978133333049</v>
      </c>
      <c r="R660" s="90">
        <f t="shared" si="358"/>
        <v>0</v>
      </c>
      <c r="S660" s="90">
        <f t="shared" si="358"/>
        <v>0</v>
      </c>
      <c r="T660" s="90">
        <f t="shared" si="358"/>
        <v>0</v>
      </c>
      <c r="U660" s="90">
        <f t="shared" si="358"/>
        <v>0</v>
      </c>
      <c r="V660" s="90">
        <f t="shared" si="358"/>
        <v>0</v>
      </c>
      <c r="W660" s="90">
        <f t="shared" si="358"/>
        <v>0</v>
      </c>
      <c r="X660" s="90">
        <f t="shared" si="354"/>
        <v>599.99999999999989</v>
      </c>
      <c r="Y660" s="87" t="str">
        <f t="shared" si="355"/>
        <v>ok</v>
      </c>
      <c r="Z660" s="91" t="str">
        <f t="shared" si="356"/>
        <v/>
      </c>
    </row>
    <row r="661" spans="1:26" ht="12" customHeight="1" x14ac:dyDescent="0.5">
      <c r="A661" s="86" t="s">
        <v>2525</v>
      </c>
      <c r="E661" s="86" t="s">
        <v>1377</v>
      </c>
      <c r="F661" s="90">
        <f>'Jurisdictional Study'!F961</f>
        <v>90486</v>
      </c>
      <c r="G661" s="90">
        <f t="shared" si="357"/>
        <v>31192.938031976853</v>
      </c>
      <c r="H661" s="90">
        <f t="shared" si="357"/>
        <v>51.290072147035112</v>
      </c>
      <c r="I661" s="90">
        <f t="shared" si="357"/>
        <v>8821.6439870640479</v>
      </c>
      <c r="J661" s="90">
        <f t="shared" si="357"/>
        <v>675.75221187002501</v>
      </c>
      <c r="K661" s="90">
        <f t="shared" si="357"/>
        <v>8932.264297511083</v>
      </c>
      <c r="L661" s="90">
        <f t="shared" si="357"/>
        <v>403.67642244542941</v>
      </c>
      <c r="M661" s="90">
        <f t="shared" si="357"/>
        <v>9379.1374792569186</v>
      </c>
      <c r="N661" s="90">
        <f t="shared" si="357"/>
        <v>20265.074988023905</v>
      </c>
      <c r="O661" s="90">
        <f t="shared" si="357"/>
        <v>7052.980032695893</v>
      </c>
      <c r="P661" s="90">
        <f t="shared" si="357"/>
        <v>3042.3196101051008</v>
      </c>
      <c r="Q661" s="90">
        <f t="shared" si="358"/>
        <v>631.59256266438035</v>
      </c>
      <c r="R661" s="90">
        <f t="shared" si="358"/>
        <v>22.979281403462991</v>
      </c>
      <c r="S661" s="90">
        <f t="shared" si="358"/>
        <v>12.577626005004229</v>
      </c>
      <c r="T661" s="90">
        <f t="shared" si="358"/>
        <v>1.7158352257214813</v>
      </c>
      <c r="U661" s="90">
        <f t="shared" si="358"/>
        <v>5.7561605127526304E-2</v>
      </c>
      <c r="V661" s="90">
        <f t="shared" si="358"/>
        <v>0</v>
      </c>
      <c r="W661" s="90">
        <f t="shared" si="358"/>
        <v>0</v>
      </c>
      <c r="X661" s="90">
        <f>SUM(G661:W661)</f>
        <v>90485.999999999985</v>
      </c>
      <c r="Y661" s="87" t="str">
        <f>IF(ABS(F661-X661)&lt;0.01,"ok","err")</f>
        <v>ok</v>
      </c>
      <c r="Z661" s="91" t="str">
        <f>IF(Y661="err",X661-F661,"")</f>
        <v/>
      </c>
    </row>
    <row r="662" spans="1:26" ht="12" customHeight="1" x14ac:dyDescent="0.5">
      <c r="A662" s="86" t="s">
        <v>2083</v>
      </c>
      <c r="E662" s="86" t="s">
        <v>1052</v>
      </c>
      <c r="F662" s="90">
        <f>'Jurisdictional Study'!F962</f>
        <v>61024</v>
      </c>
      <c r="G662" s="90">
        <f t="shared" si="357"/>
        <v>56790.227999542934</v>
      </c>
      <c r="H662" s="90">
        <f t="shared" si="357"/>
        <v>83.09040281168997</v>
      </c>
      <c r="I662" s="90">
        <f t="shared" si="357"/>
        <v>3525.5535882636991</v>
      </c>
      <c r="J662" s="90">
        <f t="shared" si="357"/>
        <v>42.136771476892299</v>
      </c>
      <c r="K662" s="90">
        <f t="shared" si="357"/>
        <v>441.51009993438367</v>
      </c>
      <c r="L662" s="90">
        <f t="shared" si="357"/>
        <v>20.26005901382948</v>
      </c>
      <c r="M662" s="90">
        <f t="shared" si="357"/>
        <v>76.186734596440118</v>
      </c>
      <c r="N662" s="90">
        <f t="shared" si="357"/>
        <v>25.406383127791674</v>
      </c>
      <c r="O662" s="90">
        <f t="shared" si="357"/>
        <v>1.9884701228986421</v>
      </c>
      <c r="P662" s="90">
        <f t="shared" si="357"/>
        <v>9.9423506144932089E-2</v>
      </c>
      <c r="Q662" s="90">
        <f t="shared" si="358"/>
        <v>17.540067603301988</v>
      </c>
      <c r="R662" s="90">
        <f t="shared" si="358"/>
        <v>0</v>
      </c>
      <c r="S662" s="90">
        <f t="shared" si="358"/>
        <v>0</v>
      </c>
      <c r="T662" s="90">
        <f t="shared" si="358"/>
        <v>0</v>
      </c>
      <c r="U662" s="90">
        <f t="shared" si="358"/>
        <v>0</v>
      </c>
      <c r="V662" s="90">
        <f t="shared" si="358"/>
        <v>0</v>
      </c>
      <c r="W662" s="90">
        <f t="shared" si="358"/>
        <v>0</v>
      </c>
      <c r="X662" s="90">
        <f t="shared" si="354"/>
        <v>61024.000000000015</v>
      </c>
      <c r="Y662" s="87" t="str">
        <f t="shared" si="355"/>
        <v>ok</v>
      </c>
      <c r="Z662" s="91" t="str">
        <f t="shared" si="356"/>
        <v/>
      </c>
    </row>
    <row r="663" spans="1:26" ht="12" customHeight="1" x14ac:dyDescent="0.5">
      <c r="A663" s="86" t="s">
        <v>2084</v>
      </c>
      <c r="E663" s="86" t="s">
        <v>2107</v>
      </c>
      <c r="F663" s="90">
        <f>'Jurisdictional Study'!F963</f>
        <v>166699</v>
      </c>
      <c r="G663" s="90">
        <f t="shared" si="357"/>
        <v>17342.723639925338</v>
      </c>
      <c r="H663" s="90">
        <f t="shared" si="357"/>
        <v>25.374328363408083</v>
      </c>
      <c r="I663" s="90">
        <f t="shared" si="357"/>
        <v>32514.574728459807</v>
      </c>
      <c r="J663" s="90">
        <f t="shared" si="357"/>
        <v>8042.9610278725968</v>
      </c>
      <c r="K663" s="90">
        <f t="shared" si="357"/>
        <v>84274.338130812175</v>
      </c>
      <c r="L663" s="90">
        <f t="shared" si="357"/>
        <v>3867.1891404872163</v>
      </c>
      <c r="M663" s="90">
        <f t="shared" si="357"/>
        <v>14542.332402853419</v>
      </c>
      <c r="N663" s="90">
        <f t="shared" si="357"/>
        <v>4849.5065519694417</v>
      </c>
      <c r="O663" s="90">
        <f t="shared" si="357"/>
        <v>379.55417899858401</v>
      </c>
      <c r="P663" s="90">
        <f t="shared" si="357"/>
        <v>18.977708949929202</v>
      </c>
      <c r="Q663" s="90">
        <f t="shared" si="358"/>
        <v>841.46816130808088</v>
      </c>
      <c r="R663" s="90">
        <f t="shared" si="358"/>
        <v>0</v>
      </c>
      <c r="S663" s="90">
        <f t="shared" si="358"/>
        <v>0</v>
      </c>
      <c r="T663" s="90">
        <f t="shared" si="358"/>
        <v>0</v>
      </c>
      <c r="U663" s="90">
        <f t="shared" si="358"/>
        <v>0</v>
      </c>
      <c r="V663" s="90">
        <f t="shared" si="358"/>
        <v>0</v>
      </c>
      <c r="W663" s="90">
        <f t="shared" si="358"/>
        <v>0</v>
      </c>
      <c r="X663" s="90">
        <f t="shared" si="354"/>
        <v>166699</v>
      </c>
      <c r="Y663" s="87" t="str">
        <f t="shared" si="355"/>
        <v>ok</v>
      </c>
      <c r="Z663" s="91" t="str">
        <f t="shared" si="356"/>
        <v/>
      </c>
    </row>
    <row r="664" spans="1:26" ht="12" customHeight="1" x14ac:dyDescent="0.5">
      <c r="A664" s="86" t="s">
        <v>2085</v>
      </c>
      <c r="E664" s="86" t="s">
        <v>2107</v>
      </c>
      <c r="F664" s="90">
        <f>'Jurisdictional Study'!F964</f>
        <v>30874</v>
      </c>
      <c r="G664" s="90">
        <f t="shared" si="357"/>
        <v>3212.0123675550235</v>
      </c>
      <c r="H664" s="90">
        <f t="shared" si="357"/>
        <v>4.6995303744585222</v>
      </c>
      <c r="I664" s="90">
        <f t="shared" si="357"/>
        <v>6021.9616204444428</v>
      </c>
      <c r="J664" s="90">
        <f t="shared" si="357"/>
        <v>1489.6212861177244</v>
      </c>
      <c r="K664" s="90">
        <f t="shared" si="357"/>
        <v>15608.287484932092</v>
      </c>
      <c r="L664" s="90">
        <f t="shared" si="357"/>
        <v>716.23463562110339</v>
      </c>
      <c r="M664" s="90">
        <f t="shared" si="357"/>
        <v>2693.3573123155893</v>
      </c>
      <c r="N664" s="90">
        <f t="shared" si="357"/>
        <v>898.16774717007638</v>
      </c>
      <c r="O664" s="90">
        <f t="shared" si="357"/>
        <v>70.296496814031784</v>
      </c>
      <c r="P664" s="90">
        <f t="shared" si="357"/>
        <v>3.5148248407015892</v>
      </c>
      <c r="Q664" s="90">
        <f t="shared" si="358"/>
        <v>155.84669381475408</v>
      </c>
      <c r="R664" s="90">
        <f t="shared" si="358"/>
        <v>0</v>
      </c>
      <c r="S664" s="90">
        <f t="shared" si="358"/>
        <v>0</v>
      </c>
      <c r="T664" s="90">
        <f t="shared" si="358"/>
        <v>0</v>
      </c>
      <c r="U664" s="90">
        <f t="shared" si="358"/>
        <v>0</v>
      </c>
      <c r="V664" s="90">
        <f t="shared" si="358"/>
        <v>0</v>
      </c>
      <c r="W664" s="90">
        <f t="shared" si="358"/>
        <v>0</v>
      </c>
      <c r="X664" s="90">
        <f t="shared" si="354"/>
        <v>30874</v>
      </c>
      <c r="Y664" s="87" t="str">
        <f t="shared" si="355"/>
        <v>ok</v>
      </c>
      <c r="Z664" s="91" t="str">
        <f t="shared" si="356"/>
        <v/>
      </c>
    </row>
    <row r="665" spans="1:26" ht="12" customHeight="1" x14ac:dyDescent="0.5">
      <c r="A665" s="86" t="s">
        <v>2479</v>
      </c>
      <c r="E665" s="86" t="s">
        <v>2272</v>
      </c>
      <c r="F665" s="90">
        <f>'Jurisdictional Study'!F957+'Jurisdictional Study'!F965</f>
        <v>0</v>
      </c>
      <c r="G665" s="90">
        <f>IF(VLOOKUP($E665,$D$5:$AK$1060,3,)=0,0,(VLOOKUP($E665,$D$5:$AK$1060,G$1,)/VLOOKUP($E665,$D$5:$AK$1060,3,))*$F665)</f>
        <v>0</v>
      </c>
      <c r="H665" s="90"/>
      <c r="I665" s="90">
        <f t="shared" ref="I665:W665" si="359">IF(VLOOKUP($E665,$D$5:$AK$1060,3,)=0,0,(VLOOKUP($E665,$D$5:$AK$1060,I$1,)/VLOOKUP($E665,$D$5:$AK$1060,3,))*$F665)</f>
        <v>0</v>
      </c>
      <c r="J665" s="90">
        <f t="shared" si="359"/>
        <v>0</v>
      </c>
      <c r="K665" s="90">
        <f t="shared" si="359"/>
        <v>0</v>
      </c>
      <c r="L665" s="90">
        <f t="shared" si="359"/>
        <v>0</v>
      </c>
      <c r="M665" s="90">
        <f t="shared" si="359"/>
        <v>0</v>
      </c>
      <c r="N665" s="90">
        <f t="shared" si="359"/>
        <v>0</v>
      </c>
      <c r="O665" s="90">
        <f t="shared" si="359"/>
        <v>0</v>
      </c>
      <c r="P665" s="90">
        <f t="shared" si="359"/>
        <v>0</v>
      </c>
      <c r="Q665" s="90">
        <f t="shared" si="359"/>
        <v>0</v>
      </c>
      <c r="R665" s="90">
        <f t="shared" si="359"/>
        <v>0</v>
      </c>
      <c r="S665" s="90">
        <f t="shared" si="359"/>
        <v>0</v>
      </c>
      <c r="T665" s="90">
        <f t="shared" si="359"/>
        <v>0</v>
      </c>
      <c r="U665" s="90">
        <f t="shared" si="359"/>
        <v>0</v>
      </c>
      <c r="V665" s="90">
        <f t="shared" si="359"/>
        <v>0</v>
      </c>
      <c r="W665" s="90">
        <f t="shared" si="359"/>
        <v>0</v>
      </c>
      <c r="X665" s="90">
        <f t="shared" si="354"/>
        <v>0</v>
      </c>
      <c r="Y665" s="87" t="str">
        <f t="shared" si="355"/>
        <v>ok</v>
      </c>
      <c r="Z665" s="91" t="str">
        <f t="shared" si="356"/>
        <v/>
      </c>
    </row>
    <row r="666" spans="1:26" ht="12" customHeight="1" x14ac:dyDescent="0.5">
      <c r="A666" s="86" t="s">
        <v>2351</v>
      </c>
      <c r="F666" s="90">
        <f>'Jurisdictional Study'!D956</f>
        <v>5191</v>
      </c>
      <c r="G666" s="90"/>
      <c r="H666" s="90"/>
      <c r="I666" s="90"/>
      <c r="J666" s="90"/>
      <c r="K666" s="90"/>
      <c r="L666" s="90"/>
      <c r="M666" s="90"/>
      <c r="N666" s="90"/>
      <c r="O666" s="90"/>
      <c r="P666" s="90"/>
      <c r="Q666" s="90"/>
      <c r="R666" s="90"/>
      <c r="S666" s="90"/>
      <c r="T666" s="90"/>
      <c r="U666" s="90">
        <f>F666</f>
        <v>5191</v>
      </c>
      <c r="V666" s="90"/>
      <c r="W666" s="90"/>
      <c r="X666" s="90"/>
      <c r="Y666" s="87"/>
      <c r="Z666" s="91"/>
    </row>
    <row r="667" spans="1:26" ht="12" hidden="1" customHeight="1" x14ac:dyDescent="0.5">
      <c r="A667" s="96" t="s">
        <v>796</v>
      </c>
      <c r="D667" s="86" t="s">
        <v>797</v>
      </c>
      <c r="E667" s="86" t="s">
        <v>494</v>
      </c>
      <c r="F667" s="90">
        <v>0</v>
      </c>
      <c r="G667" s="90">
        <f>IF(VLOOKUP($E667,$D$5:$AK$1060,3,)=0,0,(VLOOKUP($E667,$D$5:$AK$1060,G$1,)/VLOOKUP($E667,$D$5:$AK$1060,3,))*$F667)</f>
        <v>0</v>
      </c>
      <c r="H667" s="90"/>
      <c r="I667" s="90">
        <f t="shared" ref="I667:U667" si="360">IF(VLOOKUP($E667,$D$5:$AK$1060,3,)=0,0,(VLOOKUP($E667,$D$5:$AK$1060,I$1,)/VLOOKUP($E667,$D$5:$AK$1060,3,))*$F667)</f>
        <v>0</v>
      </c>
      <c r="J667" s="90">
        <f t="shared" si="360"/>
        <v>0</v>
      </c>
      <c r="K667" s="90">
        <f t="shared" si="360"/>
        <v>0</v>
      </c>
      <c r="L667" s="90">
        <f t="shared" si="360"/>
        <v>0</v>
      </c>
      <c r="M667" s="90">
        <f t="shared" si="360"/>
        <v>0</v>
      </c>
      <c r="N667" s="90">
        <f t="shared" si="360"/>
        <v>0</v>
      </c>
      <c r="O667" s="90">
        <f t="shared" si="360"/>
        <v>0</v>
      </c>
      <c r="P667" s="90">
        <f t="shared" si="360"/>
        <v>0</v>
      </c>
      <c r="Q667" s="90">
        <f t="shared" si="360"/>
        <v>0</v>
      </c>
      <c r="R667" s="90">
        <f t="shared" si="360"/>
        <v>0</v>
      </c>
      <c r="S667" s="90">
        <f t="shared" si="360"/>
        <v>0</v>
      </c>
      <c r="T667" s="90">
        <f t="shared" si="360"/>
        <v>0</v>
      </c>
      <c r="U667" s="90">
        <f t="shared" si="360"/>
        <v>0</v>
      </c>
      <c r="V667" s="90"/>
      <c r="W667" s="90">
        <f>SUM(G667:V667)</f>
        <v>0</v>
      </c>
      <c r="X667" s="90">
        <f t="shared" si="354"/>
        <v>0</v>
      </c>
      <c r="Y667" s="87" t="str">
        <f t="shared" si="355"/>
        <v>ok</v>
      </c>
      <c r="Z667" s="91" t="str">
        <f t="shared" si="356"/>
        <v/>
      </c>
    </row>
    <row r="668" spans="1:26" ht="12" customHeight="1" x14ac:dyDescent="0.5">
      <c r="E668" s="94"/>
      <c r="W668" s="91"/>
    </row>
    <row r="669" spans="1:26" ht="12" customHeight="1" x14ac:dyDescent="0.5">
      <c r="A669" s="86" t="s">
        <v>413</v>
      </c>
      <c r="D669" s="86" t="s">
        <v>414</v>
      </c>
      <c r="E669" s="91"/>
      <c r="F669" s="91">
        <f>SUM(F651:F667)</f>
        <v>1586186238.4421144</v>
      </c>
      <c r="G669" s="91">
        <f t="shared" ref="G669:W669" si="361">SUM(G651:G668)</f>
        <v>632354479.49888062</v>
      </c>
      <c r="H669" s="91">
        <f t="shared" si="361"/>
        <v>1051220.687364765</v>
      </c>
      <c r="I669" s="91">
        <f t="shared" si="361"/>
        <v>229947997.57106671</v>
      </c>
      <c r="J669" s="91">
        <f t="shared" si="361"/>
        <v>12341104.149929067</v>
      </c>
      <c r="K669" s="91">
        <f t="shared" si="361"/>
        <v>174078593.35727775</v>
      </c>
      <c r="L669" s="91">
        <f t="shared" si="361"/>
        <v>9618570.9471681006</v>
      </c>
      <c r="M669" s="91">
        <f t="shared" si="361"/>
        <v>137918383.42054722</v>
      </c>
      <c r="N669" s="91">
        <f t="shared" si="361"/>
        <v>255960630.21993825</v>
      </c>
      <c r="O669" s="91">
        <f t="shared" si="361"/>
        <v>81116100.933095604</v>
      </c>
      <c r="P669" s="91">
        <f t="shared" si="361"/>
        <v>20036277.988449719</v>
      </c>
      <c r="Q669" s="91">
        <f t="shared" si="361"/>
        <v>30869021.862646241</v>
      </c>
      <c r="R669" s="91">
        <f t="shared" si="361"/>
        <v>316348.41382896813</v>
      </c>
      <c r="S669" s="91">
        <f t="shared" si="361"/>
        <v>274795.72459276643</v>
      </c>
      <c r="T669" s="91">
        <f t="shared" si="361"/>
        <v>95108.064860777158</v>
      </c>
      <c r="U669" s="91">
        <f t="shared" si="361"/>
        <v>6746.4824681938508</v>
      </c>
      <c r="V669" s="91">
        <f t="shared" si="361"/>
        <v>162504.0000000002</v>
      </c>
      <c r="W669" s="91">
        <f t="shared" si="361"/>
        <v>38355.120000000003</v>
      </c>
      <c r="X669" s="91">
        <f>SUM(G669:W669)</f>
        <v>1586186238.4421148</v>
      </c>
      <c r="Y669" s="87" t="str">
        <f>IF(ABS(F669-X669)&lt;0.01,"ok","err")</f>
        <v>ok</v>
      </c>
      <c r="Z669" s="91" t="str">
        <f>IF(Y669="err",X669-F669,"")</f>
        <v/>
      </c>
    </row>
    <row r="670" spans="1:26" ht="12" customHeight="1" x14ac:dyDescent="0.5">
      <c r="E670" s="91"/>
      <c r="F670" s="91"/>
      <c r="G670" s="91"/>
      <c r="H670" s="91"/>
      <c r="I670" s="91"/>
      <c r="J670" s="91"/>
      <c r="K670" s="91"/>
      <c r="L670" s="91"/>
      <c r="M670" s="91"/>
      <c r="N670" s="91"/>
      <c r="O670" s="91"/>
      <c r="P670" s="91"/>
      <c r="Q670" s="91"/>
      <c r="R670" s="91"/>
      <c r="S670" s="91"/>
      <c r="T670" s="91"/>
      <c r="U670" s="91"/>
      <c r="V670" s="91"/>
      <c r="W670" s="91"/>
      <c r="X670" s="91"/>
      <c r="Y670" s="87"/>
      <c r="Z670" s="91"/>
    </row>
    <row r="671" spans="1:26" ht="12" customHeight="1" x14ac:dyDescent="0.5">
      <c r="E671" s="91"/>
      <c r="F671" s="91"/>
      <c r="G671" s="91"/>
      <c r="H671" s="91"/>
      <c r="I671" s="91"/>
      <c r="J671" s="91"/>
      <c r="K671" s="91"/>
      <c r="L671" s="91"/>
      <c r="M671" s="91"/>
      <c r="N671" s="91"/>
      <c r="O671" s="91"/>
      <c r="P671" s="91"/>
      <c r="Q671" s="91"/>
      <c r="R671" s="91"/>
      <c r="S671" s="91"/>
      <c r="T671" s="91"/>
      <c r="U671" s="91"/>
      <c r="V671" s="91"/>
      <c r="W671" s="91"/>
      <c r="X671" s="91"/>
      <c r="Y671" s="87"/>
      <c r="Z671" s="91"/>
    </row>
    <row r="672" spans="1:26" ht="12" customHeight="1" x14ac:dyDescent="0.5">
      <c r="E672" s="91"/>
      <c r="F672" s="89"/>
      <c r="G672" s="91"/>
      <c r="H672" s="91"/>
    </row>
    <row r="673" spans="1:26" ht="12" customHeight="1" x14ac:dyDescent="0.5">
      <c r="A673" s="288" t="s">
        <v>415</v>
      </c>
      <c r="E673" s="91"/>
      <c r="F673" s="91"/>
    </row>
    <row r="674" spans="1:26" ht="12" customHeight="1" x14ac:dyDescent="0.5">
      <c r="A674" s="96" t="s">
        <v>416</v>
      </c>
      <c r="E674" s="203"/>
      <c r="F674" s="91">
        <f t="shared" ref="F674:W674" si="362">F231</f>
        <v>892295073</v>
      </c>
      <c r="G674" s="91">
        <f t="shared" si="362"/>
        <v>368559285.05166757</v>
      </c>
      <c r="H674" s="91">
        <f t="shared" si="362"/>
        <v>622964.87766435475</v>
      </c>
      <c r="I674" s="91">
        <f t="shared" si="362"/>
        <v>102777582.98476294</v>
      </c>
      <c r="J674" s="91">
        <f t="shared" si="362"/>
        <v>6577092.3423008164</v>
      </c>
      <c r="K674" s="91">
        <f t="shared" si="362"/>
        <v>80219148.685030729</v>
      </c>
      <c r="L674" s="91">
        <f t="shared" si="362"/>
        <v>3698946.5650880304</v>
      </c>
      <c r="M674" s="91">
        <f t="shared" si="362"/>
        <v>80147030.111942157</v>
      </c>
      <c r="N674" s="91">
        <f t="shared" si="362"/>
        <v>161369012.01558807</v>
      </c>
      <c r="O674" s="91">
        <f t="shared" si="362"/>
        <v>54271582.06786228</v>
      </c>
      <c r="P674" s="91">
        <f t="shared" si="362"/>
        <v>23902042.703641675</v>
      </c>
      <c r="Q674" s="91">
        <f t="shared" si="362"/>
        <v>9699242.4408415016</v>
      </c>
      <c r="R674" s="91">
        <f t="shared" si="362"/>
        <v>167473.15473745018</v>
      </c>
      <c r="S674" s="91">
        <f t="shared" si="362"/>
        <v>140704.28056896492</v>
      </c>
      <c r="T674" s="91">
        <f t="shared" si="362"/>
        <v>22987.648508427035</v>
      </c>
      <c r="U674" s="91">
        <f t="shared" si="362"/>
        <v>21464.069794866617</v>
      </c>
      <c r="V674" s="91">
        <f t="shared" si="362"/>
        <v>91514</v>
      </c>
      <c r="W674" s="91">
        <f t="shared" si="362"/>
        <v>7000</v>
      </c>
      <c r="X674" s="91">
        <f t="shared" ref="X674:X682" si="363">SUM(G674:W674)</f>
        <v>892295072.99999988</v>
      </c>
      <c r="Y674" s="87" t="str">
        <f t="shared" ref="Y674:Y680" si="364">IF(ABS(F674-X674)&lt;0.01,"ok","err")</f>
        <v>ok</v>
      </c>
      <c r="Z674" s="91" t="str">
        <f t="shared" ref="Z674:Z680" si="365">IF(Y674="err",X674-F674,"")</f>
        <v/>
      </c>
    </row>
    <row r="675" spans="1:26" ht="12" customHeight="1" x14ac:dyDescent="0.5">
      <c r="A675" s="96" t="s">
        <v>417</v>
      </c>
      <c r="F675" s="90">
        <f t="shared" ref="F675:W675" si="366">F345</f>
        <v>370531144.99999994</v>
      </c>
      <c r="G675" s="90">
        <f t="shared" si="366"/>
        <v>163885507.33045521</v>
      </c>
      <c r="H675" s="90">
        <f t="shared" si="366"/>
        <v>233110.82257238447</v>
      </c>
      <c r="I675" s="90">
        <f t="shared" si="366"/>
        <v>42244784.497978106</v>
      </c>
      <c r="J675" s="90">
        <f t="shared" si="366"/>
        <v>2712858.1186784049</v>
      </c>
      <c r="K675" s="90">
        <f t="shared" si="366"/>
        <v>35444201.894145571</v>
      </c>
      <c r="L675" s="90">
        <f t="shared" si="366"/>
        <v>1534704.0192330964</v>
      </c>
      <c r="M675" s="90">
        <f t="shared" si="366"/>
        <v>33399476.380628955</v>
      </c>
      <c r="N675" s="90">
        <f t="shared" si="366"/>
        <v>59606091.616011411</v>
      </c>
      <c r="O675" s="90">
        <f t="shared" si="366"/>
        <v>18832387.238158166</v>
      </c>
      <c r="P675" s="90">
        <f t="shared" si="366"/>
        <v>8245202.8211647803</v>
      </c>
      <c r="Q675" s="90">
        <f t="shared" si="366"/>
        <v>4191349.326172214</v>
      </c>
      <c r="R675" s="90">
        <f t="shared" si="366"/>
        <v>15844.111319890933</v>
      </c>
      <c r="S675" s="90">
        <f t="shared" si="366"/>
        <v>39219.398935763937</v>
      </c>
      <c r="T675" s="90">
        <f t="shared" si="366"/>
        <v>8921.911041793699</v>
      </c>
      <c r="U675" s="90">
        <f t="shared" si="366"/>
        <v>16554.52070089243</v>
      </c>
      <c r="V675" s="90">
        <f t="shared" si="366"/>
        <v>106487.13</v>
      </c>
      <c r="W675" s="90">
        <f t="shared" si="366"/>
        <v>14443.86</v>
      </c>
      <c r="X675" s="90">
        <f t="shared" si="363"/>
        <v>370531144.99719661</v>
      </c>
      <c r="Y675" s="87" t="str">
        <f t="shared" si="364"/>
        <v>ok</v>
      </c>
      <c r="Z675" s="91" t="str">
        <f t="shared" si="365"/>
        <v/>
      </c>
    </row>
    <row r="676" spans="1:26" ht="12" customHeight="1" x14ac:dyDescent="0.5">
      <c r="A676" s="96" t="s">
        <v>261</v>
      </c>
      <c r="F676" s="90">
        <f t="shared" ref="F676:W676" si="367">F402</f>
        <v>0</v>
      </c>
      <c r="G676" s="90">
        <f t="shared" si="367"/>
        <v>0</v>
      </c>
      <c r="H676" s="90">
        <f t="shared" si="367"/>
        <v>0</v>
      </c>
      <c r="I676" s="90">
        <f t="shared" si="367"/>
        <v>0</v>
      </c>
      <c r="J676" s="90">
        <f t="shared" si="367"/>
        <v>0</v>
      </c>
      <c r="K676" s="90">
        <f t="shared" si="367"/>
        <v>0</v>
      </c>
      <c r="L676" s="90">
        <f t="shared" si="367"/>
        <v>0</v>
      </c>
      <c r="M676" s="90">
        <f t="shared" si="367"/>
        <v>0</v>
      </c>
      <c r="N676" s="90">
        <f t="shared" si="367"/>
        <v>0</v>
      </c>
      <c r="O676" s="90">
        <f t="shared" si="367"/>
        <v>0</v>
      </c>
      <c r="P676" s="90">
        <f t="shared" si="367"/>
        <v>0</v>
      </c>
      <c r="Q676" s="90">
        <f t="shared" si="367"/>
        <v>0</v>
      </c>
      <c r="R676" s="90">
        <f t="shared" si="367"/>
        <v>0</v>
      </c>
      <c r="S676" s="90">
        <f t="shared" si="367"/>
        <v>0</v>
      </c>
      <c r="T676" s="90">
        <f t="shared" si="367"/>
        <v>0</v>
      </c>
      <c r="U676" s="90">
        <f t="shared" si="367"/>
        <v>0</v>
      </c>
      <c r="V676" s="90">
        <f t="shared" si="367"/>
        <v>0</v>
      </c>
      <c r="W676" s="90">
        <f t="shared" si="367"/>
        <v>0</v>
      </c>
      <c r="X676" s="90">
        <f t="shared" si="363"/>
        <v>0</v>
      </c>
      <c r="Y676" s="87" t="str">
        <f t="shared" si="364"/>
        <v>ok</v>
      </c>
      <c r="Z676" s="91" t="str">
        <f t="shared" si="365"/>
        <v/>
      </c>
    </row>
    <row r="677" spans="1:26" ht="12" customHeight="1" x14ac:dyDescent="0.5">
      <c r="A677" s="96" t="s">
        <v>418</v>
      </c>
      <c r="E677" s="86" t="s">
        <v>399</v>
      </c>
      <c r="F677" s="90">
        <f t="shared" ref="F677:W677" si="368">F459</f>
        <v>35914758</v>
      </c>
      <c r="G677" s="90">
        <f t="shared" si="368"/>
        <v>16842550.50297663</v>
      </c>
      <c r="H677" s="90">
        <f t="shared" si="368"/>
        <v>27855.376134083268</v>
      </c>
      <c r="I677" s="90">
        <f t="shared" si="368"/>
        <v>4199400.9097359888</v>
      </c>
      <c r="J677" s="90">
        <f t="shared" si="368"/>
        <v>264768.15207863163</v>
      </c>
      <c r="K677" s="90">
        <f t="shared" si="368"/>
        <v>3213110.8138611987</v>
      </c>
      <c r="L677" s="90">
        <f t="shared" si="368"/>
        <v>138732.56826273439</v>
      </c>
      <c r="M677" s="90">
        <f t="shared" si="368"/>
        <v>2975845.0414199485</v>
      </c>
      <c r="N677" s="90">
        <f t="shared" si="368"/>
        <v>5193537.8875708571</v>
      </c>
      <c r="O677" s="90">
        <f t="shared" si="368"/>
        <v>1584716.3373163824</v>
      </c>
      <c r="P677" s="90">
        <f t="shared" si="368"/>
        <v>721164.58941585035</v>
      </c>
      <c r="Q677" s="90">
        <f t="shared" si="368"/>
        <v>738708.30467447173</v>
      </c>
      <c r="R677" s="90">
        <f t="shared" si="368"/>
        <v>2379.8223256767028</v>
      </c>
      <c r="S677" s="90">
        <f t="shared" si="368"/>
        <v>4172.4954314631996</v>
      </c>
      <c r="T677" s="90">
        <f t="shared" si="368"/>
        <v>1131.2058809241596</v>
      </c>
      <c r="U677" s="90">
        <f t="shared" si="368"/>
        <v>2075.6572489719283</v>
      </c>
      <c r="V677" s="90">
        <f t="shared" si="368"/>
        <v>4038.9486899610001</v>
      </c>
      <c r="W677" s="90">
        <f t="shared" si="368"/>
        <v>569.38697621906249</v>
      </c>
      <c r="X677" s="90">
        <f t="shared" si="363"/>
        <v>35914757.999999985</v>
      </c>
      <c r="Y677" s="87" t="str">
        <f t="shared" si="364"/>
        <v>ok</v>
      </c>
      <c r="Z677" s="91" t="str">
        <f t="shared" si="365"/>
        <v/>
      </c>
    </row>
    <row r="678" spans="1:26" ht="12" customHeight="1" x14ac:dyDescent="0.5">
      <c r="A678" s="96" t="s">
        <v>419</v>
      </c>
      <c r="F678" s="90">
        <f t="shared" ref="F678:W678" si="369">F516</f>
        <v>13649179.000000002</v>
      </c>
      <c r="G678" s="90">
        <f t="shared" si="369"/>
        <v>6402079.5616167597</v>
      </c>
      <c r="H678" s="90">
        <f t="shared" si="369"/>
        <v>10587.661293255509</v>
      </c>
      <c r="I678" s="90">
        <f t="shared" si="369"/>
        <v>1596333.7562891166</v>
      </c>
      <c r="J678" s="90">
        <f t="shared" si="369"/>
        <v>100639.65980344567</v>
      </c>
      <c r="K678" s="90">
        <f t="shared" si="369"/>
        <v>1221360.7571964639</v>
      </c>
      <c r="L678" s="90">
        <f t="shared" si="369"/>
        <v>52743.54620953383</v>
      </c>
      <c r="M678" s="90">
        <f t="shared" si="369"/>
        <v>1131135.2016822752</v>
      </c>
      <c r="N678" s="90">
        <f t="shared" si="369"/>
        <v>1974109.3468315867</v>
      </c>
      <c r="O678" s="90">
        <f t="shared" si="369"/>
        <v>602374.87348445598</v>
      </c>
      <c r="P678" s="90">
        <f t="shared" si="369"/>
        <v>274117.54145607934</v>
      </c>
      <c r="Q678" s="90">
        <f t="shared" si="369"/>
        <v>280741.74712379649</v>
      </c>
      <c r="R678" s="90">
        <f t="shared" si="369"/>
        <v>904.55814957162227</v>
      </c>
      <c r="S678" s="90">
        <f t="shared" si="369"/>
        <v>1587.2699283624884</v>
      </c>
      <c r="T678" s="90">
        <f t="shared" si="369"/>
        <v>429.98095804109914</v>
      </c>
      <c r="U678" s="90">
        <f t="shared" si="369"/>
        <v>33.537977254663453</v>
      </c>
      <c r="V678" s="90">
        <f t="shared" si="369"/>
        <v>0</v>
      </c>
      <c r="W678" s="90">
        <f t="shared" si="369"/>
        <v>0</v>
      </c>
      <c r="X678" s="90">
        <f t="shared" si="363"/>
        <v>13649179</v>
      </c>
      <c r="Y678" s="87" t="str">
        <f t="shared" si="364"/>
        <v>ok</v>
      </c>
      <c r="Z678" s="91" t="str">
        <f t="shared" si="365"/>
        <v/>
      </c>
    </row>
    <row r="679" spans="1:26" ht="12" customHeight="1" x14ac:dyDescent="0.5">
      <c r="A679" s="86" t="s">
        <v>898</v>
      </c>
      <c r="F679" s="90">
        <f t="shared" ref="F679:W679" si="370">F574</f>
        <v>0</v>
      </c>
      <c r="G679" s="90">
        <f t="shared" si="370"/>
        <v>0</v>
      </c>
      <c r="H679" s="90">
        <f t="shared" si="370"/>
        <v>0</v>
      </c>
      <c r="I679" s="90">
        <f t="shared" si="370"/>
        <v>0</v>
      </c>
      <c r="J679" s="90">
        <f t="shared" si="370"/>
        <v>0</v>
      </c>
      <c r="K679" s="90">
        <f t="shared" si="370"/>
        <v>0</v>
      </c>
      <c r="L679" s="90">
        <f t="shared" si="370"/>
        <v>0</v>
      </c>
      <c r="M679" s="90">
        <f t="shared" si="370"/>
        <v>0</v>
      </c>
      <c r="N679" s="90">
        <f t="shared" si="370"/>
        <v>0</v>
      </c>
      <c r="O679" s="90">
        <f t="shared" si="370"/>
        <v>0</v>
      </c>
      <c r="P679" s="90">
        <f t="shared" si="370"/>
        <v>0</v>
      </c>
      <c r="Q679" s="90">
        <f t="shared" si="370"/>
        <v>0</v>
      </c>
      <c r="R679" s="90">
        <f t="shared" si="370"/>
        <v>0</v>
      </c>
      <c r="S679" s="90">
        <f t="shared" si="370"/>
        <v>0</v>
      </c>
      <c r="T679" s="90">
        <f t="shared" si="370"/>
        <v>0</v>
      </c>
      <c r="U679" s="90">
        <f t="shared" si="370"/>
        <v>0</v>
      </c>
      <c r="V679" s="90">
        <f t="shared" si="370"/>
        <v>0</v>
      </c>
      <c r="W679" s="90">
        <f t="shared" si="370"/>
        <v>0</v>
      </c>
      <c r="X679" s="90">
        <f t="shared" si="363"/>
        <v>0</v>
      </c>
      <c r="Y679" s="87" t="str">
        <f t="shared" si="364"/>
        <v>ok</v>
      </c>
      <c r="Z679" s="91" t="str">
        <f t="shared" si="365"/>
        <v/>
      </c>
    </row>
    <row r="680" spans="1:26" ht="12" customHeight="1" x14ac:dyDescent="0.5">
      <c r="A680" s="96" t="s">
        <v>1484</v>
      </c>
      <c r="E680" s="86" t="s">
        <v>1133</v>
      </c>
      <c r="F680" s="90">
        <v>23821552.705033928</v>
      </c>
      <c r="G680" s="89">
        <f t="shared" ref="G680:W680" si="371">IF(VLOOKUP($E680,$D$5:$AK$998,3,)=0,0,(VLOOKUP($E680,$D$5:$AK$998,G$1,)/VLOOKUP($E680,$D$5:$AK$998,3,))*$F680)</f>
        <v>3662538.6187309134</v>
      </c>
      <c r="H680" s="89">
        <f t="shared" si="371"/>
        <v>10398.104975668532</v>
      </c>
      <c r="I680" s="89">
        <f t="shared" si="371"/>
        <v>9622174.9950442035</v>
      </c>
      <c r="J680" s="89">
        <f t="shared" si="371"/>
        <v>272430.34182737052</v>
      </c>
      <c r="K680" s="89">
        <f t="shared" si="371"/>
        <v>6409741.3520266563</v>
      </c>
      <c r="L680" s="89">
        <f t="shared" si="371"/>
        <v>547052.37674131233</v>
      </c>
      <c r="M680" s="89">
        <f t="shared" si="371"/>
        <v>1622214.5736324484</v>
      </c>
      <c r="N680" s="89">
        <f t="shared" si="371"/>
        <v>1735634.4822446657</v>
      </c>
      <c r="O680" s="89">
        <f t="shared" si="371"/>
        <v>143129.62303052715</v>
      </c>
      <c r="P680" s="89">
        <f t="shared" si="371"/>
        <v>-2221454.4484228473</v>
      </c>
      <c r="Q680" s="89">
        <f t="shared" si="371"/>
        <v>1988643.2489350531</v>
      </c>
      <c r="R680" s="89">
        <f t="shared" si="371"/>
        <v>17773.861969315483</v>
      </c>
      <c r="S680" s="89">
        <f t="shared" si="371"/>
        <v>11081.340573589674</v>
      </c>
      <c r="T680" s="89">
        <f t="shared" si="371"/>
        <v>8443.3197315079342</v>
      </c>
      <c r="U680" s="89">
        <f t="shared" si="371"/>
        <v>-4883.2436210740016</v>
      </c>
      <c r="V680" s="89">
        <f t="shared" si="371"/>
        <v>-5737.3033263095867</v>
      </c>
      <c r="W680" s="89">
        <f t="shared" si="371"/>
        <v>2371.4613478163396</v>
      </c>
      <c r="X680" s="90">
        <f t="shared" si="363"/>
        <v>23821552.705440816</v>
      </c>
      <c r="Y680" s="87" t="str">
        <f t="shared" si="364"/>
        <v>ok</v>
      </c>
      <c r="Z680" s="91" t="str">
        <f t="shared" si="365"/>
        <v/>
      </c>
    </row>
    <row r="681" spans="1:26" ht="12" hidden="1" customHeight="1" x14ac:dyDescent="0.5">
      <c r="A681" s="96" t="s">
        <v>2571</v>
      </c>
      <c r="F681" s="90">
        <v>0</v>
      </c>
      <c r="G681" s="90">
        <f t="shared" ref="G681:U681" si="372">-G983</f>
        <v>0</v>
      </c>
      <c r="H681" s="90">
        <v>0</v>
      </c>
      <c r="I681" s="90">
        <f t="shared" si="372"/>
        <v>0</v>
      </c>
      <c r="J681" s="90">
        <f t="shared" si="372"/>
        <v>0</v>
      </c>
      <c r="K681" s="90">
        <f t="shared" si="372"/>
        <v>0</v>
      </c>
      <c r="L681" s="90">
        <f t="shared" si="372"/>
        <v>0</v>
      </c>
      <c r="M681" s="90">
        <f t="shared" si="372"/>
        <v>0</v>
      </c>
      <c r="N681" s="90">
        <f t="shared" si="372"/>
        <v>0</v>
      </c>
      <c r="O681" s="90">
        <f t="shared" si="372"/>
        <v>0</v>
      </c>
      <c r="P681" s="90">
        <f t="shared" si="372"/>
        <v>0</v>
      </c>
      <c r="Q681" s="90">
        <f t="shared" si="372"/>
        <v>0</v>
      </c>
      <c r="R681" s="90">
        <f t="shared" si="372"/>
        <v>0</v>
      </c>
      <c r="S681" s="90">
        <f t="shared" si="372"/>
        <v>0</v>
      </c>
      <c r="T681" s="90">
        <f t="shared" si="372"/>
        <v>0</v>
      </c>
      <c r="U681" s="90">
        <f t="shared" si="372"/>
        <v>0</v>
      </c>
      <c r="V681" s="90">
        <f>-V983</f>
        <v>0</v>
      </c>
      <c r="W681" s="90">
        <f>-W983</f>
        <v>0</v>
      </c>
      <c r="X681" s="90">
        <f t="shared" si="363"/>
        <v>0</v>
      </c>
      <c r="Y681" s="87" t="str">
        <f>IF(ABS(F681-X681)&lt;0.01,"ok","err")</f>
        <v>ok</v>
      </c>
      <c r="Z681" s="91" t="str">
        <f>IF(Y681="err",X681-F681,"")</f>
        <v/>
      </c>
    </row>
    <row r="682" spans="1:26" ht="12" hidden="1" customHeight="1" x14ac:dyDescent="0.5">
      <c r="A682" s="96" t="s">
        <v>2570</v>
      </c>
      <c r="E682" s="86" t="s">
        <v>104</v>
      </c>
      <c r="F682" s="90">
        <v>0</v>
      </c>
      <c r="G682" s="89">
        <f t="shared" ref="G682:W682" si="373">IF(VLOOKUP($E682,$D$5:$AK$1060,3,)=0,0,(VLOOKUP($E682,$D$5:$AK$1060,G$1,)/VLOOKUP($E682,$D$5:$AK$1060,3,))*$F682)</f>
        <v>0</v>
      </c>
      <c r="H682" s="89">
        <f t="shared" si="373"/>
        <v>0</v>
      </c>
      <c r="I682" s="89">
        <f t="shared" si="373"/>
        <v>0</v>
      </c>
      <c r="J682" s="89">
        <f t="shared" si="373"/>
        <v>0</v>
      </c>
      <c r="K682" s="89">
        <f t="shared" si="373"/>
        <v>0</v>
      </c>
      <c r="L682" s="89">
        <f t="shared" si="373"/>
        <v>0</v>
      </c>
      <c r="M682" s="89">
        <f t="shared" si="373"/>
        <v>0</v>
      </c>
      <c r="N682" s="89">
        <f t="shared" si="373"/>
        <v>0</v>
      </c>
      <c r="O682" s="89">
        <f t="shared" si="373"/>
        <v>0</v>
      </c>
      <c r="P682" s="89">
        <f t="shared" si="373"/>
        <v>0</v>
      </c>
      <c r="Q682" s="89">
        <f t="shared" si="373"/>
        <v>0</v>
      </c>
      <c r="R682" s="89">
        <f t="shared" si="373"/>
        <v>0</v>
      </c>
      <c r="S682" s="89">
        <f t="shared" si="373"/>
        <v>0</v>
      </c>
      <c r="T682" s="89">
        <f t="shared" si="373"/>
        <v>0</v>
      </c>
      <c r="U682" s="89">
        <f t="shared" si="373"/>
        <v>0</v>
      </c>
      <c r="V682" s="89">
        <f t="shared" si="373"/>
        <v>0</v>
      </c>
      <c r="W682" s="89">
        <f t="shared" si="373"/>
        <v>0</v>
      </c>
      <c r="X682" s="90">
        <f t="shared" si="363"/>
        <v>0</v>
      </c>
      <c r="Y682" s="87" t="str">
        <f>IF(ABS(F682-X682)&lt;0.01,"ok","err")</f>
        <v>ok</v>
      </c>
      <c r="Z682" s="91" t="str">
        <f>IF(Y682="err",X682-F682,"")</f>
        <v/>
      </c>
    </row>
    <row r="683" spans="1:26" ht="12" customHeight="1" x14ac:dyDescent="0.5">
      <c r="A683" s="96"/>
      <c r="Y683" s="87"/>
    </row>
    <row r="684" spans="1:26" ht="12" customHeight="1" x14ac:dyDescent="0.5">
      <c r="A684" s="86" t="s">
        <v>420</v>
      </c>
      <c r="D684" s="86" t="s">
        <v>378</v>
      </c>
      <c r="F684" s="91">
        <f t="shared" ref="F684:W684" si="374">SUM(F674:F683)</f>
        <v>1336211707.705034</v>
      </c>
      <c r="G684" s="91">
        <f t="shared" si="374"/>
        <v>559351961.06544709</v>
      </c>
      <c r="H684" s="91">
        <f t="shared" si="374"/>
        <v>904916.84263974649</v>
      </c>
      <c r="I684" s="91">
        <f t="shared" si="374"/>
        <v>160440277.14381036</v>
      </c>
      <c r="J684" s="91">
        <f t="shared" si="374"/>
        <v>9927788.6146886703</v>
      </c>
      <c r="K684" s="91">
        <f t="shared" si="374"/>
        <v>126507563.50226063</v>
      </c>
      <c r="L684" s="91">
        <f t="shared" si="374"/>
        <v>5972179.0755347069</v>
      </c>
      <c r="M684" s="91">
        <f t="shared" si="374"/>
        <v>119275701.30930579</v>
      </c>
      <c r="N684" s="91">
        <f t="shared" si="374"/>
        <v>229878385.3482466</v>
      </c>
      <c r="O684" s="91">
        <f t="shared" si="374"/>
        <v>75434190.139851809</v>
      </c>
      <c r="P684" s="91">
        <f t="shared" si="374"/>
        <v>30921073.207255542</v>
      </c>
      <c r="Q684" s="91">
        <f t="shared" si="374"/>
        <v>16898685.067747034</v>
      </c>
      <c r="R684" s="91">
        <f t="shared" si="374"/>
        <v>204375.50850190493</v>
      </c>
      <c r="S684" s="91">
        <f t="shared" si="374"/>
        <v>196764.78543814423</v>
      </c>
      <c r="T684" s="91">
        <f t="shared" si="374"/>
        <v>41914.066120693926</v>
      </c>
      <c r="U684" s="91">
        <f t="shared" si="374"/>
        <v>35244.54210091164</v>
      </c>
      <c r="V684" s="91">
        <f t="shared" si="374"/>
        <v>196302.7753636514</v>
      </c>
      <c r="W684" s="91">
        <f t="shared" si="374"/>
        <v>24384.708324035404</v>
      </c>
      <c r="X684" s="91">
        <f>SUM(G684:W684)</f>
        <v>1336211707.7026374</v>
      </c>
      <c r="Y684" s="87" t="str">
        <f>IF(ABS(F684-X684)&lt;0.01,"ok","err")</f>
        <v>ok</v>
      </c>
      <c r="Z684" s="91" t="str">
        <f>IF(Y684="err",X684-F684,"")</f>
        <v/>
      </c>
    </row>
    <row r="685" spans="1:26" ht="12" customHeight="1" x14ac:dyDescent="0.5">
      <c r="A685" s="96"/>
    </row>
    <row r="686" spans="1:26" ht="12" customHeight="1" x14ac:dyDescent="0.5">
      <c r="A686" s="86" t="s">
        <v>901</v>
      </c>
      <c r="D686" s="86" t="s">
        <v>809</v>
      </c>
      <c r="F686" s="91">
        <f t="shared" ref="F686:W686" si="375">F669-F684</f>
        <v>249974530.73708034</v>
      </c>
      <c r="G686" s="91">
        <f t="shared" si="375"/>
        <v>73002518.433433533</v>
      </c>
      <c r="H686" s="91">
        <f t="shared" si="375"/>
        <v>146303.84472501848</v>
      </c>
      <c r="I686" s="91">
        <f t="shared" si="375"/>
        <v>69507720.427256346</v>
      </c>
      <c r="J686" s="91">
        <f t="shared" si="375"/>
        <v>2413315.5352403969</v>
      </c>
      <c r="K686" s="91">
        <f t="shared" si="375"/>
        <v>47571029.855017126</v>
      </c>
      <c r="L686" s="91">
        <f t="shared" si="375"/>
        <v>3646391.8716333937</v>
      </c>
      <c r="M686" s="91">
        <f t="shared" si="375"/>
        <v>18642682.11124143</v>
      </c>
      <c r="N686" s="91">
        <f t="shared" si="375"/>
        <v>26082244.871691644</v>
      </c>
      <c r="O686" s="91">
        <f t="shared" si="375"/>
        <v>5681910.7932437956</v>
      </c>
      <c r="P686" s="91">
        <f t="shared" si="375"/>
        <v>-10884795.218805823</v>
      </c>
      <c r="Q686" s="91">
        <f t="shared" si="375"/>
        <v>13970336.794899207</v>
      </c>
      <c r="R686" s="91">
        <f t="shared" si="375"/>
        <v>111972.9053270632</v>
      </c>
      <c r="S686" s="91">
        <f t="shared" si="375"/>
        <v>78030.939154622203</v>
      </c>
      <c r="T686" s="91">
        <f t="shared" si="375"/>
        <v>53193.998740083232</v>
      </c>
      <c r="U686" s="91">
        <f t="shared" si="375"/>
        <v>-28498.059632717788</v>
      </c>
      <c r="V686" s="91">
        <f t="shared" si="375"/>
        <v>-33798.775363651192</v>
      </c>
      <c r="W686" s="91">
        <f t="shared" si="375"/>
        <v>13970.411675964599</v>
      </c>
      <c r="X686" s="91">
        <f>SUM(G686:W686)</f>
        <v>249974530.7394774</v>
      </c>
      <c r="Y686" s="87" t="str">
        <f>IF(ABS(F686-X686)&lt;0.01,"ok","err")</f>
        <v>ok</v>
      </c>
      <c r="Z686" s="91" t="str">
        <f>IF(Y686="err",X686-F686,"")</f>
        <v/>
      </c>
    </row>
    <row r="688" spans="1:26" ht="12" customHeight="1" x14ac:dyDescent="0.5">
      <c r="A688" s="86" t="s">
        <v>400</v>
      </c>
      <c r="F688" s="91">
        <f t="shared" ref="F688:W688" si="376">F174</f>
        <v>5197832023.3399992</v>
      </c>
      <c r="G688" s="91">
        <f t="shared" si="376"/>
        <v>2446199408.7285142</v>
      </c>
      <c r="H688" s="91">
        <f t="shared" si="376"/>
        <v>11340629.922834281</v>
      </c>
      <c r="I688" s="91">
        <f t="shared" si="376"/>
        <v>610148565.20987535</v>
      </c>
      <c r="J688" s="91">
        <f t="shared" si="376"/>
        <v>38738639.515784226</v>
      </c>
      <c r="K688" s="91">
        <f t="shared" si="376"/>
        <v>458864450.23790866</v>
      </c>
      <c r="L688" s="91">
        <f t="shared" si="376"/>
        <v>19887373.090099089</v>
      </c>
      <c r="M688" s="91">
        <f t="shared" si="376"/>
        <v>424829680.24150598</v>
      </c>
      <c r="N688" s="91">
        <f t="shared" si="376"/>
        <v>740452252.7798897</v>
      </c>
      <c r="O688" s="91">
        <f t="shared" si="376"/>
        <v>225535968.00398141</v>
      </c>
      <c r="P688" s="91">
        <f t="shared" si="376"/>
        <v>104333029.76968977</v>
      </c>
      <c r="Q688" s="91">
        <f t="shared" si="376"/>
        <v>113340011.04474315</v>
      </c>
      <c r="R688" s="91">
        <f t="shared" si="376"/>
        <v>398642.54509885528</v>
      </c>
      <c r="S688" s="91">
        <f t="shared" si="376"/>
        <v>615301.08940570417</v>
      </c>
      <c r="T688" s="91">
        <f t="shared" si="376"/>
        <v>174628.96328485516</v>
      </c>
      <c r="U688" s="91">
        <f t="shared" si="376"/>
        <v>105538.39738445418</v>
      </c>
      <c r="V688" s="91">
        <f t="shared" si="376"/>
        <v>2576969.3631635425</v>
      </c>
      <c r="W688" s="91">
        <f t="shared" si="376"/>
        <v>290934.43683645804</v>
      </c>
      <c r="X688" s="91">
        <f>SUM(G688:W688)</f>
        <v>5197832023.3400011</v>
      </c>
      <c r="Y688" s="87" t="str">
        <f>IF(ABS(F688-X688)&lt;0.01,"ok","err")</f>
        <v>ok</v>
      </c>
      <c r="Z688" s="91" t="str">
        <f>IF(Y688="err",X688-F688,"")</f>
        <v/>
      </c>
    </row>
    <row r="689" spans="1:26" ht="12" customHeight="1" x14ac:dyDescent="0.5">
      <c r="B689" s="91"/>
      <c r="F689" s="91"/>
      <c r="Z689" s="203"/>
    </row>
    <row r="690" spans="1:26" s="288" customFormat="1" ht="12" hidden="1" customHeight="1" x14ac:dyDescent="0.5">
      <c r="A690" s="388"/>
      <c r="B690" s="388"/>
      <c r="C690" s="388"/>
      <c r="D690" s="388"/>
      <c r="E690" s="388"/>
      <c r="F690" s="298"/>
      <c r="G690" s="389"/>
      <c r="H690" s="389"/>
      <c r="I690" s="389"/>
      <c r="J690" s="389"/>
      <c r="K690" s="389"/>
      <c r="L690" s="389"/>
      <c r="M690" s="389"/>
      <c r="N690" s="389"/>
      <c r="O690" s="389"/>
      <c r="P690" s="389"/>
      <c r="Q690" s="389"/>
      <c r="R690" s="389"/>
      <c r="S690" s="389"/>
      <c r="T690" s="389"/>
      <c r="U690" s="389"/>
      <c r="V690" s="389"/>
      <c r="W690" s="389"/>
      <c r="Y690" s="207"/>
    </row>
    <row r="691" spans="1:26" ht="12" hidden="1" customHeight="1" x14ac:dyDescent="0.5"/>
    <row r="692" spans="1:26" ht="12" hidden="1" customHeight="1" x14ac:dyDescent="0.5">
      <c r="F692" s="90"/>
      <c r="G692" s="208"/>
      <c r="H692" s="208"/>
      <c r="I692" s="208"/>
      <c r="J692" s="208"/>
      <c r="K692" s="208"/>
      <c r="L692" s="208"/>
      <c r="M692" s="208"/>
      <c r="N692" s="208"/>
      <c r="O692" s="208"/>
      <c r="P692" s="208"/>
      <c r="Q692" s="208"/>
      <c r="R692" s="208"/>
      <c r="S692" s="208"/>
      <c r="T692" s="208"/>
      <c r="U692" s="208"/>
      <c r="V692" s="208"/>
      <c r="W692" s="208"/>
    </row>
    <row r="693" spans="1:26" ht="12" hidden="1" customHeight="1" x14ac:dyDescent="0.5"/>
    <row r="694" spans="1:26" ht="12" hidden="1" customHeight="1" x14ac:dyDescent="0.5">
      <c r="F694" s="90"/>
      <c r="G694" s="90"/>
      <c r="H694" s="90"/>
      <c r="I694" s="90"/>
      <c r="J694" s="90"/>
      <c r="K694" s="90"/>
      <c r="L694" s="90"/>
      <c r="M694" s="90"/>
      <c r="N694" s="90"/>
      <c r="O694" s="90"/>
      <c r="P694" s="90"/>
      <c r="Q694" s="90"/>
      <c r="R694" s="90"/>
      <c r="S694" s="90"/>
      <c r="T694" s="90"/>
      <c r="U694" s="90"/>
      <c r="V694" s="90"/>
      <c r="W694" s="90"/>
    </row>
    <row r="695" spans="1:26" ht="12" hidden="1" customHeight="1" x14ac:dyDescent="0.5">
      <c r="G695" s="98"/>
      <c r="H695" s="98"/>
      <c r="I695" s="98"/>
      <c r="J695" s="98"/>
      <c r="K695" s="98"/>
      <c r="L695" s="98"/>
      <c r="M695" s="98"/>
      <c r="N695" s="209"/>
      <c r="O695" s="98"/>
      <c r="P695" s="209"/>
      <c r="Q695" s="98"/>
      <c r="R695" s="98"/>
      <c r="S695" s="98"/>
      <c r="T695" s="98"/>
      <c r="U695" s="98"/>
      <c r="V695" s="98"/>
      <c r="W695" s="98"/>
    </row>
    <row r="696" spans="1:26" ht="12" hidden="1" customHeight="1" x14ac:dyDescent="0.5">
      <c r="G696" s="98"/>
      <c r="H696" s="98"/>
      <c r="I696" s="98"/>
      <c r="J696" s="98"/>
      <c r="K696" s="98"/>
      <c r="L696" s="98"/>
      <c r="M696" s="98"/>
      <c r="N696" s="98"/>
      <c r="O696" s="98"/>
      <c r="P696" s="98"/>
      <c r="Q696" s="209"/>
      <c r="R696" s="98"/>
      <c r="S696" s="98"/>
      <c r="T696" s="98"/>
      <c r="U696" s="98"/>
      <c r="V696" s="98"/>
      <c r="W696" s="98"/>
    </row>
    <row r="697" spans="1:26" ht="12" hidden="1" customHeight="1" x14ac:dyDescent="0.5"/>
    <row r="698" spans="1:26" ht="12" hidden="1" customHeight="1" x14ac:dyDescent="0.5">
      <c r="F698" s="210"/>
      <c r="G698" s="210"/>
      <c r="H698" s="210"/>
      <c r="I698" s="210"/>
      <c r="J698" s="210"/>
      <c r="K698" s="210"/>
      <c r="L698" s="210"/>
      <c r="M698" s="210"/>
      <c r="N698" s="210"/>
      <c r="O698" s="210"/>
      <c r="P698" s="210"/>
      <c r="Q698" s="210"/>
    </row>
    <row r="699" spans="1:26" ht="12" hidden="1" customHeight="1" x14ac:dyDescent="0.5"/>
    <row r="700" spans="1:26" ht="12" hidden="1" customHeight="1" x14ac:dyDescent="0.5"/>
    <row r="702" spans="1:26" ht="12" customHeight="1" x14ac:dyDescent="0.5">
      <c r="A702" s="22" t="s">
        <v>1128</v>
      </c>
    </row>
    <row r="704" spans="1:26" ht="12" customHeight="1" x14ac:dyDescent="0.5">
      <c r="A704" s="86" t="s">
        <v>1129</v>
      </c>
      <c r="F704" s="91">
        <f t="shared" ref="F704:W704" si="377">F669</f>
        <v>1586186238.4421144</v>
      </c>
      <c r="G704" s="91">
        <f t="shared" si="377"/>
        <v>632354479.49888062</v>
      </c>
      <c r="H704" s="91">
        <f t="shared" si="377"/>
        <v>1051220.687364765</v>
      </c>
      <c r="I704" s="91">
        <f t="shared" si="377"/>
        <v>229947997.57106671</v>
      </c>
      <c r="J704" s="91">
        <f t="shared" si="377"/>
        <v>12341104.149929067</v>
      </c>
      <c r="K704" s="91">
        <f t="shared" si="377"/>
        <v>174078593.35727775</v>
      </c>
      <c r="L704" s="91">
        <f t="shared" si="377"/>
        <v>9618570.9471681006</v>
      </c>
      <c r="M704" s="91">
        <f t="shared" si="377"/>
        <v>137918383.42054722</v>
      </c>
      <c r="N704" s="91">
        <f t="shared" si="377"/>
        <v>255960630.21993825</v>
      </c>
      <c r="O704" s="91">
        <f t="shared" si="377"/>
        <v>81116100.933095604</v>
      </c>
      <c r="P704" s="91">
        <f t="shared" si="377"/>
        <v>20036277.988449719</v>
      </c>
      <c r="Q704" s="91">
        <f t="shared" si="377"/>
        <v>30869021.862646241</v>
      </c>
      <c r="R704" s="91">
        <f t="shared" si="377"/>
        <v>316348.41382896813</v>
      </c>
      <c r="S704" s="91">
        <f t="shared" si="377"/>
        <v>274795.72459276643</v>
      </c>
      <c r="T704" s="91">
        <f t="shared" si="377"/>
        <v>95108.064860777158</v>
      </c>
      <c r="U704" s="91">
        <f t="shared" si="377"/>
        <v>6746.4824681938508</v>
      </c>
      <c r="V704" s="91">
        <f t="shared" si="377"/>
        <v>162504.0000000002</v>
      </c>
      <c r="W704" s="91">
        <f t="shared" si="377"/>
        <v>38355.120000000003</v>
      </c>
      <c r="X704" s="91">
        <f>SUM(G704:W704)</f>
        <v>1586186238.4421148</v>
      </c>
      <c r="Y704" s="87" t="str">
        <f>IF(ABS(F704-X704)&lt;0.01,"ok","err")</f>
        <v>ok</v>
      </c>
      <c r="Z704" s="91" t="str">
        <f>IF(Y704="err",X704-F704,"")</f>
        <v/>
      </c>
    </row>
    <row r="706" spans="1:26" ht="12" customHeight="1" x14ac:dyDescent="0.5">
      <c r="A706" s="86" t="s">
        <v>415</v>
      </c>
      <c r="F706" s="91">
        <f t="shared" ref="F706:W706" si="378">F674+F675+F676+F677+F678+F679+F681+F682</f>
        <v>1312390155</v>
      </c>
      <c r="G706" s="91">
        <f t="shared" si="378"/>
        <v>555689422.44671619</v>
      </c>
      <c r="H706" s="91">
        <f t="shared" si="378"/>
        <v>894518.73766407801</v>
      </c>
      <c r="I706" s="91">
        <f t="shared" si="378"/>
        <v>150818102.14876616</v>
      </c>
      <c r="J706" s="91">
        <f t="shared" si="378"/>
        <v>9655358.2728613</v>
      </c>
      <c r="K706" s="91">
        <f t="shared" si="378"/>
        <v>120097822.15023397</v>
      </c>
      <c r="L706" s="91">
        <f t="shared" si="378"/>
        <v>5425126.6987933945</v>
      </c>
      <c r="M706" s="91">
        <f t="shared" si="378"/>
        <v>117653486.73567334</v>
      </c>
      <c r="N706" s="91">
        <f t="shared" si="378"/>
        <v>228142750.86600193</v>
      </c>
      <c r="O706" s="91">
        <f t="shared" si="378"/>
        <v>75291060.51682128</v>
      </c>
      <c r="P706" s="91">
        <f t="shared" si="378"/>
        <v>33142527.655678388</v>
      </c>
      <c r="Q706" s="91">
        <f t="shared" si="378"/>
        <v>14910041.818811983</v>
      </c>
      <c r="R706" s="91">
        <f t="shared" si="378"/>
        <v>186601.64653258945</v>
      </c>
      <c r="S706" s="91">
        <f t="shared" si="378"/>
        <v>185683.44486455456</v>
      </c>
      <c r="T706" s="91">
        <f t="shared" si="378"/>
        <v>33470.746389185995</v>
      </c>
      <c r="U706" s="91">
        <f t="shared" si="378"/>
        <v>40127.785721985638</v>
      </c>
      <c r="V706" s="91">
        <f t="shared" si="378"/>
        <v>202040.078689961</v>
      </c>
      <c r="W706" s="91">
        <f t="shared" si="378"/>
        <v>22013.246976219063</v>
      </c>
      <c r="X706" s="91">
        <f>SUM(G706:W706)</f>
        <v>1312390154.9971962</v>
      </c>
      <c r="Y706" s="87" t="str">
        <f>IF(ABS(F706-X706)&lt;0.01,"ok","err")</f>
        <v>ok</v>
      </c>
      <c r="Z706" s="91" t="str">
        <f>IF(Y706="err",X706-F706,"")</f>
        <v/>
      </c>
    </row>
    <row r="708" spans="1:26" ht="12" customHeight="1" x14ac:dyDescent="0.5">
      <c r="A708" s="86" t="s">
        <v>1130</v>
      </c>
      <c r="D708" s="86" t="s">
        <v>1131</v>
      </c>
      <c r="F708" s="211">
        <f t="shared" ref="F708:W708" si="379">F636</f>
        <v>109640428.99999999</v>
      </c>
      <c r="G708" s="211">
        <f t="shared" si="379"/>
        <v>51426298.213818833</v>
      </c>
      <c r="H708" s="211">
        <f t="shared" si="379"/>
        <v>85048.025694382683</v>
      </c>
      <c r="I708" s="211">
        <f t="shared" si="379"/>
        <v>12822948.388816658</v>
      </c>
      <c r="J708" s="211">
        <f t="shared" si="379"/>
        <v>808413.12691875722</v>
      </c>
      <c r="K708" s="211">
        <f t="shared" si="379"/>
        <v>9810884.4043136351</v>
      </c>
      <c r="L708" s="211">
        <f t="shared" si="379"/>
        <v>423675.66821378865</v>
      </c>
      <c r="M708" s="211">
        <f t="shared" si="379"/>
        <v>9086125.1632384751</v>
      </c>
      <c r="N708" s="211">
        <f t="shared" si="379"/>
        <v>15857524.886993198</v>
      </c>
      <c r="O708" s="211">
        <f t="shared" si="379"/>
        <v>4838726.1642371649</v>
      </c>
      <c r="P708" s="211">
        <f t="shared" si="379"/>
        <v>2201917.407755428</v>
      </c>
      <c r="Q708" s="211">
        <f t="shared" si="379"/>
        <v>2255127.9892264996</v>
      </c>
      <c r="R708" s="211">
        <f t="shared" si="379"/>
        <v>7266.0885738606576</v>
      </c>
      <c r="S708" s="211">
        <f t="shared" si="379"/>
        <v>12750.140934078341</v>
      </c>
      <c r="T708" s="211">
        <f t="shared" si="379"/>
        <v>3453.929111887031</v>
      </c>
      <c r="U708" s="211">
        <f t="shared" si="379"/>
        <v>269.4021533451604</v>
      </c>
      <c r="V708" s="211">
        <f t="shared" si="379"/>
        <v>0</v>
      </c>
      <c r="W708" s="211">
        <f t="shared" si="379"/>
        <v>0</v>
      </c>
      <c r="X708" s="91">
        <f>SUM(G708:W708)</f>
        <v>109640429</v>
      </c>
      <c r="Y708" s="87" t="str">
        <f>IF(ABS(F708-X708)&lt;0.01,"ok","err")</f>
        <v>ok</v>
      </c>
      <c r="Z708" s="91" t="str">
        <f>IF(Y708="err",X708-F708,"")</f>
        <v/>
      </c>
    </row>
    <row r="710" spans="1:26" ht="12" customHeight="1" x14ac:dyDescent="0.5">
      <c r="A710" s="86" t="s">
        <v>1132</v>
      </c>
      <c r="D710" s="86" t="s">
        <v>1133</v>
      </c>
      <c r="F710" s="91">
        <f>F704-F706-F708</f>
        <v>164155654.44211435</v>
      </c>
      <c r="G710" s="91">
        <f t="shared" ref="G710:W710" si="380">G704-G706-G708</f>
        <v>25238758.838345602</v>
      </c>
      <c r="H710" s="91">
        <f t="shared" ref="H710" si="381">H704-H706-H708</f>
        <v>71653.924006304282</v>
      </c>
      <c r="I710" s="91">
        <f t="shared" si="380"/>
        <v>66306947.033483893</v>
      </c>
      <c r="J710" s="91">
        <f>J704-J706-J708</f>
        <v>1877332.7501490097</v>
      </c>
      <c r="K710" s="91">
        <f>K704-K706-K708</f>
        <v>44169886.802730143</v>
      </c>
      <c r="L710" s="91">
        <f>L704-L706-L708</f>
        <v>3769768.5801609177</v>
      </c>
      <c r="M710" s="91">
        <f t="shared" si="380"/>
        <v>11178771.521635404</v>
      </c>
      <c r="N710" s="91">
        <f t="shared" si="380"/>
        <v>11960354.466943117</v>
      </c>
      <c r="O710" s="91">
        <f t="shared" si="380"/>
        <v>986314.25203715917</v>
      </c>
      <c r="P710" s="91">
        <f>P704-P706-P708</f>
        <v>-15308167.074984096</v>
      </c>
      <c r="Q710" s="91">
        <f>Q704-Q706-Q708</f>
        <v>13703852.054607758</v>
      </c>
      <c r="R710" s="91">
        <f t="shared" si="380"/>
        <v>122480.67872251802</v>
      </c>
      <c r="S710" s="91">
        <f t="shared" si="380"/>
        <v>76362.138794133527</v>
      </c>
      <c r="T710" s="91">
        <f t="shared" si="380"/>
        <v>58183.389359704131</v>
      </c>
      <c r="U710" s="91">
        <f t="shared" si="380"/>
        <v>-33650.705407136949</v>
      </c>
      <c r="V710" s="91">
        <f t="shared" si="380"/>
        <v>-39536.078689960792</v>
      </c>
      <c r="W710" s="91">
        <f t="shared" si="380"/>
        <v>16341.87302378094</v>
      </c>
      <c r="X710" s="91">
        <f>SUM(G710:W710)</f>
        <v>164155654.44491825</v>
      </c>
      <c r="Y710" s="87" t="str">
        <f>IF(ABS(F710-X710)&lt;0.01,"ok","err")</f>
        <v>ok</v>
      </c>
      <c r="Z710" s="91" t="str">
        <f>IF(Y710="err",X710-F710,"")</f>
        <v/>
      </c>
    </row>
    <row r="711" spans="1:26" ht="13.5" customHeight="1" x14ac:dyDescent="0.5"/>
    <row r="713" spans="1:26" ht="12" customHeight="1" x14ac:dyDescent="0.5">
      <c r="A713" s="288" t="s">
        <v>1486</v>
      </c>
    </row>
    <row r="715" spans="1:26" ht="12" customHeight="1" x14ac:dyDescent="0.5">
      <c r="A715" s="288" t="s">
        <v>411</v>
      </c>
    </row>
    <row r="717" spans="1:26" ht="12" customHeight="1" x14ac:dyDescent="0.5">
      <c r="A717" s="86" t="s">
        <v>498</v>
      </c>
      <c r="F717" s="91">
        <f t="shared" ref="F717:W717" si="382">F669</f>
        <v>1586186238.4421144</v>
      </c>
      <c r="G717" s="91">
        <f t="shared" si="382"/>
        <v>632354479.49888062</v>
      </c>
      <c r="H717" s="91">
        <f t="shared" si="382"/>
        <v>1051220.687364765</v>
      </c>
      <c r="I717" s="91">
        <f t="shared" si="382"/>
        <v>229947997.57106671</v>
      </c>
      <c r="J717" s="91">
        <f t="shared" si="382"/>
        <v>12341104.149929067</v>
      </c>
      <c r="K717" s="91">
        <f t="shared" si="382"/>
        <v>174078593.35727775</v>
      </c>
      <c r="L717" s="91">
        <f t="shared" si="382"/>
        <v>9618570.9471681006</v>
      </c>
      <c r="M717" s="91">
        <f t="shared" si="382"/>
        <v>137918383.42054722</v>
      </c>
      <c r="N717" s="91">
        <f t="shared" si="382"/>
        <v>255960630.21993825</v>
      </c>
      <c r="O717" s="91">
        <f t="shared" si="382"/>
        <v>81116100.933095604</v>
      </c>
      <c r="P717" s="91">
        <f t="shared" si="382"/>
        <v>20036277.988449719</v>
      </c>
      <c r="Q717" s="91">
        <f t="shared" si="382"/>
        <v>30869021.862646241</v>
      </c>
      <c r="R717" s="91">
        <f t="shared" si="382"/>
        <v>316348.41382896813</v>
      </c>
      <c r="S717" s="91">
        <f t="shared" si="382"/>
        <v>274795.72459276643</v>
      </c>
      <c r="T717" s="91">
        <f t="shared" si="382"/>
        <v>95108.064860777158</v>
      </c>
      <c r="U717" s="91">
        <f t="shared" si="382"/>
        <v>6746.4824681938508</v>
      </c>
      <c r="V717" s="91">
        <f t="shared" si="382"/>
        <v>162504.0000000002</v>
      </c>
      <c r="W717" s="91">
        <f t="shared" si="382"/>
        <v>38355.120000000003</v>
      </c>
      <c r="X717" s="91">
        <f>SUM(G717:W717)</f>
        <v>1586186238.4421148</v>
      </c>
      <c r="Y717" s="87" t="str">
        <f>IF(ABS(F717-X717)&lt;0.01,"ok","err")</f>
        <v>ok</v>
      </c>
      <c r="Z717" s="91" t="str">
        <f>IF(Y717="err",X717-F717,"")</f>
        <v/>
      </c>
    </row>
    <row r="718" spans="1:26" ht="12" customHeight="1" x14ac:dyDescent="0.5">
      <c r="F718" s="91"/>
      <c r="G718" s="91"/>
      <c r="H718" s="91"/>
      <c r="I718" s="91"/>
      <c r="J718" s="91"/>
      <c r="K718" s="91"/>
      <c r="L718" s="91"/>
      <c r="M718" s="91"/>
      <c r="N718" s="91"/>
      <c r="O718" s="91"/>
      <c r="P718" s="91"/>
      <c r="Q718" s="91"/>
      <c r="R718" s="91"/>
      <c r="S718" s="91"/>
      <c r="T718" s="91"/>
      <c r="U718" s="91"/>
      <c r="V718" s="91"/>
      <c r="W718" s="91"/>
      <c r="Y718" s="87"/>
      <c r="Z718" s="91"/>
    </row>
    <row r="719" spans="1:26" ht="12" customHeight="1" x14ac:dyDescent="0.5">
      <c r="A719" s="86" t="s">
        <v>499</v>
      </c>
      <c r="F719" s="91"/>
      <c r="G719" s="91"/>
      <c r="H719" s="91"/>
      <c r="I719" s="91"/>
      <c r="J719" s="91"/>
      <c r="K719" s="91"/>
      <c r="L719" s="91"/>
      <c r="M719" s="91"/>
      <c r="N719" s="91"/>
      <c r="O719" s="91"/>
      <c r="P719" s="91"/>
      <c r="Q719" s="91"/>
      <c r="R719" s="91"/>
      <c r="S719" s="91"/>
      <c r="T719" s="91"/>
      <c r="U719" s="91"/>
      <c r="V719" s="91"/>
      <c r="W719" s="91"/>
      <c r="Y719" s="87"/>
    </row>
    <row r="720" spans="1:26" ht="12" customHeight="1" x14ac:dyDescent="0.5">
      <c r="B720" s="86" t="s">
        <v>2171</v>
      </c>
      <c r="F720" s="195"/>
      <c r="G720" s="89"/>
      <c r="H720" s="89"/>
      <c r="I720" s="89"/>
      <c r="J720" s="89"/>
      <c r="K720" s="89"/>
      <c r="L720" s="89"/>
      <c r="M720" s="89"/>
      <c r="N720" s="89"/>
      <c r="O720" s="89"/>
      <c r="P720" s="89"/>
      <c r="Q720" s="89"/>
      <c r="R720" s="89"/>
      <c r="S720" s="89"/>
      <c r="T720" s="89"/>
      <c r="U720" s="89"/>
      <c r="V720" s="89"/>
      <c r="W720" s="91">
        <f>SUM(G720:V720)</f>
        <v>0</v>
      </c>
      <c r="Y720" s="87" t="str">
        <f>IF(ABS(F720-W720)&lt;0.01,"ok","err")</f>
        <v>ok</v>
      </c>
      <c r="Z720" s="91" t="str">
        <f>IF(Y720="err",W720-F720,"")</f>
        <v/>
      </c>
    </row>
    <row r="721" spans="1:26" ht="12" customHeight="1" x14ac:dyDescent="0.5">
      <c r="B721" s="86" t="s">
        <v>2174</v>
      </c>
      <c r="F721" s="195"/>
      <c r="G721" s="89"/>
      <c r="H721" s="89"/>
      <c r="I721" s="89"/>
      <c r="J721" s="89"/>
      <c r="K721" s="89"/>
      <c r="L721" s="89"/>
      <c r="M721" s="89"/>
      <c r="N721" s="89"/>
      <c r="O721" s="89"/>
      <c r="P721" s="89"/>
      <c r="Q721" s="89"/>
      <c r="R721" s="89"/>
      <c r="S721" s="89"/>
      <c r="T721" s="89"/>
      <c r="U721" s="89"/>
      <c r="V721" s="89"/>
      <c r="W721" s="91">
        <f>SUM(G721:V721)</f>
        <v>0</v>
      </c>
      <c r="Y721" s="87" t="str">
        <f>IF(ABS(F721-W721)&lt;0.01,"ok","err")</f>
        <v>ok</v>
      </c>
      <c r="Z721" s="91" t="str">
        <f>IF(Y721="err",W721-F721,"")</f>
        <v/>
      </c>
    </row>
    <row r="722" spans="1:26" ht="12" customHeight="1" x14ac:dyDescent="0.5">
      <c r="B722" s="86" t="s">
        <v>2172</v>
      </c>
      <c r="F722" s="195"/>
      <c r="G722" s="89"/>
      <c r="H722" s="89"/>
      <c r="I722" s="89"/>
      <c r="J722" s="89"/>
      <c r="K722" s="89"/>
      <c r="L722" s="89"/>
      <c r="M722" s="89"/>
      <c r="N722" s="89"/>
      <c r="O722" s="89"/>
      <c r="P722" s="89"/>
      <c r="Q722" s="89"/>
      <c r="R722" s="89"/>
      <c r="S722" s="89"/>
      <c r="T722" s="89"/>
      <c r="U722" s="89"/>
      <c r="V722" s="89"/>
      <c r="W722" s="91">
        <f>SUM(G722:V722)</f>
        <v>0</v>
      </c>
      <c r="Y722" s="87" t="str">
        <f>IF(ABS(F722-W722)&lt;0.01,"ok","err")</f>
        <v>ok</v>
      </c>
      <c r="Z722" s="91" t="str">
        <f>IF(Y722="err",W722-F722,"")</f>
        <v/>
      </c>
    </row>
    <row r="723" spans="1:26" ht="12" customHeight="1" x14ac:dyDescent="0.5">
      <c r="B723" s="86" t="s">
        <v>2173</v>
      </c>
      <c r="F723" s="195"/>
      <c r="G723" s="89"/>
      <c r="H723" s="89"/>
      <c r="I723" s="89"/>
      <c r="J723" s="89"/>
      <c r="K723" s="89"/>
      <c r="L723" s="89"/>
      <c r="M723" s="89"/>
      <c r="N723" s="89"/>
      <c r="O723" s="89"/>
      <c r="P723" s="89"/>
      <c r="Q723" s="89"/>
      <c r="R723" s="89"/>
      <c r="S723" s="89"/>
      <c r="T723" s="89"/>
      <c r="U723" s="89"/>
      <c r="V723" s="89"/>
      <c r="W723" s="91">
        <f>SUM(G723:V723)</f>
        <v>0</v>
      </c>
      <c r="Y723" s="87" t="str">
        <f>IF(ABS(F723-W723)&lt;0.01,"ok","err")</f>
        <v>ok</v>
      </c>
      <c r="Z723" s="91" t="str">
        <f>IF(Y723="err",W723-F723,"")</f>
        <v/>
      </c>
    </row>
    <row r="725" spans="1:26" ht="12" customHeight="1" x14ac:dyDescent="0.5">
      <c r="A725" s="86" t="s">
        <v>500</v>
      </c>
      <c r="E725" s="94"/>
      <c r="F725" s="91">
        <f t="shared" ref="F725:W725" si="383">SUM(F717:F723)</f>
        <v>1586186238.4421144</v>
      </c>
      <c r="G725" s="91">
        <f t="shared" si="383"/>
        <v>632354479.49888062</v>
      </c>
      <c r="H725" s="91">
        <f t="shared" si="383"/>
        <v>1051220.687364765</v>
      </c>
      <c r="I725" s="91">
        <f t="shared" si="383"/>
        <v>229947997.57106671</v>
      </c>
      <c r="J725" s="91">
        <f t="shared" si="383"/>
        <v>12341104.149929067</v>
      </c>
      <c r="K725" s="91">
        <f t="shared" si="383"/>
        <v>174078593.35727775</v>
      </c>
      <c r="L725" s="91">
        <f t="shared" si="383"/>
        <v>9618570.9471681006</v>
      </c>
      <c r="M725" s="91">
        <f t="shared" si="383"/>
        <v>137918383.42054722</v>
      </c>
      <c r="N725" s="91">
        <f t="shared" si="383"/>
        <v>255960630.21993825</v>
      </c>
      <c r="O725" s="91">
        <f t="shared" si="383"/>
        <v>81116100.933095604</v>
      </c>
      <c r="P725" s="91">
        <f t="shared" si="383"/>
        <v>20036277.988449719</v>
      </c>
      <c r="Q725" s="91">
        <f t="shared" si="383"/>
        <v>30869021.862646241</v>
      </c>
      <c r="R725" s="91">
        <f t="shared" si="383"/>
        <v>316348.41382896813</v>
      </c>
      <c r="S725" s="91">
        <f t="shared" si="383"/>
        <v>274795.72459276643</v>
      </c>
      <c r="T725" s="91">
        <f t="shared" si="383"/>
        <v>95108.064860777158</v>
      </c>
      <c r="U725" s="91">
        <f t="shared" si="383"/>
        <v>6746.4824681938508</v>
      </c>
      <c r="V725" s="91">
        <f t="shared" si="383"/>
        <v>162504.0000000002</v>
      </c>
      <c r="W725" s="91">
        <f t="shared" si="383"/>
        <v>38355.120000000003</v>
      </c>
      <c r="X725" s="91">
        <f>SUM(G725:W725)</f>
        <v>1586186238.4421148</v>
      </c>
      <c r="Y725" s="87" t="str">
        <f>IF(ABS(F725-X725)&lt;0.01,"ok","err")</f>
        <v>ok</v>
      </c>
      <c r="Z725" s="91" t="str">
        <f>IF(Y725="err",X725-F725,"")</f>
        <v/>
      </c>
    </row>
    <row r="726" spans="1:26" ht="12" customHeight="1" x14ac:dyDescent="0.5">
      <c r="E726" s="91"/>
      <c r="F726" s="94"/>
    </row>
    <row r="728" spans="1:26" ht="12" customHeight="1" x14ac:dyDescent="0.5">
      <c r="A728" s="288" t="s">
        <v>415</v>
      </c>
      <c r="F728" s="91"/>
    </row>
    <row r="730" spans="1:26" ht="12" customHeight="1" x14ac:dyDescent="0.5">
      <c r="A730" s="96" t="s">
        <v>416</v>
      </c>
      <c r="F730" s="91">
        <f t="shared" ref="F730:W730" si="384">F231</f>
        <v>892295073</v>
      </c>
      <c r="G730" s="91">
        <f t="shared" si="384"/>
        <v>368559285.05166757</v>
      </c>
      <c r="H730" s="91">
        <f t="shared" si="384"/>
        <v>622964.87766435475</v>
      </c>
      <c r="I730" s="91">
        <f t="shared" si="384"/>
        <v>102777582.98476294</v>
      </c>
      <c r="J730" s="91">
        <f t="shared" si="384"/>
        <v>6577092.3423008164</v>
      </c>
      <c r="K730" s="91">
        <f t="shared" si="384"/>
        <v>80219148.685030729</v>
      </c>
      <c r="L730" s="91">
        <f t="shared" si="384"/>
        <v>3698946.5650880304</v>
      </c>
      <c r="M730" s="91">
        <f t="shared" si="384"/>
        <v>80147030.111942157</v>
      </c>
      <c r="N730" s="91">
        <f t="shared" si="384"/>
        <v>161369012.01558807</v>
      </c>
      <c r="O730" s="91">
        <f t="shared" si="384"/>
        <v>54271582.06786228</v>
      </c>
      <c r="P730" s="91">
        <f t="shared" si="384"/>
        <v>23902042.703641675</v>
      </c>
      <c r="Q730" s="91">
        <f t="shared" si="384"/>
        <v>9699242.4408415016</v>
      </c>
      <c r="R730" s="91">
        <f t="shared" si="384"/>
        <v>167473.15473745018</v>
      </c>
      <c r="S730" s="91">
        <f t="shared" si="384"/>
        <v>140704.28056896492</v>
      </c>
      <c r="T730" s="91">
        <f t="shared" si="384"/>
        <v>22987.648508427035</v>
      </c>
      <c r="U730" s="91">
        <f t="shared" si="384"/>
        <v>21464.069794866617</v>
      </c>
      <c r="V730" s="91">
        <f t="shared" si="384"/>
        <v>91514</v>
      </c>
      <c r="W730" s="91">
        <f t="shared" si="384"/>
        <v>7000</v>
      </c>
      <c r="X730" s="91">
        <f>SUM(G730:W730)</f>
        <v>892295072.99999988</v>
      </c>
      <c r="Y730" s="87" t="str">
        <f>IF(ABS(F730-X730)&lt;0.01,"ok","err")</f>
        <v>ok</v>
      </c>
      <c r="Z730" s="91" t="str">
        <f>IF(Y730="err",X730-F730,"")</f>
        <v/>
      </c>
    </row>
    <row r="731" spans="1:26" ht="12" customHeight="1" x14ac:dyDescent="0.5">
      <c r="A731" s="96" t="s">
        <v>417</v>
      </c>
      <c r="F731" s="90">
        <f t="shared" ref="F731:W731" si="385">F345</f>
        <v>370531144.99999994</v>
      </c>
      <c r="G731" s="90">
        <f t="shared" si="385"/>
        <v>163885507.33045521</v>
      </c>
      <c r="H731" s="90">
        <f t="shared" si="385"/>
        <v>233110.82257238447</v>
      </c>
      <c r="I731" s="90">
        <f t="shared" si="385"/>
        <v>42244784.497978106</v>
      </c>
      <c r="J731" s="90">
        <f t="shared" si="385"/>
        <v>2712858.1186784049</v>
      </c>
      <c r="K731" s="90">
        <f t="shared" si="385"/>
        <v>35444201.894145571</v>
      </c>
      <c r="L731" s="90">
        <f t="shared" si="385"/>
        <v>1534704.0192330964</v>
      </c>
      <c r="M731" s="90">
        <f t="shared" si="385"/>
        <v>33399476.380628955</v>
      </c>
      <c r="N731" s="90">
        <f t="shared" si="385"/>
        <v>59606091.616011411</v>
      </c>
      <c r="O731" s="90">
        <f t="shared" si="385"/>
        <v>18832387.238158166</v>
      </c>
      <c r="P731" s="90">
        <f t="shared" si="385"/>
        <v>8245202.8211647803</v>
      </c>
      <c r="Q731" s="90">
        <f t="shared" si="385"/>
        <v>4191349.326172214</v>
      </c>
      <c r="R731" s="90">
        <f t="shared" si="385"/>
        <v>15844.111319890933</v>
      </c>
      <c r="S731" s="90">
        <f t="shared" si="385"/>
        <v>39219.398935763937</v>
      </c>
      <c r="T731" s="90">
        <f t="shared" si="385"/>
        <v>8921.911041793699</v>
      </c>
      <c r="U731" s="90">
        <f t="shared" si="385"/>
        <v>16554.52070089243</v>
      </c>
      <c r="V731" s="90">
        <f t="shared" si="385"/>
        <v>106487.13</v>
      </c>
      <c r="W731" s="90">
        <f t="shared" si="385"/>
        <v>14443.86</v>
      </c>
      <c r="X731" s="90">
        <f>SUM(G731:W731)</f>
        <v>370531144.99719661</v>
      </c>
      <c r="Y731" s="87" t="str">
        <f>IF(ABS(F731-X731)&lt;0.01,"ok","err")</f>
        <v>ok</v>
      </c>
      <c r="Z731" s="91" t="str">
        <f>IF(Y731="err",X731-F731,"")</f>
        <v/>
      </c>
    </row>
    <row r="732" spans="1:26" ht="12" customHeight="1" x14ac:dyDescent="0.5">
      <c r="A732" s="96" t="s">
        <v>261</v>
      </c>
      <c r="F732" s="90">
        <f t="shared" ref="F732:W732" si="386">F402</f>
        <v>0</v>
      </c>
      <c r="G732" s="90">
        <f t="shared" si="386"/>
        <v>0</v>
      </c>
      <c r="H732" s="90">
        <f t="shared" si="386"/>
        <v>0</v>
      </c>
      <c r="I732" s="90">
        <f t="shared" si="386"/>
        <v>0</v>
      </c>
      <c r="J732" s="90">
        <f t="shared" si="386"/>
        <v>0</v>
      </c>
      <c r="K732" s="90">
        <f t="shared" si="386"/>
        <v>0</v>
      </c>
      <c r="L732" s="90">
        <f t="shared" si="386"/>
        <v>0</v>
      </c>
      <c r="M732" s="90">
        <f t="shared" si="386"/>
        <v>0</v>
      </c>
      <c r="N732" s="90">
        <f t="shared" si="386"/>
        <v>0</v>
      </c>
      <c r="O732" s="90">
        <f t="shared" si="386"/>
        <v>0</v>
      </c>
      <c r="P732" s="90">
        <f t="shared" si="386"/>
        <v>0</v>
      </c>
      <c r="Q732" s="90">
        <f t="shared" si="386"/>
        <v>0</v>
      </c>
      <c r="R732" s="90">
        <f t="shared" si="386"/>
        <v>0</v>
      </c>
      <c r="S732" s="90">
        <f t="shared" si="386"/>
        <v>0</v>
      </c>
      <c r="T732" s="90">
        <f t="shared" si="386"/>
        <v>0</v>
      </c>
      <c r="U732" s="90">
        <f t="shared" si="386"/>
        <v>0</v>
      </c>
      <c r="V732" s="90">
        <f t="shared" si="386"/>
        <v>0</v>
      </c>
      <c r="W732" s="90">
        <f t="shared" si="386"/>
        <v>0</v>
      </c>
      <c r="X732" s="90">
        <f t="shared" ref="X732:X738" si="387">SUM(G732:W732)</f>
        <v>0</v>
      </c>
      <c r="Y732" s="87" t="str">
        <f t="shared" ref="Y732:Y738" si="388">IF(ABS(F732-X732)&lt;0.01,"ok","err")</f>
        <v>ok</v>
      </c>
      <c r="Z732" s="91" t="str">
        <f t="shared" ref="Z732:Z738" si="389">IF(Y732="err",X732-F732,"")</f>
        <v/>
      </c>
    </row>
    <row r="733" spans="1:26" ht="12" customHeight="1" x14ac:dyDescent="0.5">
      <c r="A733" s="96" t="s">
        <v>418</v>
      </c>
      <c r="E733" s="86" t="s">
        <v>399</v>
      </c>
      <c r="F733" s="90">
        <f t="shared" ref="F733:W733" si="390">F677</f>
        <v>35914758</v>
      </c>
      <c r="G733" s="90">
        <f t="shared" si="390"/>
        <v>16842550.50297663</v>
      </c>
      <c r="H733" s="90">
        <f t="shared" si="390"/>
        <v>27855.376134083268</v>
      </c>
      <c r="I733" s="90">
        <f t="shared" si="390"/>
        <v>4199400.9097359888</v>
      </c>
      <c r="J733" s="90">
        <f t="shared" si="390"/>
        <v>264768.15207863163</v>
      </c>
      <c r="K733" s="90">
        <f t="shared" si="390"/>
        <v>3213110.8138611987</v>
      </c>
      <c r="L733" s="90">
        <f t="shared" si="390"/>
        <v>138732.56826273439</v>
      </c>
      <c r="M733" s="90">
        <f t="shared" si="390"/>
        <v>2975845.0414199485</v>
      </c>
      <c r="N733" s="90">
        <f t="shared" si="390"/>
        <v>5193537.8875708571</v>
      </c>
      <c r="O733" s="90">
        <f t="shared" si="390"/>
        <v>1584716.3373163824</v>
      </c>
      <c r="P733" s="90">
        <f t="shared" si="390"/>
        <v>721164.58941585035</v>
      </c>
      <c r="Q733" s="90">
        <f t="shared" si="390"/>
        <v>738708.30467447173</v>
      </c>
      <c r="R733" s="90">
        <f t="shared" si="390"/>
        <v>2379.8223256767028</v>
      </c>
      <c r="S733" s="90">
        <f t="shared" si="390"/>
        <v>4172.4954314631996</v>
      </c>
      <c r="T733" s="90">
        <f t="shared" si="390"/>
        <v>1131.2058809241596</v>
      </c>
      <c r="U733" s="90">
        <f t="shared" si="390"/>
        <v>2075.6572489719283</v>
      </c>
      <c r="V733" s="90">
        <f t="shared" si="390"/>
        <v>4038.9486899610001</v>
      </c>
      <c r="W733" s="90">
        <f t="shared" si="390"/>
        <v>569.38697621906249</v>
      </c>
      <c r="X733" s="90">
        <f t="shared" si="387"/>
        <v>35914757.999999985</v>
      </c>
      <c r="Y733" s="87" t="str">
        <f t="shared" si="388"/>
        <v>ok</v>
      </c>
      <c r="Z733" s="91" t="str">
        <f t="shared" si="389"/>
        <v/>
      </c>
    </row>
    <row r="734" spans="1:26" ht="12" customHeight="1" x14ac:dyDescent="0.5">
      <c r="A734" s="96" t="s">
        <v>419</v>
      </c>
      <c r="F734" s="90">
        <f t="shared" ref="F734:W734" si="391">F516</f>
        <v>13649179.000000002</v>
      </c>
      <c r="G734" s="90">
        <f t="shared" si="391"/>
        <v>6402079.5616167597</v>
      </c>
      <c r="H734" s="90">
        <f t="shared" si="391"/>
        <v>10587.661293255509</v>
      </c>
      <c r="I734" s="90">
        <f t="shared" si="391"/>
        <v>1596333.7562891166</v>
      </c>
      <c r="J734" s="90">
        <f t="shared" si="391"/>
        <v>100639.65980344567</v>
      </c>
      <c r="K734" s="90">
        <f t="shared" si="391"/>
        <v>1221360.7571964639</v>
      </c>
      <c r="L734" s="90">
        <f t="shared" si="391"/>
        <v>52743.54620953383</v>
      </c>
      <c r="M734" s="90">
        <f t="shared" si="391"/>
        <v>1131135.2016822752</v>
      </c>
      <c r="N734" s="90">
        <f t="shared" si="391"/>
        <v>1974109.3468315867</v>
      </c>
      <c r="O734" s="90">
        <f t="shared" si="391"/>
        <v>602374.87348445598</v>
      </c>
      <c r="P734" s="90">
        <f t="shared" si="391"/>
        <v>274117.54145607934</v>
      </c>
      <c r="Q734" s="90">
        <f t="shared" si="391"/>
        <v>280741.74712379649</v>
      </c>
      <c r="R734" s="90">
        <f t="shared" si="391"/>
        <v>904.55814957162227</v>
      </c>
      <c r="S734" s="90">
        <f t="shared" si="391"/>
        <v>1587.2699283624884</v>
      </c>
      <c r="T734" s="90">
        <f t="shared" si="391"/>
        <v>429.98095804109914</v>
      </c>
      <c r="U734" s="90">
        <f t="shared" si="391"/>
        <v>33.537977254663453</v>
      </c>
      <c r="V734" s="90">
        <f t="shared" si="391"/>
        <v>0</v>
      </c>
      <c r="W734" s="90">
        <f t="shared" si="391"/>
        <v>0</v>
      </c>
      <c r="X734" s="90">
        <f t="shared" si="387"/>
        <v>13649179</v>
      </c>
      <c r="Y734" s="87" t="str">
        <f t="shared" si="388"/>
        <v>ok</v>
      </c>
      <c r="Z734" s="91" t="str">
        <f t="shared" si="389"/>
        <v/>
      </c>
    </row>
    <row r="735" spans="1:26" ht="12" customHeight="1" x14ac:dyDescent="0.5">
      <c r="A735" s="86" t="s">
        <v>898</v>
      </c>
      <c r="F735" s="90">
        <f t="shared" ref="F735:W735" si="392">F679</f>
        <v>0</v>
      </c>
      <c r="G735" s="90">
        <f t="shared" si="392"/>
        <v>0</v>
      </c>
      <c r="H735" s="90">
        <f t="shared" si="392"/>
        <v>0</v>
      </c>
      <c r="I735" s="90">
        <f t="shared" si="392"/>
        <v>0</v>
      </c>
      <c r="J735" s="90">
        <f t="shared" si="392"/>
        <v>0</v>
      </c>
      <c r="K735" s="90">
        <f t="shared" si="392"/>
        <v>0</v>
      </c>
      <c r="L735" s="90">
        <f t="shared" si="392"/>
        <v>0</v>
      </c>
      <c r="M735" s="90">
        <f t="shared" si="392"/>
        <v>0</v>
      </c>
      <c r="N735" s="90">
        <f t="shared" si="392"/>
        <v>0</v>
      </c>
      <c r="O735" s="90">
        <f t="shared" si="392"/>
        <v>0</v>
      </c>
      <c r="P735" s="90">
        <f t="shared" si="392"/>
        <v>0</v>
      </c>
      <c r="Q735" s="90">
        <f t="shared" si="392"/>
        <v>0</v>
      </c>
      <c r="R735" s="90">
        <f t="shared" si="392"/>
        <v>0</v>
      </c>
      <c r="S735" s="90">
        <f t="shared" si="392"/>
        <v>0</v>
      </c>
      <c r="T735" s="90">
        <f t="shared" si="392"/>
        <v>0</v>
      </c>
      <c r="U735" s="90">
        <f t="shared" si="392"/>
        <v>0</v>
      </c>
      <c r="V735" s="90">
        <f t="shared" si="392"/>
        <v>0</v>
      </c>
      <c r="W735" s="90">
        <f t="shared" si="392"/>
        <v>0</v>
      </c>
      <c r="X735" s="90">
        <f t="shared" si="387"/>
        <v>0</v>
      </c>
      <c r="Y735" s="87" t="str">
        <f t="shared" si="388"/>
        <v>ok</v>
      </c>
      <c r="Z735" s="91" t="str">
        <f t="shared" si="389"/>
        <v/>
      </c>
    </row>
    <row r="736" spans="1:26" ht="12" customHeight="1" x14ac:dyDescent="0.5">
      <c r="A736" s="96" t="s">
        <v>1484</v>
      </c>
      <c r="E736" s="86" t="s">
        <v>1133</v>
      </c>
      <c r="F736" s="90">
        <f>F680</f>
        <v>23821552.705033928</v>
      </c>
      <c r="G736" s="89">
        <f t="shared" ref="G736:W736" si="393">IF(VLOOKUP($E736,$D$5:$AK$1020,3,)=0,0,(VLOOKUP($E736,$D$5:$AK$1020,G$1,)/VLOOKUP($E736,$D$5:$AK$1020,3,))*$F736)</f>
        <v>3662538.6187309134</v>
      </c>
      <c r="H736" s="89">
        <f t="shared" si="393"/>
        <v>10398.104975668532</v>
      </c>
      <c r="I736" s="89">
        <f t="shared" si="393"/>
        <v>9622174.9950442035</v>
      </c>
      <c r="J736" s="89">
        <f t="shared" si="393"/>
        <v>272430.34182737052</v>
      </c>
      <c r="K736" s="89">
        <f t="shared" si="393"/>
        <v>6409741.3520266563</v>
      </c>
      <c r="L736" s="89">
        <f t="shared" si="393"/>
        <v>547052.37674131233</v>
      </c>
      <c r="M736" s="89">
        <f t="shared" si="393"/>
        <v>1622214.5736324484</v>
      </c>
      <c r="N736" s="89">
        <f t="shared" si="393"/>
        <v>1735634.4822446657</v>
      </c>
      <c r="O736" s="89">
        <f t="shared" si="393"/>
        <v>143129.62303052715</v>
      </c>
      <c r="P736" s="89">
        <f t="shared" si="393"/>
        <v>-2221454.4484228473</v>
      </c>
      <c r="Q736" s="89">
        <f t="shared" si="393"/>
        <v>1988643.2489350531</v>
      </c>
      <c r="R736" s="89">
        <f t="shared" si="393"/>
        <v>17773.861969315483</v>
      </c>
      <c r="S736" s="89">
        <f t="shared" si="393"/>
        <v>11081.340573589674</v>
      </c>
      <c r="T736" s="89">
        <f t="shared" si="393"/>
        <v>8443.3197315079342</v>
      </c>
      <c r="U736" s="89">
        <f t="shared" si="393"/>
        <v>-4883.2436210740016</v>
      </c>
      <c r="V736" s="89">
        <f t="shared" si="393"/>
        <v>-5737.3033263095867</v>
      </c>
      <c r="W736" s="89">
        <f t="shared" si="393"/>
        <v>2371.4613478163396</v>
      </c>
      <c r="X736" s="90">
        <f t="shared" si="387"/>
        <v>23821552.705440816</v>
      </c>
      <c r="Y736" s="87" t="str">
        <f t="shared" si="388"/>
        <v>ok</v>
      </c>
      <c r="Z736" s="91" t="str">
        <f t="shared" si="389"/>
        <v/>
      </c>
    </row>
    <row r="737" spans="1:33" ht="12" customHeight="1" x14ac:dyDescent="0.5">
      <c r="A737" s="96" t="s">
        <v>908</v>
      </c>
      <c r="F737" s="90">
        <f>F653</f>
        <v>-18634070.13000004</v>
      </c>
      <c r="G737" s="90">
        <v>0</v>
      </c>
      <c r="H737" s="90">
        <v>0</v>
      </c>
      <c r="I737" s="90">
        <v>0</v>
      </c>
      <c r="J737" s="90">
        <v>0</v>
      </c>
      <c r="K737" s="90">
        <v>0</v>
      </c>
      <c r="L737" s="90">
        <v>0</v>
      </c>
      <c r="M737" s="90">
        <v>0</v>
      </c>
      <c r="N737" s="90">
        <v>-1032456.07</v>
      </c>
      <c r="O737" s="90">
        <v>-3386120.19</v>
      </c>
      <c r="P737" s="90">
        <v>-14215493.866000002</v>
      </c>
      <c r="Q737" s="90">
        <v>0</v>
      </c>
      <c r="R737" s="90">
        <v>0</v>
      </c>
      <c r="S737" s="90">
        <v>0</v>
      </c>
      <c r="T737" s="90">
        <v>0</v>
      </c>
      <c r="U737" s="90">
        <v>0</v>
      </c>
      <c r="V737" s="90">
        <v>0</v>
      </c>
      <c r="W737" s="90">
        <v>0</v>
      </c>
      <c r="X737" s="90">
        <f t="shared" si="387"/>
        <v>-18634070.126000002</v>
      </c>
      <c r="Y737" s="87" t="str">
        <f t="shared" si="388"/>
        <v>ok</v>
      </c>
      <c r="Z737" s="91" t="str">
        <f t="shared" si="389"/>
        <v/>
      </c>
    </row>
    <row r="738" spans="1:33" ht="12" customHeight="1" x14ac:dyDescent="0.5">
      <c r="A738" s="96" t="s">
        <v>553</v>
      </c>
      <c r="E738" s="86" t="s">
        <v>555</v>
      </c>
      <c r="F738" s="89">
        <f>-F737</f>
        <v>18634070.13000004</v>
      </c>
      <c r="G738" s="89">
        <f t="shared" ref="G738:W738" si="394">IF(VLOOKUP($E738,$D$5:$AK$1060,3,)=0,0,(VLOOKUP($E738,$D$5:$AK$1060,G$1,)/VLOOKUP($E738,$D$5:$AK$1060,3,))*$F738)</f>
        <v>7639489.9126472678</v>
      </c>
      <c r="H738" s="89">
        <f t="shared" si="394"/>
        <v>7801.9014031568167</v>
      </c>
      <c r="I738" s="89">
        <f t="shared" si="394"/>
        <v>2059747.0046663503</v>
      </c>
      <c r="J738" s="89">
        <f t="shared" si="394"/>
        <v>132168.33884522188</v>
      </c>
      <c r="K738" s="89">
        <f t="shared" si="394"/>
        <v>1920796.5301073552</v>
      </c>
      <c r="L738" s="89">
        <f t="shared" si="394"/>
        <v>83449.354118310817</v>
      </c>
      <c r="M738" s="89">
        <f t="shared" si="394"/>
        <v>1847280.9054121103</v>
      </c>
      <c r="N738" s="89">
        <f t="shared" si="394"/>
        <v>3381652.1422688123</v>
      </c>
      <c r="O738" s="89">
        <f t="shared" si="394"/>
        <v>1100778.6796272106</v>
      </c>
      <c r="P738" s="89">
        <f t="shared" si="394"/>
        <v>455830.93668045604</v>
      </c>
      <c r="Q738" s="89">
        <f t="shared" si="394"/>
        <v>2971.1324142404915</v>
      </c>
      <c r="R738" s="89">
        <f t="shared" si="394"/>
        <v>108.09894275093789</v>
      </c>
      <c r="S738" s="89">
        <f t="shared" si="394"/>
        <v>1767.6642443734397</v>
      </c>
      <c r="T738" s="89">
        <f t="shared" si="394"/>
        <v>227.52864740249245</v>
      </c>
      <c r="U738" s="89">
        <f t="shared" si="394"/>
        <v>0</v>
      </c>
      <c r="V738" s="89">
        <f t="shared" si="394"/>
        <v>0</v>
      </c>
      <c r="W738" s="89">
        <f t="shared" si="394"/>
        <v>0</v>
      </c>
      <c r="X738" s="90">
        <f t="shared" si="387"/>
        <v>18634070.130025014</v>
      </c>
      <c r="Y738" s="87" t="str">
        <f t="shared" si="388"/>
        <v>ok</v>
      </c>
      <c r="Z738" s="91" t="str">
        <f t="shared" si="389"/>
        <v/>
      </c>
    </row>
    <row r="739" spans="1:33" ht="12" customHeight="1" x14ac:dyDescent="0.5">
      <c r="A739" s="96" t="s">
        <v>2574</v>
      </c>
      <c r="F739" s="90">
        <f>H739</f>
        <v>216360.1587</v>
      </c>
      <c r="G739" s="90">
        <v>0</v>
      </c>
      <c r="H739" s="90">
        <f>(3186453*(0.08963-0.02173))</f>
        <v>216360.1587</v>
      </c>
      <c r="I739" s="90">
        <v>0</v>
      </c>
      <c r="J739" s="90">
        <v>0</v>
      </c>
      <c r="K739" s="90">
        <v>0</v>
      </c>
      <c r="L739" s="90">
        <v>0</v>
      </c>
      <c r="M739" s="90">
        <v>0</v>
      </c>
      <c r="N739" s="90"/>
      <c r="O739" s="90"/>
      <c r="P739" s="90"/>
      <c r="Q739" s="90">
        <v>0</v>
      </c>
      <c r="R739" s="90">
        <v>0</v>
      </c>
      <c r="S739" s="90">
        <v>0</v>
      </c>
      <c r="T739" s="90">
        <v>0</v>
      </c>
      <c r="U739" s="90">
        <v>0</v>
      </c>
      <c r="V739" s="90">
        <v>0</v>
      </c>
      <c r="W739" s="90">
        <v>0</v>
      </c>
      <c r="X739" s="90">
        <f t="shared" ref="X739:X740" si="395">SUM(G739:W739)</f>
        <v>216360.1587</v>
      </c>
      <c r="Y739" s="87" t="str">
        <f t="shared" ref="Y739:Y740" si="396">IF(ABS(F739-X739)&lt;0.01,"ok","err")</f>
        <v>ok</v>
      </c>
      <c r="Z739" s="91" t="str">
        <f t="shared" ref="Z739:Z740" si="397">IF(Y739="err",X739-F739,"")</f>
        <v/>
      </c>
    </row>
    <row r="740" spans="1:33" ht="12" customHeight="1" x14ac:dyDescent="0.5">
      <c r="A740" s="96" t="s">
        <v>2570</v>
      </c>
      <c r="E740" s="86" t="s">
        <v>104</v>
      </c>
      <c r="F740" s="89">
        <f>-F739</f>
        <v>-216360.1587</v>
      </c>
      <c r="G740" s="89">
        <f t="shared" ref="G740:W740" si="398">IF(VLOOKUP($E740,$D$5:$AK$1060,3,)=0,0,(VLOOKUP($E740,$D$5:$AK$1060,G$1,)/VLOOKUP($E740,$D$5:$AK$1060,3,))*$F740)</f>
        <v>-74585.118393097029</v>
      </c>
      <c r="H740" s="89">
        <f t="shared" si="398"/>
        <v>-122.63917235226407</v>
      </c>
      <c r="I740" s="89">
        <f t="shared" si="398"/>
        <v>-21093.343644719385</v>
      </c>
      <c r="J740" s="89">
        <f t="shared" si="398"/>
        <v>-1615.7842738332408</v>
      </c>
      <c r="K740" s="89">
        <f t="shared" si="398"/>
        <v>-21357.846749329641</v>
      </c>
      <c r="L740" s="89">
        <f t="shared" si="398"/>
        <v>-965.22660769335982</v>
      </c>
      <c r="M740" s="89">
        <f t="shared" si="398"/>
        <v>-22426.360690948266</v>
      </c>
      <c r="N740" s="89">
        <f t="shared" si="398"/>
        <v>-48455.615680616371</v>
      </c>
      <c r="O740" s="89">
        <f t="shared" si="398"/>
        <v>-16864.309165860072</v>
      </c>
      <c r="P740" s="89">
        <f t="shared" si="398"/>
        <v>-7274.4596253394084</v>
      </c>
      <c r="Q740" s="89">
        <f t="shared" si="398"/>
        <v>-1510.1945836019386</v>
      </c>
      <c r="R740" s="89">
        <f t="shared" si="398"/>
        <v>-54.945527167354193</v>
      </c>
      <c r="S740" s="89">
        <f t="shared" si="398"/>
        <v>-30.074234229736778</v>
      </c>
      <c r="T740" s="89">
        <f t="shared" si="398"/>
        <v>-4.1027162405250541</v>
      </c>
      <c r="U740" s="89">
        <f t="shared" si="398"/>
        <v>-0.13763497138141065</v>
      </c>
      <c r="V740" s="89">
        <f t="shared" si="398"/>
        <v>0</v>
      </c>
      <c r="W740" s="89">
        <f t="shared" si="398"/>
        <v>0</v>
      </c>
      <c r="X740" s="90">
        <f t="shared" si="395"/>
        <v>-216360.15869999997</v>
      </c>
      <c r="Y740" s="87" t="str">
        <f t="shared" si="396"/>
        <v>ok</v>
      </c>
      <c r="Z740" s="91" t="str">
        <f t="shared" si="397"/>
        <v/>
      </c>
    </row>
    <row r="741" spans="1:33" ht="12" hidden="1" customHeight="1" x14ac:dyDescent="0.5">
      <c r="A741" s="86" t="s">
        <v>1485</v>
      </c>
      <c r="D741" s="94"/>
      <c r="G741" s="94"/>
      <c r="H741" s="94"/>
      <c r="W741" s="91"/>
      <c r="Y741" s="87"/>
    </row>
    <row r="742" spans="1:33" ht="12" hidden="1" customHeight="1" x14ac:dyDescent="0.5">
      <c r="B742" s="86" t="s">
        <v>1788</v>
      </c>
      <c r="E742" s="86" t="s">
        <v>1133</v>
      </c>
      <c r="F742" s="90"/>
      <c r="G742" s="90">
        <f t="shared" ref="G742:P744" si="399">IF(VLOOKUP($E742,$D$5:$AK$1005,3,)=0,0,(VLOOKUP($E742,$D$5:$AK$1005,G$1,)/VLOOKUP($E742,$D$5:$AK$1005,3,))*$F742)</f>
        <v>0</v>
      </c>
      <c r="H742" s="90">
        <f t="shared" si="399"/>
        <v>0</v>
      </c>
      <c r="I742" s="90">
        <f t="shared" si="399"/>
        <v>0</v>
      </c>
      <c r="J742" s="90">
        <f t="shared" si="399"/>
        <v>0</v>
      </c>
      <c r="K742" s="90">
        <f t="shared" si="399"/>
        <v>0</v>
      </c>
      <c r="L742" s="90">
        <f t="shared" si="399"/>
        <v>0</v>
      </c>
      <c r="M742" s="90">
        <f t="shared" si="399"/>
        <v>0</v>
      </c>
      <c r="N742" s="90">
        <f t="shared" si="399"/>
        <v>0</v>
      </c>
      <c r="O742" s="90">
        <f t="shared" si="399"/>
        <v>0</v>
      </c>
      <c r="P742" s="90">
        <f t="shared" si="399"/>
        <v>0</v>
      </c>
      <c r="Q742" s="90">
        <f t="shared" ref="Q742:W744" si="400">IF(VLOOKUP($E742,$D$5:$AK$1005,3,)=0,0,(VLOOKUP($E742,$D$5:$AK$1005,Q$1,)/VLOOKUP($E742,$D$5:$AK$1005,3,))*$F742)</f>
        <v>0</v>
      </c>
      <c r="R742" s="90">
        <f t="shared" si="400"/>
        <v>0</v>
      </c>
      <c r="S742" s="90">
        <f t="shared" si="400"/>
        <v>0</v>
      </c>
      <c r="T742" s="90">
        <f t="shared" si="400"/>
        <v>0</v>
      </c>
      <c r="U742" s="90">
        <f t="shared" si="400"/>
        <v>0</v>
      </c>
      <c r="V742" s="90">
        <f t="shared" si="400"/>
        <v>0</v>
      </c>
      <c r="W742" s="90">
        <f t="shared" si="400"/>
        <v>0</v>
      </c>
      <c r="X742" s="90">
        <f>SUM(G742:W742)</f>
        <v>0</v>
      </c>
      <c r="Y742" s="87" t="str">
        <f>IF(ABS(F742-X742)&lt;0.01,"ok","err")</f>
        <v>ok</v>
      </c>
      <c r="Z742" s="91" t="str">
        <f>IF(Y742="err",X742-F742,"")</f>
        <v/>
      </c>
    </row>
    <row r="743" spans="1:33" ht="12" hidden="1" customHeight="1" x14ac:dyDescent="0.5">
      <c r="B743" s="96" t="s">
        <v>2122</v>
      </c>
      <c r="E743" s="86" t="s">
        <v>1133</v>
      </c>
      <c r="F743" s="90">
        <v>0</v>
      </c>
      <c r="G743" s="90">
        <f t="shared" si="399"/>
        <v>0</v>
      </c>
      <c r="H743" s="90">
        <f t="shared" si="399"/>
        <v>0</v>
      </c>
      <c r="I743" s="90">
        <f t="shared" si="399"/>
        <v>0</v>
      </c>
      <c r="J743" s="90">
        <f t="shared" si="399"/>
        <v>0</v>
      </c>
      <c r="K743" s="90">
        <f t="shared" si="399"/>
        <v>0</v>
      </c>
      <c r="L743" s="90">
        <f t="shared" si="399"/>
        <v>0</v>
      </c>
      <c r="M743" s="90">
        <f t="shared" si="399"/>
        <v>0</v>
      </c>
      <c r="N743" s="90">
        <f t="shared" si="399"/>
        <v>0</v>
      </c>
      <c r="O743" s="90">
        <f t="shared" si="399"/>
        <v>0</v>
      </c>
      <c r="P743" s="90">
        <f t="shared" si="399"/>
        <v>0</v>
      </c>
      <c r="Q743" s="90">
        <f t="shared" si="400"/>
        <v>0</v>
      </c>
      <c r="R743" s="90">
        <f t="shared" si="400"/>
        <v>0</v>
      </c>
      <c r="S743" s="90">
        <f t="shared" si="400"/>
        <v>0</v>
      </c>
      <c r="T743" s="90">
        <f t="shared" si="400"/>
        <v>0</v>
      </c>
      <c r="U743" s="90">
        <f t="shared" si="400"/>
        <v>0</v>
      </c>
      <c r="V743" s="90">
        <f t="shared" si="400"/>
        <v>0</v>
      </c>
      <c r="W743" s="90">
        <f t="shared" si="400"/>
        <v>0</v>
      </c>
      <c r="X743" s="90">
        <f>SUM(G743:W743)</f>
        <v>0</v>
      </c>
      <c r="Y743" s="87" t="str">
        <f>IF(ABS(F743-X743)&lt;0.01,"ok","err")</f>
        <v>ok</v>
      </c>
      <c r="Z743" s="91" t="str">
        <f>IF(Y743="err",X743-F743,"")</f>
        <v/>
      </c>
    </row>
    <row r="744" spans="1:33" ht="12" hidden="1" customHeight="1" x14ac:dyDescent="0.5">
      <c r="B744" s="86" t="s">
        <v>1787</v>
      </c>
      <c r="E744" s="86" t="s">
        <v>1133</v>
      </c>
      <c r="F744" s="90"/>
      <c r="G744" s="90">
        <f t="shared" si="399"/>
        <v>0</v>
      </c>
      <c r="H744" s="90">
        <f t="shared" si="399"/>
        <v>0</v>
      </c>
      <c r="I744" s="90">
        <f t="shared" si="399"/>
        <v>0</v>
      </c>
      <c r="J744" s="90">
        <f t="shared" si="399"/>
        <v>0</v>
      </c>
      <c r="K744" s="90">
        <f t="shared" si="399"/>
        <v>0</v>
      </c>
      <c r="L744" s="90">
        <f t="shared" si="399"/>
        <v>0</v>
      </c>
      <c r="M744" s="90">
        <f t="shared" si="399"/>
        <v>0</v>
      </c>
      <c r="N744" s="90">
        <f t="shared" si="399"/>
        <v>0</v>
      </c>
      <c r="O744" s="90">
        <f t="shared" si="399"/>
        <v>0</v>
      </c>
      <c r="P744" s="90">
        <f t="shared" si="399"/>
        <v>0</v>
      </c>
      <c r="Q744" s="90">
        <f t="shared" si="400"/>
        <v>0</v>
      </c>
      <c r="R744" s="90">
        <f t="shared" si="400"/>
        <v>0</v>
      </c>
      <c r="S744" s="90">
        <f t="shared" si="400"/>
        <v>0</v>
      </c>
      <c r="T744" s="90">
        <f t="shared" si="400"/>
        <v>0</v>
      </c>
      <c r="U744" s="90">
        <f t="shared" si="400"/>
        <v>0</v>
      </c>
      <c r="V744" s="90">
        <f t="shared" si="400"/>
        <v>0</v>
      </c>
      <c r="W744" s="90">
        <f t="shared" si="400"/>
        <v>0</v>
      </c>
      <c r="X744" s="90">
        <f>SUM(G744:W744)</f>
        <v>0</v>
      </c>
      <c r="Y744" s="87" t="str">
        <f>IF(ABS(F744-X744)&lt;0.01,"ok","err")</f>
        <v>ok</v>
      </c>
      <c r="Z744" s="91" t="str">
        <f>IF(Y744="err",X744-F744,"")</f>
        <v/>
      </c>
    </row>
    <row r="745" spans="1:33" ht="12" hidden="1" customHeight="1" x14ac:dyDescent="0.5">
      <c r="A745" s="86" t="s">
        <v>907</v>
      </c>
      <c r="F745" s="89">
        <f t="shared" ref="F745:W745" si="401">SUM(F742:F744)</f>
        <v>0</v>
      </c>
      <c r="G745" s="89">
        <f t="shared" si="401"/>
        <v>0</v>
      </c>
      <c r="H745" s="89">
        <f t="shared" ref="H745" si="402">SUM(H742:H744)</f>
        <v>0</v>
      </c>
      <c r="I745" s="89">
        <f t="shared" si="401"/>
        <v>0</v>
      </c>
      <c r="J745" s="89">
        <f t="shared" si="401"/>
        <v>0</v>
      </c>
      <c r="K745" s="89">
        <f t="shared" si="401"/>
        <v>0</v>
      </c>
      <c r="L745" s="89">
        <f t="shared" si="401"/>
        <v>0</v>
      </c>
      <c r="M745" s="89">
        <f t="shared" si="401"/>
        <v>0</v>
      </c>
      <c r="N745" s="89">
        <f t="shared" si="401"/>
        <v>0</v>
      </c>
      <c r="O745" s="89">
        <f t="shared" si="401"/>
        <v>0</v>
      </c>
      <c r="P745" s="89">
        <f t="shared" si="401"/>
        <v>0</v>
      </c>
      <c r="Q745" s="89">
        <f t="shared" si="401"/>
        <v>0</v>
      </c>
      <c r="R745" s="89">
        <f t="shared" si="401"/>
        <v>0</v>
      </c>
      <c r="S745" s="89">
        <f t="shared" si="401"/>
        <v>0</v>
      </c>
      <c r="T745" s="89">
        <f t="shared" si="401"/>
        <v>0</v>
      </c>
      <c r="U745" s="89">
        <f t="shared" si="401"/>
        <v>0</v>
      </c>
      <c r="V745" s="89">
        <f t="shared" si="401"/>
        <v>0</v>
      </c>
      <c r="W745" s="89">
        <f t="shared" si="401"/>
        <v>0</v>
      </c>
      <c r="X745" s="216">
        <f>SUM(G745:W745)</f>
        <v>0</v>
      </c>
      <c r="Y745" s="87" t="str">
        <f>IF(ABS(F745-X745)&lt;0.01,"ok","err")</f>
        <v>ok</v>
      </c>
      <c r="Z745" s="91" t="str">
        <f>IF(Y745="err",X745-F745,"")</f>
        <v/>
      </c>
    </row>
    <row r="746" spans="1:33" ht="12" hidden="1" customHeight="1" x14ac:dyDescent="0.5">
      <c r="F746" s="90"/>
      <c r="G746" s="90"/>
      <c r="H746" s="90"/>
      <c r="I746" s="90"/>
      <c r="J746" s="90"/>
      <c r="K746" s="90"/>
      <c r="L746" s="90"/>
      <c r="M746" s="221"/>
      <c r="N746" s="221"/>
      <c r="O746" s="221"/>
      <c r="P746" s="221"/>
      <c r="Q746" s="90"/>
      <c r="R746" s="90"/>
      <c r="S746" s="90"/>
      <c r="T746" s="90"/>
      <c r="U746" s="90"/>
      <c r="V746" s="90"/>
      <c r="W746" s="91"/>
      <c r="X746" s="91"/>
      <c r="Y746" s="87"/>
      <c r="Z746" s="203"/>
    </row>
    <row r="747" spans="1:33" ht="12" hidden="1" customHeight="1" x14ac:dyDescent="0.5">
      <c r="F747" s="90"/>
      <c r="G747" s="90"/>
      <c r="H747" s="90"/>
      <c r="I747" s="90"/>
      <c r="J747" s="90"/>
      <c r="K747" s="90"/>
      <c r="L747" s="90"/>
      <c r="M747" s="90"/>
      <c r="N747" s="90"/>
      <c r="O747" s="90"/>
      <c r="P747" s="90"/>
      <c r="Q747" s="90"/>
      <c r="R747" s="90"/>
      <c r="S747" s="90"/>
      <c r="T747" s="90"/>
      <c r="U747" s="90"/>
      <c r="V747" s="90"/>
      <c r="W747" s="91"/>
      <c r="X747" s="91"/>
      <c r="Y747" s="87"/>
      <c r="Z747" s="203"/>
      <c r="AE747" s="213"/>
      <c r="AF747" s="213"/>
      <c r="AG747" s="213"/>
    </row>
    <row r="748" spans="1:33" ht="12" customHeight="1" x14ac:dyDescent="0.5">
      <c r="F748" s="94"/>
      <c r="G748" s="94"/>
      <c r="H748" s="94"/>
      <c r="W748" s="91"/>
      <c r="X748" s="91"/>
      <c r="Y748" s="87"/>
    </row>
    <row r="749" spans="1:33" ht="12" customHeight="1" x14ac:dyDescent="0.5">
      <c r="A749" s="86" t="s">
        <v>420</v>
      </c>
      <c r="D749" s="86" t="s">
        <v>378</v>
      </c>
      <c r="F749" s="91">
        <f t="shared" ref="F749:T749" si="403">SUM(F730:F744)</f>
        <v>1336211707.705034</v>
      </c>
      <c r="G749" s="91">
        <f t="shared" si="403"/>
        <v>566916865.85970128</v>
      </c>
      <c r="H749" s="91">
        <f t="shared" ref="H749" si="404">SUM(H730:H744)</f>
        <v>1128956.2635705511</v>
      </c>
      <c r="I749" s="91">
        <f t="shared" si="403"/>
        <v>162478930.80483201</v>
      </c>
      <c r="J749" s="91">
        <f t="shared" si="403"/>
        <v>10058341.169260059</v>
      </c>
      <c r="K749" s="91">
        <f t="shared" si="403"/>
        <v>128407002.18561864</v>
      </c>
      <c r="L749" s="91">
        <f t="shared" si="403"/>
        <v>6054663.2030453244</v>
      </c>
      <c r="M749" s="91">
        <f t="shared" si="403"/>
        <v>121100555.85402694</v>
      </c>
      <c r="N749" s="91">
        <f t="shared" si="403"/>
        <v>232179125.80483481</v>
      </c>
      <c r="O749" s="91">
        <f t="shared" si="403"/>
        <v>73131984.320313156</v>
      </c>
      <c r="P749" s="91">
        <f t="shared" si="403"/>
        <v>17154135.818310656</v>
      </c>
      <c r="Q749" s="91">
        <f t="shared" si="403"/>
        <v>16900146.005577672</v>
      </c>
      <c r="R749" s="91">
        <f t="shared" si="403"/>
        <v>204428.66191748853</v>
      </c>
      <c r="S749" s="91">
        <f t="shared" si="403"/>
        <v>198502.37544828793</v>
      </c>
      <c r="T749" s="91">
        <f t="shared" si="403"/>
        <v>42137.492051855894</v>
      </c>
      <c r="U749" s="91">
        <f>SUM(U730:U744)</f>
        <v>35244.404465940257</v>
      </c>
      <c r="V749" s="91">
        <f>SUM(V730:V744)</f>
        <v>196302.7753636514</v>
      </c>
      <c r="W749" s="91">
        <f>SUM(W730:W744)</f>
        <v>24384.708324035404</v>
      </c>
      <c r="X749" s="89">
        <f>SUM(G749:W749)</f>
        <v>1336211707.7066622</v>
      </c>
      <c r="Y749" s="87" t="str">
        <f>IF(ABS(F749-X749)&lt;0.01,"ok","err")</f>
        <v>ok</v>
      </c>
      <c r="Z749" s="91" t="str">
        <f>IF(Y749="err",X749-F749,"")</f>
        <v/>
      </c>
      <c r="AE749" s="214"/>
      <c r="AF749" s="214"/>
      <c r="AG749" s="196"/>
    </row>
    <row r="750" spans="1:33" ht="12" customHeight="1" x14ac:dyDescent="0.5">
      <c r="F750" s="91"/>
      <c r="X750" s="91"/>
      <c r="AE750" s="105"/>
      <c r="AF750" s="105"/>
      <c r="AG750" s="196"/>
    </row>
    <row r="751" spans="1:33" ht="12" customHeight="1" x14ac:dyDescent="0.5">
      <c r="A751" s="86" t="s">
        <v>900</v>
      </c>
      <c r="F751" s="91">
        <f t="shared" ref="F751:T751" si="405">F725-F749</f>
        <v>249974530.73708034</v>
      </c>
      <c r="G751" s="91">
        <f t="shared" si="405"/>
        <v>65437613.639179349</v>
      </c>
      <c r="H751" s="91">
        <f t="shared" ref="H751" si="406">H725-H749</f>
        <v>-77735.576205786085</v>
      </c>
      <c r="I751" s="91">
        <f t="shared" si="405"/>
        <v>67469066.766234696</v>
      </c>
      <c r="J751" s="91">
        <f t="shared" si="405"/>
        <v>2282762.9806690086</v>
      </c>
      <c r="K751" s="91">
        <f t="shared" si="405"/>
        <v>45671591.171659112</v>
      </c>
      <c r="L751" s="91">
        <f t="shared" si="405"/>
        <v>3563907.7441227762</v>
      </c>
      <c r="M751" s="91">
        <f t="shared" si="405"/>
        <v>16817827.566520274</v>
      </c>
      <c r="N751" s="91">
        <f t="shared" si="405"/>
        <v>23781504.415103436</v>
      </c>
      <c r="O751" s="91">
        <f t="shared" si="405"/>
        <v>7984116.6127824485</v>
      </c>
      <c r="P751" s="91">
        <f t="shared" si="405"/>
        <v>2882142.1701390631</v>
      </c>
      <c r="Q751" s="91">
        <f t="shared" si="405"/>
        <v>13968875.857068568</v>
      </c>
      <c r="R751" s="91">
        <f t="shared" si="405"/>
        <v>111919.7519114796</v>
      </c>
      <c r="S751" s="91">
        <f t="shared" si="405"/>
        <v>76293.349144478503</v>
      </c>
      <c r="T751" s="91">
        <f t="shared" si="405"/>
        <v>52970.572808921264</v>
      </c>
      <c r="U751" s="91">
        <f>U725-U749</f>
        <v>-28497.921997746405</v>
      </c>
      <c r="V751" s="91">
        <f>V725-V749</f>
        <v>-33798.775363651192</v>
      </c>
      <c r="W751" s="91">
        <f>W725-W749</f>
        <v>13970.411675964599</v>
      </c>
      <c r="X751" s="89">
        <f>SUM(G751:W751)</f>
        <v>249974530.73545241</v>
      </c>
      <c r="Y751" s="87" t="str">
        <f>IF(ABS(F751-X751)&lt;0.01,"ok","err")</f>
        <v>ok</v>
      </c>
      <c r="Z751" s="91" t="str">
        <f>IF(Y751="err",X751-F751,"")</f>
        <v/>
      </c>
      <c r="AB751" s="205"/>
      <c r="AE751" s="105"/>
      <c r="AF751" s="105"/>
      <c r="AG751" s="196"/>
    </row>
    <row r="752" spans="1:33" ht="12" customHeight="1" x14ac:dyDescent="0.5">
      <c r="X752" s="91"/>
      <c r="AB752" s="206"/>
      <c r="AE752" s="105"/>
      <c r="AF752" s="105"/>
      <c r="AG752" s="196"/>
    </row>
    <row r="753" spans="1:33" ht="12" hidden="1" customHeight="1" x14ac:dyDescent="0.5">
      <c r="A753" s="288" t="s">
        <v>400</v>
      </c>
      <c r="F753" s="91">
        <f t="shared" ref="F753:W753" si="407">F688</f>
        <v>5197832023.3399992</v>
      </c>
      <c r="G753" s="91">
        <f t="shared" si="407"/>
        <v>2446199408.7285142</v>
      </c>
      <c r="H753" s="91">
        <f t="shared" ref="H753" si="408">H688</f>
        <v>11340629.922834281</v>
      </c>
      <c r="I753" s="91">
        <f t="shared" si="407"/>
        <v>610148565.20987535</v>
      </c>
      <c r="J753" s="91">
        <f t="shared" si="407"/>
        <v>38738639.515784226</v>
      </c>
      <c r="K753" s="91">
        <f t="shared" si="407"/>
        <v>458864450.23790866</v>
      </c>
      <c r="L753" s="91">
        <f t="shared" si="407"/>
        <v>19887373.090099089</v>
      </c>
      <c r="M753" s="91">
        <f t="shared" si="407"/>
        <v>424829680.24150598</v>
      </c>
      <c r="N753" s="91">
        <f t="shared" si="407"/>
        <v>740452252.7798897</v>
      </c>
      <c r="O753" s="91">
        <f t="shared" si="407"/>
        <v>225535968.00398141</v>
      </c>
      <c r="P753" s="91">
        <f t="shared" si="407"/>
        <v>104333029.76968977</v>
      </c>
      <c r="Q753" s="91">
        <f t="shared" si="407"/>
        <v>113340011.04474315</v>
      </c>
      <c r="R753" s="91">
        <f t="shared" si="407"/>
        <v>398642.54509885528</v>
      </c>
      <c r="S753" s="91">
        <f t="shared" si="407"/>
        <v>615301.08940570417</v>
      </c>
      <c r="T753" s="91">
        <f t="shared" si="407"/>
        <v>174628.96328485516</v>
      </c>
      <c r="U753" s="91">
        <f t="shared" si="407"/>
        <v>105538.39738445418</v>
      </c>
      <c r="V753" s="91">
        <f t="shared" si="407"/>
        <v>2576969.3631635425</v>
      </c>
      <c r="W753" s="91">
        <f t="shared" si="407"/>
        <v>290934.43683645804</v>
      </c>
      <c r="X753" s="89">
        <f>SUM(G753:W753)</f>
        <v>5197832023.3400011</v>
      </c>
      <c r="Y753" s="87" t="str">
        <f>IF(ABS(F753-X753)&lt;0.01,"ok","err")</f>
        <v>ok</v>
      </c>
      <c r="Z753" s="91" t="str">
        <f>IF(Y753="err",X753-F753,"")</f>
        <v/>
      </c>
      <c r="AE753" s="105"/>
      <c r="AF753" s="105"/>
      <c r="AG753" s="196"/>
    </row>
    <row r="754" spans="1:33" ht="12" hidden="1" customHeight="1" x14ac:dyDescent="0.5">
      <c r="A754" s="288" t="s">
        <v>2182</v>
      </c>
      <c r="E754" s="86" t="s">
        <v>391</v>
      </c>
      <c r="F754" s="91">
        <v>0</v>
      </c>
      <c r="G754" s="89">
        <f t="shared" ref="G754:P756" si="409">IF(VLOOKUP($E754,$D$5:$AK$1005,3,)=0,0,(VLOOKUP($E754,$D$5:$AK$1005,G$1,)/VLOOKUP($E754,$D$5:$AK$1005,3,))*$F754)</f>
        <v>0</v>
      </c>
      <c r="H754" s="89">
        <f t="shared" si="409"/>
        <v>0</v>
      </c>
      <c r="I754" s="89">
        <f t="shared" si="409"/>
        <v>0</v>
      </c>
      <c r="J754" s="89">
        <f t="shared" si="409"/>
        <v>0</v>
      </c>
      <c r="K754" s="89">
        <f t="shared" si="409"/>
        <v>0</v>
      </c>
      <c r="L754" s="89">
        <f t="shared" si="409"/>
        <v>0</v>
      </c>
      <c r="M754" s="89">
        <f t="shared" si="409"/>
        <v>0</v>
      </c>
      <c r="N754" s="89">
        <f t="shared" si="409"/>
        <v>0</v>
      </c>
      <c r="O754" s="89">
        <f t="shared" si="409"/>
        <v>0</v>
      </c>
      <c r="P754" s="89">
        <f t="shared" si="409"/>
        <v>0</v>
      </c>
      <c r="Q754" s="89">
        <f t="shared" ref="Q754:W756" si="410">IF(VLOOKUP($E754,$D$5:$AK$1005,3,)=0,0,(VLOOKUP($E754,$D$5:$AK$1005,Q$1,)/VLOOKUP($E754,$D$5:$AK$1005,3,))*$F754)</f>
        <v>0</v>
      </c>
      <c r="R754" s="89">
        <f t="shared" si="410"/>
        <v>0</v>
      </c>
      <c r="S754" s="89">
        <f t="shared" si="410"/>
        <v>0</v>
      </c>
      <c r="T754" s="89">
        <f t="shared" si="410"/>
        <v>0</v>
      </c>
      <c r="U754" s="89">
        <f t="shared" si="410"/>
        <v>0</v>
      </c>
      <c r="V754" s="89">
        <f t="shared" si="410"/>
        <v>0</v>
      </c>
      <c r="W754" s="89">
        <f t="shared" si="410"/>
        <v>0</v>
      </c>
      <c r="X754" s="89">
        <f>SUM(G754:W754)</f>
        <v>0</v>
      </c>
      <c r="Y754" s="87" t="str">
        <f>IF(ABS(F754-X754)&lt;0.01,"ok","err")</f>
        <v>ok</v>
      </c>
      <c r="Z754" s="91" t="str">
        <f>IF(Y754="err",X754-F754,"")</f>
        <v/>
      </c>
      <c r="AE754" s="105"/>
      <c r="AF754" s="105"/>
      <c r="AG754" s="196"/>
    </row>
    <row r="755" spans="1:33" ht="12" hidden="1" customHeight="1" x14ac:dyDescent="0.5">
      <c r="A755" s="288" t="s">
        <v>2182</v>
      </c>
      <c r="E755" s="86" t="s">
        <v>1684</v>
      </c>
      <c r="F755" s="91">
        <v>0</v>
      </c>
      <c r="G755" s="89">
        <f t="shared" si="409"/>
        <v>0</v>
      </c>
      <c r="H755" s="89">
        <f t="shared" si="409"/>
        <v>0</v>
      </c>
      <c r="I755" s="89">
        <f t="shared" si="409"/>
        <v>0</v>
      </c>
      <c r="J755" s="89">
        <f t="shared" si="409"/>
        <v>0</v>
      </c>
      <c r="K755" s="89">
        <f t="shared" si="409"/>
        <v>0</v>
      </c>
      <c r="L755" s="89">
        <f t="shared" si="409"/>
        <v>0</v>
      </c>
      <c r="M755" s="89">
        <f t="shared" si="409"/>
        <v>0</v>
      </c>
      <c r="N755" s="89">
        <f t="shared" si="409"/>
        <v>0</v>
      </c>
      <c r="O755" s="89">
        <f t="shared" si="409"/>
        <v>0</v>
      </c>
      <c r="P755" s="89">
        <f t="shared" si="409"/>
        <v>0</v>
      </c>
      <c r="Q755" s="89">
        <f t="shared" si="410"/>
        <v>0</v>
      </c>
      <c r="R755" s="89">
        <f t="shared" si="410"/>
        <v>0</v>
      </c>
      <c r="S755" s="89">
        <f t="shared" si="410"/>
        <v>0</v>
      </c>
      <c r="T755" s="89">
        <f t="shared" si="410"/>
        <v>0</v>
      </c>
      <c r="U755" s="89">
        <f t="shared" si="410"/>
        <v>0</v>
      </c>
      <c r="V755" s="89">
        <f t="shared" si="410"/>
        <v>0</v>
      </c>
      <c r="W755" s="89">
        <f t="shared" si="410"/>
        <v>0</v>
      </c>
      <c r="X755" s="89">
        <f>SUM(G755:W755)</f>
        <v>0</v>
      </c>
      <c r="Y755" s="87" t="str">
        <f>IF(ABS(F755-X755)&lt;0.01,"ok","err")</f>
        <v>ok</v>
      </c>
      <c r="Z755" s="91" t="str">
        <f>IF(Y755="err",X755-F755,"")</f>
        <v/>
      </c>
      <c r="AE755" s="105"/>
      <c r="AF755" s="105"/>
      <c r="AG755" s="196"/>
    </row>
    <row r="756" spans="1:33" ht="12" hidden="1" customHeight="1" x14ac:dyDescent="0.5">
      <c r="A756" s="288" t="s">
        <v>2182</v>
      </c>
      <c r="E756" s="86" t="s">
        <v>508</v>
      </c>
      <c r="F756" s="91">
        <v>0</v>
      </c>
      <c r="G756" s="89">
        <f t="shared" si="409"/>
        <v>0</v>
      </c>
      <c r="H756" s="89">
        <f t="shared" si="409"/>
        <v>0</v>
      </c>
      <c r="I756" s="89">
        <f t="shared" si="409"/>
        <v>0</v>
      </c>
      <c r="J756" s="89">
        <f t="shared" si="409"/>
        <v>0</v>
      </c>
      <c r="K756" s="89">
        <f t="shared" si="409"/>
        <v>0</v>
      </c>
      <c r="L756" s="89">
        <f t="shared" si="409"/>
        <v>0</v>
      </c>
      <c r="M756" s="89">
        <f t="shared" si="409"/>
        <v>0</v>
      </c>
      <c r="N756" s="89">
        <f t="shared" si="409"/>
        <v>0</v>
      </c>
      <c r="O756" s="89">
        <f t="shared" si="409"/>
        <v>0</v>
      </c>
      <c r="P756" s="89">
        <f t="shared" si="409"/>
        <v>0</v>
      </c>
      <c r="Q756" s="89">
        <f t="shared" si="410"/>
        <v>0</v>
      </c>
      <c r="R756" s="89">
        <f t="shared" si="410"/>
        <v>0</v>
      </c>
      <c r="S756" s="89">
        <f t="shared" si="410"/>
        <v>0</v>
      </c>
      <c r="T756" s="89">
        <f t="shared" si="410"/>
        <v>0</v>
      </c>
      <c r="U756" s="89">
        <f t="shared" si="410"/>
        <v>0</v>
      </c>
      <c r="V756" s="89">
        <f t="shared" si="410"/>
        <v>0</v>
      </c>
      <c r="W756" s="89">
        <f t="shared" si="410"/>
        <v>0</v>
      </c>
      <c r="X756" s="89">
        <f>SUM(G756:W756)</f>
        <v>0</v>
      </c>
      <c r="Y756" s="87" t="str">
        <f>IF(ABS(F756-X756)&lt;0.01,"ok","err")</f>
        <v>ok</v>
      </c>
      <c r="Z756" s="91" t="str">
        <f>IF(Y756="err",X756-F756,"")</f>
        <v/>
      </c>
      <c r="AE756" s="105"/>
      <c r="AF756" s="105"/>
      <c r="AG756" s="196"/>
    </row>
    <row r="757" spans="1:33" ht="12" customHeight="1" x14ac:dyDescent="0.5">
      <c r="A757" s="390" t="s">
        <v>704</v>
      </c>
      <c r="B757" s="110"/>
      <c r="C757" s="110"/>
      <c r="D757" s="110"/>
      <c r="E757" s="110"/>
      <c r="F757" s="91">
        <f t="shared" ref="F757:W757" si="411">SUM(F753:F756)</f>
        <v>5197832023.3399992</v>
      </c>
      <c r="G757" s="114">
        <f t="shared" si="411"/>
        <v>2446199408.7285142</v>
      </c>
      <c r="H757" s="114">
        <f t="shared" ref="H757" si="412">SUM(H753:H756)</f>
        <v>11340629.922834281</v>
      </c>
      <c r="I757" s="114">
        <f t="shared" si="411"/>
        <v>610148565.20987535</v>
      </c>
      <c r="J757" s="114">
        <f>SUM(J753:J756)</f>
        <v>38738639.515784226</v>
      </c>
      <c r="K757" s="114">
        <f t="shared" si="411"/>
        <v>458864450.23790866</v>
      </c>
      <c r="L757" s="114">
        <f>SUM(L753:L756)</f>
        <v>19887373.090099089</v>
      </c>
      <c r="M757" s="91">
        <f t="shared" si="411"/>
        <v>424829680.24150598</v>
      </c>
      <c r="N757" s="91">
        <f t="shared" si="411"/>
        <v>740452252.7798897</v>
      </c>
      <c r="O757" s="91">
        <f t="shared" si="411"/>
        <v>225535968.00398141</v>
      </c>
      <c r="P757" s="91">
        <f t="shared" si="411"/>
        <v>104333029.76968977</v>
      </c>
      <c r="Q757" s="91">
        <f t="shared" si="411"/>
        <v>113340011.04474315</v>
      </c>
      <c r="R757" s="114">
        <f t="shared" si="411"/>
        <v>398642.54509885528</v>
      </c>
      <c r="S757" s="114">
        <f t="shared" si="411"/>
        <v>615301.08940570417</v>
      </c>
      <c r="T757" s="114">
        <f t="shared" si="411"/>
        <v>174628.96328485516</v>
      </c>
      <c r="U757" s="114">
        <f t="shared" si="411"/>
        <v>105538.39738445418</v>
      </c>
      <c r="V757" s="114">
        <f t="shared" si="411"/>
        <v>2576969.3631635425</v>
      </c>
      <c r="W757" s="114">
        <f t="shared" si="411"/>
        <v>290934.43683645804</v>
      </c>
      <c r="X757" s="89">
        <f>SUM(G757:W757)</f>
        <v>5197832023.3400011</v>
      </c>
      <c r="Y757" s="87" t="str">
        <f>IF(ABS(F757-X757)&lt;0.01,"ok","err")</f>
        <v>ok</v>
      </c>
      <c r="Z757" s="91" t="str">
        <f>IF(Y757="err",X757-F757,"")</f>
        <v/>
      </c>
      <c r="AE757" s="105"/>
      <c r="AF757" s="105"/>
      <c r="AG757" s="196"/>
    </row>
    <row r="758" spans="1:33" ht="12" customHeight="1" thickBot="1" x14ac:dyDescent="0.55000000000000004">
      <c r="AE758" s="213"/>
      <c r="AF758" s="213"/>
    </row>
    <row r="759" spans="1:33" ht="15" customHeight="1" thickBot="1" x14ac:dyDescent="0.55000000000000004">
      <c r="A759" s="391" t="s">
        <v>421</v>
      </c>
      <c r="B759" s="392"/>
      <c r="C759" s="392"/>
      <c r="D759" s="392"/>
      <c r="E759" s="392"/>
      <c r="F759" s="393">
        <f t="shared" ref="F759:V759" si="413">F751/F757</f>
        <v>4.8092075622030751E-2</v>
      </c>
      <c r="G759" s="393">
        <f t="shared" si="413"/>
        <v>2.6750727436890567E-2</v>
      </c>
      <c r="H759" s="393">
        <f t="shared" si="413"/>
        <v>-6.8546083184732121E-3</v>
      </c>
      <c r="I759" s="393">
        <f t="shared" si="413"/>
        <v>0.1105780962428832</v>
      </c>
      <c r="J759" s="393">
        <f>J751/J757</f>
        <v>5.8927288340595622E-2</v>
      </c>
      <c r="K759" s="393">
        <f t="shared" si="413"/>
        <v>9.9531770543522469E-2</v>
      </c>
      <c r="L759" s="393">
        <f>L751/L757</f>
        <v>0.17920454994114152</v>
      </c>
      <c r="M759" s="393">
        <f t="shared" si="413"/>
        <v>3.9587223653864585E-2</v>
      </c>
      <c r="N759" s="393">
        <f t="shared" si="413"/>
        <v>3.2117539417052511E-2</v>
      </c>
      <c r="O759" s="393">
        <f t="shared" si="413"/>
        <v>3.5400635576856208E-2</v>
      </c>
      <c r="P759" s="393">
        <f t="shared" si="413"/>
        <v>2.7624446222842908E-2</v>
      </c>
      <c r="Q759" s="393">
        <f t="shared" si="413"/>
        <v>0.12324752510879927</v>
      </c>
      <c r="R759" s="393">
        <f t="shared" si="413"/>
        <v>0.28075215073625864</v>
      </c>
      <c r="S759" s="393">
        <f t="shared" si="413"/>
        <v>0.12399352196526636</v>
      </c>
      <c r="T759" s="393">
        <f t="shared" si="413"/>
        <v>0.30333211520310949</v>
      </c>
      <c r="U759" s="393">
        <f t="shared" si="413"/>
        <v>-0.27002420639319047</v>
      </c>
      <c r="V759" s="393">
        <f t="shared" si="413"/>
        <v>-1.3115707096400671E-2</v>
      </c>
      <c r="W759" s="393">
        <f>W751/W757</f>
        <v>4.801910639343715E-2</v>
      </c>
      <c r="Y759" s="393"/>
      <c r="Z759" s="393"/>
      <c r="AE759" s="214"/>
      <c r="AF759" s="214"/>
      <c r="AG759" s="196"/>
    </row>
    <row r="762" spans="1:33" ht="12" customHeight="1" x14ac:dyDescent="0.5">
      <c r="A762" s="22" t="s">
        <v>1164</v>
      </c>
    </row>
    <row r="764" spans="1:33" ht="12" customHeight="1" x14ac:dyDescent="0.5">
      <c r="A764" s="86" t="s">
        <v>1129</v>
      </c>
      <c r="F764" s="91">
        <f t="shared" ref="F764:W764" si="414">F725</f>
        <v>1586186238.4421144</v>
      </c>
      <c r="G764" s="91">
        <f t="shared" si="414"/>
        <v>632354479.49888062</v>
      </c>
      <c r="H764" s="91">
        <f t="shared" ref="H764" si="415">H725</f>
        <v>1051220.687364765</v>
      </c>
      <c r="I764" s="91">
        <f t="shared" si="414"/>
        <v>229947997.57106671</v>
      </c>
      <c r="J764" s="91">
        <f t="shared" si="414"/>
        <v>12341104.149929067</v>
      </c>
      <c r="K764" s="91">
        <f t="shared" si="414"/>
        <v>174078593.35727775</v>
      </c>
      <c r="L764" s="91">
        <f t="shared" si="414"/>
        <v>9618570.9471681006</v>
      </c>
      <c r="M764" s="91">
        <f t="shared" si="414"/>
        <v>137918383.42054722</v>
      </c>
      <c r="N764" s="91">
        <f t="shared" si="414"/>
        <v>255960630.21993825</v>
      </c>
      <c r="O764" s="91">
        <f t="shared" si="414"/>
        <v>81116100.933095604</v>
      </c>
      <c r="P764" s="91">
        <f t="shared" si="414"/>
        <v>20036277.988449719</v>
      </c>
      <c r="Q764" s="91">
        <f t="shared" si="414"/>
        <v>30869021.862646241</v>
      </c>
      <c r="R764" s="91">
        <f t="shared" si="414"/>
        <v>316348.41382896813</v>
      </c>
      <c r="S764" s="91">
        <f t="shared" si="414"/>
        <v>274795.72459276643</v>
      </c>
      <c r="T764" s="91">
        <f t="shared" si="414"/>
        <v>95108.064860777158</v>
      </c>
      <c r="U764" s="91">
        <f t="shared" si="414"/>
        <v>6746.4824681938508</v>
      </c>
      <c r="V764" s="91">
        <f t="shared" si="414"/>
        <v>162504.0000000002</v>
      </c>
      <c r="W764" s="91">
        <f t="shared" si="414"/>
        <v>38355.120000000003</v>
      </c>
      <c r="X764" s="89">
        <f>SUM(G764:W764)</f>
        <v>1586186238.4421148</v>
      </c>
      <c r="Y764" s="87" t="str">
        <f>IF(ABS(F764-X764)&lt;0.01,"ok","err")</f>
        <v>ok</v>
      </c>
      <c r="Z764" s="91" t="str">
        <f>IF(Y764="err",X764-F764,"")</f>
        <v/>
      </c>
    </row>
    <row r="765" spans="1:33" ht="12" customHeight="1" x14ac:dyDescent="0.5">
      <c r="X765" s="91"/>
    </row>
    <row r="766" spans="1:33" ht="12" customHeight="1" x14ac:dyDescent="0.5">
      <c r="A766" s="86" t="s">
        <v>415</v>
      </c>
      <c r="F766" s="91">
        <f t="shared" ref="F766:W766" si="416">F730+F731+F732+F733+F734+F735+F737+F738+F745</f>
        <v>1312390155</v>
      </c>
      <c r="G766" s="91">
        <f t="shared" si="416"/>
        <v>563328912.35936344</v>
      </c>
      <c r="H766" s="91">
        <f t="shared" ref="H766" si="417">H730+H731+H732+H733+H734+H735+H737+H738+H745</f>
        <v>902320.63906723482</v>
      </c>
      <c r="I766" s="91">
        <f t="shared" si="416"/>
        <v>152877849.15343252</v>
      </c>
      <c r="J766" s="91">
        <f t="shared" si="416"/>
        <v>9787526.6117065214</v>
      </c>
      <c r="K766" s="91">
        <f t="shared" si="416"/>
        <v>122018618.68034132</v>
      </c>
      <c r="L766" s="91">
        <f t="shared" si="416"/>
        <v>5508576.0529117053</v>
      </c>
      <c r="M766" s="91">
        <f t="shared" si="416"/>
        <v>119500767.64108545</v>
      </c>
      <c r="N766" s="91">
        <f t="shared" si="416"/>
        <v>230491946.93827075</v>
      </c>
      <c r="O766" s="91">
        <f t="shared" si="416"/>
        <v>73005719.006448492</v>
      </c>
      <c r="P766" s="91">
        <f t="shared" si="416"/>
        <v>19382864.726358842</v>
      </c>
      <c r="Q766" s="91">
        <f t="shared" si="416"/>
        <v>14913012.951226223</v>
      </c>
      <c r="R766" s="91">
        <f t="shared" si="416"/>
        <v>186709.7454753404</v>
      </c>
      <c r="S766" s="91">
        <f t="shared" si="416"/>
        <v>187451.10910892801</v>
      </c>
      <c r="T766" s="91">
        <f t="shared" si="416"/>
        <v>33698.275036588486</v>
      </c>
      <c r="U766" s="91">
        <f t="shared" si="416"/>
        <v>40127.785721985638</v>
      </c>
      <c r="V766" s="91">
        <f t="shared" si="416"/>
        <v>202040.078689961</v>
      </c>
      <c r="W766" s="91">
        <f t="shared" si="416"/>
        <v>22013.246976219063</v>
      </c>
      <c r="X766" s="89">
        <f>SUM(G766:W766)</f>
        <v>1312390155.0012217</v>
      </c>
      <c r="Y766" s="87" t="str">
        <f>IF(ABS(F766-X766)&lt;0.01,"ok","err")</f>
        <v>ok</v>
      </c>
      <c r="Z766" s="91" t="str">
        <f>IF(Y766="err",X766-F766,"")</f>
        <v/>
      </c>
    </row>
    <row r="767" spans="1:33" ht="12" customHeight="1" x14ac:dyDescent="0.5">
      <c r="X767" s="91"/>
    </row>
    <row r="768" spans="1:33" ht="12" customHeight="1" x14ac:dyDescent="0.5">
      <c r="A768" s="86" t="s">
        <v>1130</v>
      </c>
      <c r="D768" s="86" t="s">
        <v>1131</v>
      </c>
      <c r="F768" s="194">
        <f t="shared" ref="F768:W768" si="418">F636</f>
        <v>109640428.99999999</v>
      </c>
      <c r="G768" s="194">
        <f t="shared" si="418"/>
        <v>51426298.213818833</v>
      </c>
      <c r="H768" s="194">
        <f t="shared" si="418"/>
        <v>85048.025694382683</v>
      </c>
      <c r="I768" s="194">
        <f t="shared" si="418"/>
        <v>12822948.388816658</v>
      </c>
      <c r="J768" s="194">
        <f t="shared" si="418"/>
        <v>808413.12691875722</v>
      </c>
      <c r="K768" s="194">
        <f t="shared" si="418"/>
        <v>9810884.4043136351</v>
      </c>
      <c r="L768" s="194">
        <f t="shared" si="418"/>
        <v>423675.66821378865</v>
      </c>
      <c r="M768" s="194">
        <f t="shared" si="418"/>
        <v>9086125.1632384751</v>
      </c>
      <c r="N768" s="194">
        <f t="shared" si="418"/>
        <v>15857524.886993198</v>
      </c>
      <c r="O768" s="194">
        <f t="shared" si="418"/>
        <v>4838726.1642371649</v>
      </c>
      <c r="P768" s="194">
        <f t="shared" si="418"/>
        <v>2201917.407755428</v>
      </c>
      <c r="Q768" s="194">
        <f t="shared" si="418"/>
        <v>2255127.9892264996</v>
      </c>
      <c r="R768" s="194">
        <f t="shared" si="418"/>
        <v>7266.0885738606576</v>
      </c>
      <c r="S768" s="194">
        <f t="shared" si="418"/>
        <v>12750.140934078341</v>
      </c>
      <c r="T768" s="194">
        <f t="shared" si="418"/>
        <v>3453.929111887031</v>
      </c>
      <c r="U768" s="194">
        <f t="shared" si="418"/>
        <v>269.4021533451604</v>
      </c>
      <c r="V768" s="194">
        <f t="shared" si="418"/>
        <v>0</v>
      </c>
      <c r="W768" s="194">
        <f t="shared" si="418"/>
        <v>0</v>
      </c>
      <c r="X768" s="89">
        <f>SUM(G768:W768)</f>
        <v>109640429</v>
      </c>
      <c r="Y768" s="87" t="str">
        <f>IF(ABS(F768-X768)&lt;0.01,"ok","err")</f>
        <v>ok</v>
      </c>
      <c r="Z768" s="91" t="str">
        <f>IF(Y768="err",X768-F768,"")</f>
        <v/>
      </c>
    </row>
    <row r="769" spans="1:26" ht="12" customHeight="1" x14ac:dyDescent="0.5">
      <c r="F769" s="194"/>
      <c r="G769" s="194"/>
      <c r="H769" s="194"/>
      <c r="I769" s="194"/>
      <c r="J769" s="194"/>
      <c r="K769" s="194"/>
      <c r="L769" s="194"/>
      <c r="M769" s="194"/>
      <c r="N769" s="194"/>
      <c r="O769" s="194"/>
      <c r="P769" s="194"/>
      <c r="Q769" s="194"/>
      <c r="R769" s="194"/>
      <c r="S769" s="194"/>
      <c r="T769" s="194"/>
      <c r="U769" s="194"/>
      <c r="V769" s="194"/>
      <c r="W769" s="194"/>
      <c r="X769" s="91"/>
      <c r="Y769" s="87"/>
    </row>
    <row r="770" spans="1:26" ht="12" customHeight="1" x14ac:dyDescent="0.5">
      <c r="A770" s="86" t="s">
        <v>1165</v>
      </c>
      <c r="E770" s="86" t="s">
        <v>1131</v>
      </c>
      <c r="F770" s="211">
        <v>6243935.8163053207</v>
      </c>
      <c r="G770" s="212">
        <f t="shared" ref="G770:W770" si="419">IF(VLOOKUP($E770,$D$5:$AK$1032,3,)=0,0,(VLOOKUP($E770,$D$5:$AK$1032,G$1,)/VLOOKUP($E770,$D$5:$AK$1032,3,))*$F770)</f>
        <v>2928687.0568270194</v>
      </c>
      <c r="H770" s="212">
        <f t="shared" si="419"/>
        <v>4843.4178758933103</v>
      </c>
      <c r="I770" s="212">
        <f t="shared" si="419"/>
        <v>730256.78069507505</v>
      </c>
      <c r="J770" s="212">
        <f t="shared" si="419"/>
        <v>46038.488936771748</v>
      </c>
      <c r="K770" s="212">
        <f t="shared" si="419"/>
        <v>558722.11628910352</v>
      </c>
      <c r="L770" s="212">
        <f t="shared" si="419"/>
        <v>24127.994603680047</v>
      </c>
      <c r="M770" s="212">
        <f t="shared" si="419"/>
        <v>517447.65006508463</v>
      </c>
      <c r="N770" s="212">
        <f t="shared" si="419"/>
        <v>903073.51497001003</v>
      </c>
      <c r="O770" s="212">
        <f t="shared" si="419"/>
        <v>275561.63249027508</v>
      </c>
      <c r="P770" s="212">
        <f t="shared" si="419"/>
        <v>125397.4568708618</v>
      </c>
      <c r="Q770" s="212">
        <f t="shared" si="419"/>
        <v>128427.7574496169</v>
      </c>
      <c r="R770" s="212">
        <f t="shared" si="419"/>
        <v>413.79800411739922</v>
      </c>
      <c r="S770" s="212">
        <f t="shared" si="419"/>
        <v>726.11045366515611</v>
      </c>
      <c r="T770" s="212">
        <f t="shared" si="419"/>
        <v>196.69853433983792</v>
      </c>
      <c r="U770" s="212">
        <f t="shared" si="419"/>
        <v>15.342239807011568</v>
      </c>
      <c r="V770" s="212">
        <f t="shared" si="419"/>
        <v>0</v>
      </c>
      <c r="W770" s="212">
        <f t="shared" si="419"/>
        <v>0</v>
      </c>
      <c r="X770" s="89">
        <f>SUM(G770:W770)</f>
        <v>6243935.8163053226</v>
      </c>
      <c r="Y770" s="87" t="str">
        <f>IF(ABS(F770-X770)&lt;0.01,"ok","err")</f>
        <v>ok</v>
      </c>
      <c r="Z770" s="91" t="str">
        <f>IF(Y770="err",X770-F770,"")</f>
        <v/>
      </c>
    </row>
    <row r="771" spans="1:26" ht="12" customHeight="1" x14ac:dyDescent="0.5">
      <c r="X771" s="91"/>
    </row>
    <row r="772" spans="1:26" ht="12" customHeight="1" x14ac:dyDescent="0.5">
      <c r="A772" s="86" t="s">
        <v>1132</v>
      </c>
      <c r="D772" s="86" t="s">
        <v>1166</v>
      </c>
      <c r="F772" s="91">
        <f>F764-F766-F768-F770</f>
        <v>157911718.62580904</v>
      </c>
      <c r="G772" s="91">
        <f t="shared" ref="G772:W772" si="420">G764-G766-G768-G770</f>
        <v>14670581.868871335</v>
      </c>
      <c r="H772" s="91">
        <f t="shared" ref="H772" si="421">H764-H766-H768-H770</f>
        <v>59008.604727254162</v>
      </c>
      <c r="I772" s="91">
        <f t="shared" si="420"/>
        <v>63516943.248122461</v>
      </c>
      <c r="J772" s="91">
        <f>J764-J766-J768-J770</f>
        <v>1699125.9223670168</v>
      </c>
      <c r="K772" s="91">
        <f>K764-K766-K768-K770</f>
        <v>41690368.156333692</v>
      </c>
      <c r="L772" s="91">
        <f>L764-L766-L768-L770</f>
        <v>3662191.2314389269</v>
      </c>
      <c r="M772" s="91">
        <f t="shared" si="420"/>
        <v>8814042.9661582112</v>
      </c>
      <c r="N772" s="91">
        <f t="shared" si="420"/>
        <v>8708084.8797042929</v>
      </c>
      <c r="O772" s="91">
        <f t="shared" si="420"/>
        <v>2996094.1299196719</v>
      </c>
      <c r="P772" s="91">
        <f>P764-P766-P768-P770</f>
        <v>-1673901.6025354131</v>
      </c>
      <c r="Q772" s="91">
        <f>Q764-Q766-Q768-Q770</f>
        <v>13572453.1647439</v>
      </c>
      <c r="R772" s="91">
        <f t="shared" si="420"/>
        <v>121958.78177564967</v>
      </c>
      <c r="S772" s="91">
        <f t="shared" si="420"/>
        <v>73868.364096094927</v>
      </c>
      <c r="T772" s="91">
        <f t="shared" si="420"/>
        <v>57759.1621779618</v>
      </c>
      <c r="U772" s="91">
        <f t="shared" si="420"/>
        <v>-33666.04764694396</v>
      </c>
      <c r="V772" s="91">
        <f t="shared" si="420"/>
        <v>-39536.078689960792</v>
      </c>
      <c r="W772" s="91">
        <f t="shared" si="420"/>
        <v>16341.87302378094</v>
      </c>
      <c r="X772" s="89">
        <f>SUM(G772:W772)</f>
        <v>157911718.62458792</v>
      </c>
      <c r="Y772" s="87" t="str">
        <f>IF(ABS(F772-X772)&lt;0.01,"ok","err")</f>
        <v>ok</v>
      </c>
      <c r="Z772" s="91" t="str">
        <f>IF(Y772="err",X772-F772,"")</f>
        <v/>
      </c>
    </row>
    <row r="773" spans="1:26" ht="12" customHeight="1" x14ac:dyDescent="0.5">
      <c r="F773" s="91"/>
      <c r="G773" s="91"/>
      <c r="H773" s="91"/>
      <c r="I773" s="91"/>
      <c r="J773" s="91"/>
      <c r="K773" s="91"/>
      <c r="L773" s="91"/>
      <c r="M773" s="91"/>
      <c r="N773" s="91"/>
      <c r="O773" s="91"/>
      <c r="P773" s="91"/>
      <c r="Q773" s="91"/>
      <c r="R773" s="91"/>
      <c r="S773" s="91"/>
      <c r="T773" s="91"/>
      <c r="U773" s="91"/>
      <c r="V773" s="91"/>
      <c r="W773" s="91"/>
      <c r="X773" s="91"/>
      <c r="Y773" s="87"/>
      <c r="Z773" s="215"/>
    </row>
    <row r="774" spans="1:26" ht="12" customHeight="1" x14ac:dyDescent="0.5">
      <c r="X774" s="91"/>
    </row>
    <row r="775" spans="1:26" ht="12" customHeight="1" x14ac:dyDescent="0.5">
      <c r="A775" s="394" t="s">
        <v>1845</v>
      </c>
      <c r="X775" s="91"/>
    </row>
    <row r="776" spans="1:26" ht="12" customHeight="1" x14ac:dyDescent="0.5">
      <c r="A776" s="394"/>
      <c r="X776" s="91"/>
    </row>
    <row r="777" spans="1:26" ht="12" customHeight="1" x14ac:dyDescent="0.5">
      <c r="B777" s="288"/>
      <c r="X777" s="91"/>
    </row>
    <row r="778" spans="1:26" ht="12" customHeight="1" x14ac:dyDescent="0.5">
      <c r="X778" s="91"/>
    </row>
    <row r="779" spans="1:26" ht="12" customHeight="1" x14ac:dyDescent="0.5">
      <c r="A779" s="288" t="s">
        <v>194</v>
      </c>
      <c r="X779" s="91"/>
    </row>
    <row r="780" spans="1:26" ht="12" customHeight="1" x14ac:dyDescent="0.5">
      <c r="X780" s="91"/>
    </row>
    <row r="781" spans="1:26" ht="12" customHeight="1" x14ac:dyDescent="0.5">
      <c r="A781" s="86" t="s">
        <v>1129</v>
      </c>
      <c r="F781" s="91">
        <f t="shared" ref="F781:W781" si="422">F725</f>
        <v>1586186238.4421144</v>
      </c>
      <c r="G781" s="91">
        <f t="shared" si="422"/>
        <v>632354479.49888062</v>
      </c>
      <c r="H781" s="91">
        <f t="shared" si="422"/>
        <v>1051220.687364765</v>
      </c>
      <c r="I781" s="91">
        <f t="shared" si="422"/>
        <v>229947997.57106671</v>
      </c>
      <c r="J781" s="91">
        <f t="shared" si="422"/>
        <v>12341104.149929067</v>
      </c>
      <c r="K781" s="91">
        <f t="shared" si="422"/>
        <v>174078593.35727775</v>
      </c>
      <c r="L781" s="91">
        <f t="shared" si="422"/>
        <v>9618570.9471681006</v>
      </c>
      <c r="M781" s="91">
        <f t="shared" si="422"/>
        <v>137918383.42054722</v>
      </c>
      <c r="N781" s="91">
        <f t="shared" si="422"/>
        <v>255960630.21993825</v>
      </c>
      <c r="O781" s="91">
        <f t="shared" si="422"/>
        <v>81116100.933095604</v>
      </c>
      <c r="P781" s="91">
        <f t="shared" si="422"/>
        <v>20036277.988449719</v>
      </c>
      <c r="Q781" s="91">
        <f t="shared" si="422"/>
        <v>30869021.862646241</v>
      </c>
      <c r="R781" s="91">
        <f t="shared" si="422"/>
        <v>316348.41382896813</v>
      </c>
      <c r="S781" s="91">
        <f t="shared" si="422"/>
        <v>274795.72459276643</v>
      </c>
      <c r="T781" s="91">
        <f t="shared" si="422"/>
        <v>95108.064860777158</v>
      </c>
      <c r="U781" s="91">
        <f t="shared" si="422"/>
        <v>6746.4824681938508</v>
      </c>
      <c r="V781" s="91">
        <f t="shared" si="422"/>
        <v>162504.0000000002</v>
      </c>
      <c r="W781" s="91">
        <f t="shared" si="422"/>
        <v>38355.120000000003</v>
      </c>
      <c r="X781" s="89">
        <f t="shared" ref="X781:X786" si="423">SUM(G781:W781)</f>
        <v>1586186238.4421148</v>
      </c>
      <c r="Y781" s="87" t="str">
        <f t="shared" ref="Y781:Y786" si="424">IF(ABS(F781-X781)&lt;0.01,"ok","err")</f>
        <v>ok</v>
      </c>
      <c r="Z781" s="91" t="str">
        <f>IF(Y781="err",X781-F781,"")</f>
        <v/>
      </c>
    </row>
    <row r="782" spans="1:26" ht="12" customHeight="1" x14ac:dyDescent="0.5">
      <c r="A782" s="86" t="s">
        <v>902</v>
      </c>
      <c r="E782" s="216"/>
      <c r="F782" s="91">
        <v>169747179</v>
      </c>
      <c r="G782" s="89">
        <f>(68176839+19427)-H782</f>
        <v>68093984.910883442</v>
      </c>
      <c r="H782" s="89">
        <f>'Billing Det'!C10*0.09859+236056*0.64+('Billing Det'!C10/('Billing Det'!C8+'Billing Det'!C10))*(-10160333)-H651</f>
        <v>102281.08911655552</v>
      </c>
      <c r="I782" s="89">
        <v>26734943</v>
      </c>
      <c r="J782" s="89">
        <v>1453830</v>
      </c>
      <c r="K782" s="89">
        <v>18553034</v>
      </c>
      <c r="L782" s="89">
        <v>1039687</v>
      </c>
      <c r="M782" s="89">
        <v>14530948</v>
      </c>
      <c r="N782" s="89">
        <v>26942083</v>
      </c>
      <c r="O782" s="89">
        <v>8787141</v>
      </c>
      <c r="P782" s="89">
        <v>3514118</v>
      </c>
      <c r="Q782" s="89">
        <v>-129</v>
      </c>
      <c r="R782" s="89">
        <v>18</v>
      </c>
      <c r="S782" s="89">
        <v>2</v>
      </c>
      <c r="T782" s="89">
        <v>-4762</v>
      </c>
      <c r="U782" s="89">
        <v>0</v>
      </c>
      <c r="V782" s="89">
        <v>0</v>
      </c>
      <c r="W782" s="91">
        <v>0</v>
      </c>
      <c r="X782" s="89">
        <f t="shared" si="423"/>
        <v>169747179</v>
      </c>
      <c r="Y782" s="87" t="str">
        <f t="shared" si="424"/>
        <v>ok</v>
      </c>
    </row>
    <row r="783" spans="1:26" ht="12" customHeight="1" x14ac:dyDescent="0.5">
      <c r="A783" s="86" t="s">
        <v>2481</v>
      </c>
      <c r="E783" s="216"/>
      <c r="F783" s="91">
        <v>353855.9</v>
      </c>
      <c r="G783" s="89">
        <v>0</v>
      </c>
      <c r="H783" s="89"/>
      <c r="I783" s="89">
        <v>0</v>
      </c>
      <c r="J783" s="89">
        <v>0</v>
      </c>
      <c r="K783" s="89">
        <v>0</v>
      </c>
      <c r="L783" s="89">
        <v>0</v>
      </c>
      <c r="M783" s="89">
        <v>0</v>
      </c>
      <c r="N783" s="89">
        <v>0</v>
      </c>
      <c r="O783" s="89">
        <v>0</v>
      </c>
      <c r="P783" s="89">
        <v>0</v>
      </c>
      <c r="Q783" s="89">
        <v>0</v>
      </c>
      <c r="R783" s="89">
        <v>0</v>
      </c>
      <c r="S783" s="89">
        <v>0</v>
      </c>
      <c r="T783" s="89">
        <v>0</v>
      </c>
      <c r="U783" s="89">
        <v>48431.38</v>
      </c>
      <c r="V783" s="89">
        <v>295846.02</v>
      </c>
      <c r="W783" s="91">
        <v>9578.5</v>
      </c>
      <c r="X783" s="89">
        <f t="shared" si="423"/>
        <v>353855.9</v>
      </c>
      <c r="Y783" s="87" t="str">
        <f t="shared" si="424"/>
        <v>ok</v>
      </c>
      <c r="Z783" s="91" t="str">
        <f>IF(Y783="err",X783-F783,"")</f>
        <v/>
      </c>
    </row>
    <row r="784" spans="1:26" ht="12" customHeight="1" x14ac:dyDescent="0.5">
      <c r="A784" s="86" t="s">
        <v>2485</v>
      </c>
      <c r="E784" s="216"/>
      <c r="F784" s="91"/>
      <c r="G784" s="89">
        <v>0</v>
      </c>
      <c r="H784" s="89"/>
      <c r="I784" s="89">
        <v>0</v>
      </c>
      <c r="J784" s="89">
        <v>0</v>
      </c>
      <c r="K784" s="89">
        <v>0</v>
      </c>
      <c r="L784" s="89">
        <v>0</v>
      </c>
      <c r="M784" s="89">
        <v>0</v>
      </c>
      <c r="N784" s="89">
        <v>0</v>
      </c>
      <c r="O784" s="89">
        <v>0</v>
      </c>
      <c r="P784" s="89">
        <v>0</v>
      </c>
      <c r="Q784" s="89">
        <v>0</v>
      </c>
      <c r="R784" s="89">
        <v>0</v>
      </c>
      <c r="S784" s="89">
        <v>0</v>
      </c>
      <c r="T784" s="89">
        <v>0</v>
      </c>
      <c r="U784" s="89">
        <f>F784</f>
        <v>0</v>
      </c>
      <c r="V784" s="89">
        <v>0</v>
      </c>
      <c r="W784" s="91"/>
      <c r="X784" s="89">
        <f t="shared" si="423"/>
        <v>0</v>
      </c>
      <c r="Y784" s="87" t="str">
        <f t="shared" si="424"/>
        <v>ok</v>
      </c>
      <c r="Z784" s="91"/>
    </row>
    <row r="785" spans="1:26" ht="12" customHeight="1" x14ac:dyDescent="0.5">
      <c r="A785" s="86" t="s">
        <v>2566</v>
      </c>
      <c r="E785" s="216" t="s">
        <v>2107</v>
      </c>
      <c r="F785" s="89">
        <v>366528</v>
      </c>
      <c r="G785" s="89">
        <f t="shared" ref="G785:P786" si="425">IF(VLOOKUP($E785,$D$5:$AK$1005,3,)=0,0,(VLOOKUP($E785,$D$5:$AK$1005,G$1,)/VLOOKUP($E785,$D$5:$AK$1005,3,))*$F785)</f>
        <v>38132.165221714313</v>
      </c>
      <c r="H785" s="89">
        <f t="shared" si="425"/>
        <v>55.791587390345704</v>
      </c>
      <c r="I785" s="89">
        <f t="shared" si="425"/>
        <v>71491.142994696522</v>
      </c>
      <c r="J785" s="89">
        <f t="shared" si="425"/>
        <v>17684.391745745848</v>
      </c>
      <c r="K785" s="89">
        <f t="shared" si="425"/>
        <v>185297.47992735603</v>
      </c>
      <c r="L785" s="89">
        <f t="shared" si="425"/>
        <v>8502.9490355940852</v>
      </c>
      <c r="M785" s="89">
        <f t="shared" si="425"/>
        <v>31974.828948902261</v>
      </c>
      <c r="N785" s="89">
        <f t="shared" si="425"/>
        <v>10662.811039539863</v>
      </c>
      <c r="O785" s="89">
        <f t="shared" si="425"/>
        <v>834.54150366824638</v>
      </c>
      <c r="P785" s="89">
        <f t="shared" si="425"/>
        <v>41.727075183412325</v>
      </c>
      <c r="Q785" s="89">
        <f t="shared" ref="Q785:W786" si="426">IF(VLOOKUP($E785,$D$5:$AK$1005,3,)=0,0,(VLOOKUP($E785,$D$5:$AK$1005,Q$1,)/VLOOKUP($E785,$D$5:$AK$1005,3,))*$F785)</f>
        <v>1850.1709202090492</v>
      </c>
      <c r="R785" s="89">
        <f t="shared" si="426"/>
        <v>0</v>
      </c>
      <c r="S785" s="89">
        <f t="shared" si="426"/>
        <v>0</v>
      </c>
      <c r="T785" s="89">
        <f t="shared" si="426"/>
        <v>0</v>
      </c>
      <c r="U785" s="89">
        <f t="shared" si="426"/>
        <v>0</v>
      </c>
      <c r="V785" s="89">
        <f t="shared" si="426"/>
        <v>0</v>
      </c>
      <c r="W785" s="89">
        <f t="shared" si="426"/>
        <v>0</v>
      </c>
      <c r="X785" s="89">
        <f t="shared" si="423"/>
        <v>366527.99999999994</v>
      </c>
      <c r="Y785" s="87" t="str">
        <f t="shared" si="424"/>
        <v>ok</v>
      </c>
      <c r="Z785" s="91" t="str">
        <f>IF(Y785="err",X785-F785,"")</f>
        <v/>
      </c>
    </row>
    <row r="786" spans="1:26" ht="12" customHeight="1" x14ac:dyDescent="0.5">
      <c r="A786" s="86" t="s">
        <v>2482</v>
      </c>
      <c r="E786" s="216" t="s">
        <v>2107</v>
      </c>
      <c r="F786" s="89">
        <v>5899</v>
      </c>
      <c r="G786" s="89">
        <f t="shared" si="425"/>
        <v>613.70930090714148</v>
      </c>
      <c r="H786" s="89">
        <f t="shared" si="425"/>
        <v>0.89792478068701242</v>
      </c>
      <c r="I786" s="89">
        <f t="shared" si="425"/>
        <v>1150.5976419965591</v>
      </c>
      <c r="J786" s="89">
        <f t="shared" si="425"/>
        <v>284.61734685523277</v>
      </c>
      <c r="K786" s="89">
        <f t="shared" si="425"/>
        <v>2982.2273716918576</v>
      </c>
      <c r="L786" s="89">
        <f t="shared" si="425"/>
        <v>136.8487437821108</v>
      </c>
      <c r="M786" s="89">
        <f t="shared" si="425"/>
        <v>514.61147843977665</v>
      </c>
      <c r="N786" s="89">
        <f t="shared" si="425"/>
        <v>171.61014253275508</v>
      </c>
      <c r="O786" s="89">
        <f t="shared" si="425"/>
        <v>13.431334932498977</v>
      </c>
      <c r="P786" s="89">
        <f t="shared" si="425"/>
        <v>0.67156674662494897</v>
      </c>
      <c r="Q786" s="89">
        <f t="shared" si="426"/>
        <v>29.777147334755274</v>
      </c>
      <c r="R786" s="89">
        <f t="shared" si="426"/>
        <v>0</v>
      </c>
      <c r="S786" s="89">
        <f t="shared" si="426"/>
        <v>0</v>
      </c>
      <c r="T786" s="89">
        <f t="shared" si="426"/>
        <v>0</v>
      </c>
      <c r="U786" s="89">
        <f t="shared" si="426"/>
        <v>0</v>
      </c>
      <c r="V786" s="89">
        <f t="shared" si="426"/>
        <v>0</v>
      </c>
      <c r="W786" s="89">
        <f t="shared" si="426"/>
        <v>0</v>
      </c>
      <c r="X786" s="89">
        <f t="shared" si="423"/>
        <v>5899.0000000000009</v>
      </c>
      <c r="Y786" s="87" t="str">
        <f t="shared" si="424"/>
        <v>ok</v>
      </c>
      <c r="Z786" s="91" t="str">
        <f>IF(Y786="err",X786-F786,"")</f>
        <v/>
      </c>
    </row>
    <row r="787" spans="1:26" ht="12" customHeight="1" x14ac:dyDescent="0.5">
      <c r="E787" s="216"/>
      <c r="F787" s="89"/>
      <c r="G787" s="89"/>
      <c r="H787" s="89"/>
      <c r="I787" s="89"/>
      <c r="J787" s="89"/>
      <c r="K787" s="89"/>
      <c r="L787" s="89"/>
      <c r="M787" s="89"/>
      <c r="N787" s="89"/>
      <c r="O787" s="89"/>
      <c r="P787" s="89"/>
      <c r="Q787" s="89"/>
      <c r="R787" s="89"/>
      <c r="S787" s="89"/>
      <c r="T787" s="89"/>
      <c r="U787" s="89"/>
      <c r="V787" s="89"/>
      <c r="W787" s="89"/>
      <c r="X787" s="216"/>
      <c r="Y787" s="87"/>
      <c r="Z787" s="91"/>
    </row>
    <row r="788" spans="1:26" ht="12" customHeight="1" x14ac:dyDescent="0.5">
      <c r="E788" s="216"/>
      <c r="F788" s="89"/>
      <c r="G788" s="89"/>
      <c r="H788" s="89"/>
      <c r="I788" s="216"/>
      <c r="J788" s="216"/>
      <c r="K788" s="216"/>
      <c r="L788" s="216"/>
      <c r="M788" s="216"/>
      <c r="N788" s="216"/>
      <c r="O788" s="216"/>
      <c r="P788" s="216"/>
      <c r="Q788" s="216"/>
      <c r="R788" s="216"/>
      <c r="S788" s="216"/>
      <c r="T788" s="216"/>
      <c r="U788" s="216"/>
      <c r="V788" s="216"/>
      <c r="W788" s="91"/>
      <c r="Y788" s="87"/>
    </row>
    <row r="789" spans="1:26" ht="12" customHeight="1" x14ac:dyDescent="0.5">
      <c r="A789" s="86" t="s">
        <v>500</v>
      </c>
      <c r="E789" s="196"/>
      <c r="F789" s="89">
        <f t="shared" ref="F789:W789" si="427">SUM(F781:F788)</f>
        <v>1756659700.3421144</v>
      </c>
      <c r="G789" s="89">
        <f t="shared" si="427"/>
        <v>700487210.28428662</v>
      </c>
      <c r="H789" s="89">
        <f t="shared" si="427"/>
        <v>1153558.4659934915</v>
      </c>
      <c r="I789" s="89">
        <f t="shared" si="427"/>
        <v>256755582.31170341</v>
      </c>
      <c r="J789" s="89">
        <f t="shared" si="427"/>
        <v>13812903.159021668</v>
      </c>
      <c r="K789" s="89">
        <f t="shared" si="427"/>
        <v>192819907.0645768</v>
      </c>
      <c r="L789" s="89">
        <f t="shared" si="427"/>
        <v>10666897.744947476</v>
      </c>
      <c r="M789" s="89">
        <f t="shared" si="427"/>
        <v>152481820.86097458</v>
      </c>
      <c r="N789" s="89">
        <f t="shared" si="427"/>
        <v>282913547.64112037</v>
      </c>
      <c r="O789" s="89">
        <f t="shared" si="427"/>
        <v>89904089.9059342</v>
      </c>
      <c r="P789" s="89">
        <f t="shared" si="427"/>
        <v>23550438.387091648</v>
      </c>
      <c r="Q789" s="89">
        <f t="shared" si="427"/>
        <v>30870772.810713783</v>
      </c>
      <c r="R789" s="89">
        <f t="shared" si="427"/>
        <v>316366.41382896813</v>
      </c>
      <c r="S789" s="89">
        <f t="shared" si="427"/>
        <v>274797.72459276643</v>
      </c>
      <c r="T789" s="89">
        <f t="shared" si="427"/>
        <v>90346.064860777158</v>
      </c>
      <c r="U789" s="89">
        <f t="shared" si="427"/>
        <v>55177.862468193845</v>
      </c>
      <c r="V789" s="89">
        <f t="shared" si="427"/>
        <v>458350.02000000025</v>
      </c>
      <c r="W789" s="89">
        <f t="shared" si="427"/>
        <v>47933.62</v>
      </c>
      <c r="X789" s="89">
        <f>SUM(G789:W789)</f>
        <v>1756659700.3421144</v>
      </c>
      <c r="Y789" s="87" t="str">
        <f>IF(ABS(F789-X789)&lt;0.01,"ok","err")</f>
        <v>ok</v>
      </c>
      <c r="Z789" s="91" t="str">
        <f>IF(Y789="err",X789-F789,"")</f>
        <v/>
      </c>
    </row>
    <row r="790" spans="1:26" ht="12" customHeight="1" x14ac:dyDescent="0.5">
      <c r="A790" s="288"/>
      <c r="E790" s="216"/>
      <c r="F790" s="89"/>
      <c r="G790" s="89"/>
      <c r="H790" s="89"/>
      <c r="I790" s="89"/>
      <c r="J790" s="89"/>
      <c r="K790" s="89"/>
      <c r="L790" s="89"/>
      <c r="M790" s="89"/>
      <c r="N790" s="89"/>
      <c r="O790" s="89"/>
      <c r="P790" s="89"/>
      <c r="Q790" s="89"/>
      <c r="R790" s="89"/>
      <c r="S790" s="89"/>
      <c r="T790" s="89"/>
      <c r="U790" s="89"/>
      <c r="V790" s="89"/>
      <c r="W790" s="91"/>
      <c r="X790" s="91"/>
      <c r="Y790" s="87"/>
    </row>
    <row r="791" spans="1:26" ht="12" customHeight="1" x14ac:dyDescent="0.5">
      <c r="A791" s="288"/>
      <c r="E791" s="89"/>
      <c r="F791" s="89"/>
      <c r="G791" s="89"/>
      <c r="H791" s="89"/>
      <c r="I791" s="89"/>
      <c r="J791" s="89"/>
      <c r="K791" s="89"/>
      <c r="L791" s="89"/>
      <c r="M791" s="89"/>
      <c r="N791" s="89"/>
      <c r="O791" s="89"/>
      <c r="P791" s="89"/>
      <c r="Q791" s="89"/>
      <c r="R791" s="89"/>
      <c r="S791" s="89"/>
      <c r="T791" s="89"/>
      <c r="U791" s="89"/>
      <c r="V791" s="89"/>
      <c r="W791" s="91"/>
      <c r="X791" s="91"/>
      <c r="Y791" s="87"/>
    </row>
    <row r="792" spans="1:26" ht="12" customHeight="1" x14ac:dyDescent="0.5">
      <c r="A792" s="288" t="s">
        <v>415</v>
      </c>
      <c r="E792" s="89"/>
      <c r="F792" s="89"/>
      <c r="G792" s="89"/>
      <c r="H792" s="89"/>
      <c r="I792" s="89"/>
      <c r="J792" s="89"/>
      <c r="K792" s="89"/>
      <c r="L792" s="89"/>
      <c r="M792" s="89"/>
      <c r="N792" s="89"/>
      <c r="O792" s="89"/>
      <c r="P792" s="89"/>
      <c r="Q792" s="89"/>
      <c r="R792" s="89"/>
      <c r="S792" s="89"/>
      <c r="T792" s="89"/>
      <c r="U792" s="89"/>
      <c r="V792" s="89"/>
      <c r="W792" s="91"/>
      <c r="X792" s="91"/>
      <c r="Y792" s="87"/>
    </row>
    <row r="793" spans="1:26" ht="12" customHeight="1" x14ac:dyDescent="0.5">
      <c r="A793" s="288"/>
      <c r="E793" s="216"/>
      <c r="F793" s="89"/>
      <c r="G793" s="89"/>
      <c r="H793" s="89"/>
      <c r="I793" s="89"/>
      <c r="J793" s="89"/>
      <c r="K793" s="89"/>
      <c r="L793" s="89"/>
      <c r="M793" s="89"/>
      <c r="N793" s="89"/>
      <c r="O793" s="89"/>
      <c r="P793" s="89"/>
      <c r="Q793" s="89"/>
      <c r="R793" s="89"/>
      <c r="S793" s="89"/>
      <c r="T793" s="89"/>
      <c r="U793" s="89"/>
      <c r="V793" s="89"/>
      <c r="W793" s="91"/>
      <c r="X793" s="91"/>
      <c r="Y793" s="87"/>
    </row>
    <row r="794" spans="1:26" ht="12" customHeight="1" x14ac:dyDescent="0.5">
      <c r="A794" s="86" t="s">
        <v>420</v>
      </c>
      <c r="E794" s="216"/>
      <c r="F794" s="89">
        <f>F684</f>
        <v>1336211707.705034</v>
      </c>
      <c r="G794" s="89">
        <f t="shared" ref="G794:V794" si="428">G749</f>
        <v>566916865.85970128</v>
      </c>
      <c r="H794" s="89">
        <f t="shared" si="428"/>
        <v>1128956.2635705511</v>
      </c>
      <c r="I794" s="89">
        <f t="shared" si="428"/>
        <v>162478930.80483201</v>
      </c>
      <c r="J794" s="89">
        <f t="shared" si="428"/>
        <v>10058341.169260059</v>
      </c>
      <c r="K794" s="89">
        <f t="shared" si="428"/>
        <v>128407002.18561864</v>
      </c>
      <c r="L794" s="89">
        <f t="shared" si="428"/>
        <v>6054663.2030453244</v>
      </c>
      <c r="M794" s="89">
        <f t="shared" si="428"/>
        <v>121100555.85402694</v>
      </c>
      <c r="N794" s="89">
        <f t="shared" si="428"/>
        <v>232179125.80483481</v>
      </c>
      <c r="O794" s="89">
        <f t="shared" si="428"/>
        <v>73131984.320313156</v>
      </c>
      <c r="P794" s="89">
        <f t="shared" si="428"/>
        <v>17154135.818310656</v>
      </c>
      <c r="Q794" s="89">
        <f t="shared" si="428"/>
        <v>16900146.005577672</v>
      </c>
      <c r="R794" s="89">
        <f t="shared" si="428"/>
        <v>204428.66191748853</v>
      </c>
      <c r="S794" s="89">
        <f t="shared" si="428"/>
        <v>198502.37544828793</v>
      </c>
      <c r="T794" s="89">
        <f t="shared" si="428"/>
        <v>42137.492051855894</v>
      </c>
      <c r="U794" s="89">
        <f t="shared" si="428"/>
        <v>35244.404465940257</v>
      </c>
      <c r="V794" s="89">
        <f t="shared" si="428"/>
        <v>196302.7753636514</v>
      </c>
      <c r="W794" s="89">
        <f>W684</f>
        <v>24384.708324035404</v>
      </c>
      <c r="X794" s="89">
        <f>SUM(G794:W794)</f>
        <v>1336211707.7066622</v>
      </c>
      <c r="Y794" s="87" t="str">
        <f>IF(ABS(F794-X794)&lt;0.01,"ok","err")</f>
        <v>ok</v>
      </c>
      <c r="Z794" s="91" t="str">
        <f>IF(Y794="err",X794-F794,"")</f>
        <v/>
      </c>
    </row>
    <row r="795" spans="1:26" ht="12" customHeight="1" x14ac:dyDescent="0.5">
      <c r="E795" s="216"/>
      <c r="F795" s="89"/>
      <c r="G795" s="89"/>
      <c r="H795" s="89"/>
      <c r="I795" s="89"/>
      <c r="J795" s="89"/>
      <c r="K795" s="89"/>
      <c r="L795" s="89"/>
      <c r="M795" s="89"/>
      <c r="N795" s="89"/>
      <c r="O795" s="89"/>
      <c r="P795" s="89"/>
      <c r="Q795" s="89"/>
      <c r="R795" s="89"/>
      <c r="S795" s="89"/>
      <c r="T795" s="89"/>
      <c r="U795" s="89"/>
      <c r="V795" s="89"/>
      <c r="W795" s="91"/>
      <c r="X795" s="91"/>
      <c r="Y795" s="217"/>
    </row>
    <row r="796" spans="1:26" ht="12" customHeight="1" x14ac:dyDescent="0.5">
      <c r="A796" s="86" t="s">
        <v>195</v>
      </c>
      <c r="E796" s="216"/>
      <c r="F796" s="89"/>
      <c r="G796" s="89"/>
      <c r="H796" s="89"/>
      <c r="I796" s="89"/>
      <c r="J796" s="89"/>
      <c r="K796" s="89"/>
      <c r="L796" s="89"/>
      <c r="M796" s="89"/>
      <c r="N796" s="89"/>
      <c r="O796" s="89"/>
      <c r="P796" s="89"/>
      <c r="Q796" s="89"/>
      <c r="R796" s="89"/>
      <c r="S796" s="89"/>
      <c r="T796" s="89"/>
      <c r="U796" s="89"/>
      <c r="V796" s="89"/>
      <c r="W796" s="89"/>
      <c r="X796" s="89"/>
      <c r="Y796" s="87"/>
      <c r="Z796" s="91" t="str">
        <f>IF(Y796="err",X796-F796,"")</f>
        <v/>
      </c>
    </row>
    <row r="797" spans="1:26" ht="12" customHeight="1" x14ac:dyDescent="0.5">
      <c r="A797" s="86" t="s">
        <v>2178</v>
      </c>
      <c r="E797" s="218">
        <v>3.16E-3</v>
      </c>
      <c r="F797" s="89">
        <f t="shared" ref="F797:W797" si="429">SUM(F782:F786)*$E$797</f>
        <v>538696.13960400003</v>
      </c>
      <c r="G797" s="89">
        <f t="shared" si="429"/>
        <v>215299.42928188317</v>
      </c>
      <c r="H797" s="89">
        <f t="shared" ref="H797" si="430">SUM(H782:H786)*$E$797</f>
        <v>323.38738046677588</v>
      </c>
      <c r="I797" s="89">
        <f t="shared" si="429"/>
        <v>84711.967780411956</v>
      </c>
      <c r="J797" s="89">
        <f t="shared" si="429"/>
        <v>4650.8848687326199</v>
      </c>
      <c r="K797" s="89">
        <f t="shared" si="429"/>
        <v>59222.551315065</v>
      </c>
      <c r="L797" s="89">
        <f t="shared" si="429"/>
        <v>3312.7126809828292</v>
      </c>
      <c r="M797" s="89">
        <f t="shared" si="429"/>
        <v>46020.462311750402</v>
      </c>
      <c r="N797" s="89">
        <f t="shared" si="429"/>
        <v>85171.219050935353</v>
      </c>
      <c r="O797" s="89">
        <f t="shared" si="429"/>
        <v>27770.04515416998</v>
      </c>
      <c r="P797" s="89">
        <f t="shared" si="429"/>
        <v>11104.746859708499</v>
      </c>
      <c r="Q797" s="89">
        <f t="shared" si="429"/>
        <v>5.5329958934384225</v>
      </c>
      <c r="R797" s="89">
        <f t="shared" si="429"/>
        <v>5.688E-2</v>
      </c>
      <c r="S797" s="89">
        <f t="shared" si="429"/>
        <v>6.3200000000000001E-3</v>
      </c>
      <c r="T797" s="89">
        <f t="shared" si="429"/>
        <v>-15.04792</v>
      </c>
      <c r="U797" s="89">
        <f t="shared" si="429"/>
        <v>153.04316079999998</v>
      </c>
      <c r="V797" s="89">
        <f t="shared" si="429"/>
        <v>934.87342320000005</v>
      </c>
      <c r="W797" s="89">
        <f t="shared" si="429"/>
        <v>30.268060000000002</v>
      </c>
      <c r="X797" s="89">
        <f>SUM(G797:W797)</f>
        <v>538696.13960400003</v>
      </c>
      <c r="Y797" s="87" t="str">
        <f>IF(ABS(F797-X797)&lt;0.01,"ok","err")</f>
        <v>ok</v>
      </c>
      <c r="Z797" s="91" t="str">
        <f>IF(Y797="err",X797-F797,"")</f>
        <v/>
      </c>
    </row>
    <row r="798" spans="1:26" ht="12" customHeight="1" x14ac:dyDescent="0.5">
      <c r="A798" s="86" t="s">
        <v>2179</v>
      </c>
      <c r="E798" s="218">
        <v>2E-3</v>
      </c>
      <c r="F798" s="89">
        <f t="shared" ref="F798:W798" si="431">SUM(F782:F786)*$E$798</f>
        <v>340946.92380000005</v>
      </c>
      <c r="G798" s="89">
        <f t="shared" si="431"/>
        <v>136265.46157081213</v>
      </c>
      <c r="H798" s="89">
        <f t="shared" ref="H798" si="432">SUM(H782:H786)*$E$798</f>
        <v>204.67555725745311</v>
      </c>
      <c r="I798" s="89">
        <f t="shared" si="431"/>
        <v>53615.169481273391</v>
      </c>
      <c r="J798" s="89">
        <f t="shared" si="431"/>
        <v>2943.5980181852024</v>
      </c>
      <c r="K798" s="89">
        <f t="shared" si="431"/>
        <v>37482.627414598101</v>
      </c>
      <c r="L798" s="89">
        <f t="shared" si="431"/>
        <v>2096.6535955587524</v>
      </c>
      <c r="M798" s="89">
        <f t="shared" si="431"/>
        <v>29126.874880854684</v>
      </c>
      <c r="N798" s="89">
        <f t="shared" si="431"/>
        <v>53905.834842364151</v>
      </c>
      <c r="O798" s="89">
        <f t="shared" si="431"/>
        <v>17575.977945677201</v>
      </c>
      <c r="P798" s="89">
        <f t="shared" si="431"/>
        <v>7028.32079728386</v>
      </c>
      <c r="Q798" s="89">
        <f t="shared" si="431"/>
        <v>3.501896135087609</v>
      </c>
      <c r="R798" s="89">
        <f t="shared" si="431"/>
        <v>3.6000000000000004E-2</v>
      </c>
      <c r="S798" s="89">
        <f t="shared" si="431"/>
        <v>4.0000000000000001E-3</v>
      </c>
      <c r="T798" s="89">
        <f t="shared" si="431"/>
        <v>-9.5240000000000009</v>
      </c>
      <c r="U798" s="89">
        <f t="shared" si="431"/>
        <v>96.862759999999994</v>
      </c>
      <c r="V798" s="89">
        <f t="shared" si="431"/>
        <v>591.69204000000002</v>
      </c>
      <c r="W798" s="89">
        <f t="shared" si="431"/>
        <v>19.157</v>
      </c>
      <c r="X798" s="89">
        <f>SUM(G798:W798)</f>
        <v>340946.92380000005</v>
      </c>
      <c r="Y798" s="87" t="str">
        <f>IF(ABS(F798-X798)&lt;0.01,"ok","err")</f>
        <v>ok</v>
      </c>
      <c r="Z798" s="91" t="str">
        <f>IF(Y798="err",X798-F798,"")</f>
        <v/>
      </c>
    </row>
    <row r="799" spans="1:26" ht="12" customHeight="1" x14ac:dyDescent="0.5">
      <c r="X799" s="91"/>
    </row>
    <row r="800" spans="1:26" ht="12" customHeight="1" x14ac:dyDescent="0.5">
      <c r="A800" s="86" t="s">
        <v>910</v>
      </c>
      <c r="E800" s="196">
        <f>0.0497535+0.19851647</f>
        <v>0.24826997000000001</v>
      </c>
      <c r="F800" s="89">
        <f t="shared" ref="F800:W800" si="433">SUM(F782:F787)*$E$800</f>
        <v>42323441.271709144</v>
      </c>
      <c r="G800" s="89">
        <f t="shared" si="433"/>
        <v>16915311.028110843</v>
      </c>
      <c r="H800" s="89">
        <f t="shared" ref="H800" si="434">SUM(H782:H787)*$E$800</f>
        <v>25407.397230020582</v>
      </c>
      <c r="I800" s="89">
        <f t="shared" si="433"/>
        <v>6655518.2593303304</v>
      </c>
      <c r="J800" s="89">
        <f t="shared" si="433"/>
        <v>365403.49583344982</v>
      </c>
      <c r="K800" s="89">
        <f t="shared" si="433"/>
        <v>4652905.3918717243</v>
      </c>
      <c r="L800" s="89">
        <f t="shared" si="433"/>
        <v>260268.06263488182</v>
      </c>
      <c r="M800" s="89">
        <f t="shared" si="433"/>
        <v>3615664.1764317732</v>
      </c>
      <c r="N800" s="89">
        <f t="shared" si="433"/>
        <v>6691599.9995693509</v>
      </c>
      <c r="O800" s="89">
        <f t="shared" si="433"/>
        <v>2181793.7586469701</v>
      </c>
      <c r="P800" s="89">
        <f t="shared" si="433"/>
        <v>872460.49674602004</v>
      </c>
      <c r="Q800" s="89">
        <f t="shared" si="433"/>
        <v>434.70782420065831</v>
      </c>
      <c r="R800" s="89">
        <f t="shared" si="433"/>
        <v>4.46885946</v>
      </c>
      <c r="S800" s="89">
        <f t="shared" si="433"/>
        <v>0.49653994000000001</v>
      </c>
      <c r="T800" s="89">
        <f t="shared" si="433"/>
        <v>-1182.26159714</v>
      </c>
      <c r="U800" s="89">
        <f t="shared" si="433"/>
        <v>12024.057259658599</v>
      </c>
      <c r="V800" s="89">
        <f t="shared" si="433"/>
        <v>73449.682510019411</v>
      </c>
      <c r="W800" s="89">
        <f t="shared" si="433"/>
        <v>2378.053907645</v>
      </c>
      <c r="X800" s="89">
        <f>SUM(G800:W800)</f>
        <v>42323441.271709144</v>
      </c>
      <c r="Y800" s="87" t="str">
        <f>IF(ABS(F800-X800)&lt;0.01,"ok","err")</f>
        <v>ok</v>
      </c>
      <c r="Z800" s="91" t="str">
        <f>IF(Y800="err",X800-F800,"")</f>
        <v/>
      </c>
    </row>
    <row r="801" spans="1:26" ht="12" customHeight="1" x14ac:dyDescent="0.5">
      <c r="F801" s="89"/>
      <c r="G801" s="89"/>
      <c r="H801" s="89"/>
      <c r="I801" s="89"/>
      <c r="J801" s="89"/>
      <c r="K801" s="89"/>
      <c r="L801" s="89"/>
      <c r="M801" s="89"/>
      <c r="N801" s="89"/>
      <c r="O801" s="89"/>
      <c r="P801" s="89"/>
      <c r="Q801" s="89"/>
      <c r="R801" s="89"/>
      <c r="S801" s="89"/>
      <c r="T801" s="89"/>
      <c r="U801" s="89"/>
      <c r="V801" s="89"/>
      <c r="W801" s="91"/>
      <c r="X801" s="91"/>
      <c r="Y801" s="217"/>
    </row>
    <row r="802" spans="1:26" ht="12" customHeight="1" x14ac:dyDescent="0.5">
      <c r="A802" s="86" t="s">
        <v>196</v>
      </c>
      <c r="F802" s="89">
        <f>SUM(F794:F800)</f>
        <v>1379414792.0401473</v>
      </c>
      <c r="G802" s="89">
        <f t="shared" ref="G802:W802" si="435">SUM(G794:G800)</f>
        <v>584183741.77866483</v>
      </c>
      <c r="H802" s="89">
        <f t="shared" ref="H802" si="436">SUM(H794:H800)</f>
        <v>1154891.7237382957</v>
      </c>
      <c r="I802" s="89">
        <f t="shared" si="435"/>
        <v>169272776.20142403</v>
      </c>
      <c r="J802" s="89">
        <f t="shared" si="435"/>
        <v>10431339.147980424</v>
      </c>
      <c r="K802" s="89">
        <f t="shared" si="435"/>
        <v>133156612.75622003</v>
      </c>
      <c r="L802" s="89">
        <f t="shared" si="435"/>
        <v>6320340.6319567468</v>
      </c>
      <c r="M802" s="89">
        <f t="shared" si="435"/>
        <v>124791367.36765131</v>
      </c>
      <c r="N802" s="89">
        <f t="shared" si="435"/>
        <v>239009802.85829747</v>
      </c>
      <c r="O802" s="89">
        <f t="shared" si="435"/>
        <v>75359124.10205996</v>
      </c>
      <c r="P802" s="89">
        <f t="shared" si="435"/>
        <v>18044729.382713664</v>
      </c>
      <c r="Q802" s="89">
        <f t="shared" si="435"/>
        <v>16900589.748293903</v>
      </c>
      <c r="R802" s="89">
        <f t="shared" si="435"/>
        <v>204433.22365694851</v>
      </c>
      <c r="S802" s="89">
        <f t="shared" si="435"/>
        <v>198502.88230822791</v>
      </c>
      <c r="T802" s="89">
        <f t="shared" si="435"/>
        <v>40930.658534715898</v>
      </c>
      <c r="U802" s="89">
        <f t="shared" si="435"/>
        <v>47518.36764639886</v>
      </c>
      <c r="V802" s="89">
        <f t="shared" si="435"/>
        <v>271279.02333687083</v>
      </c>
      <c r="W802" s="89">
        <f t="shared" si="435"/>
        <v>26812.187291680402</v>
      </c>
      <c r="X802" s="89">
        <f>SUM(G802:W802)</f>
        <v>1379414792.0417755</v>
      </c>
      <c r="Y802" s="87" t="str">
        <f>IF(ABS(F802-X802)&lt;0.01,"ok","err")</f>
        <v>ok</v>
      </c>
      <c r="Z802" s="91" t="str">
        <f>IF(Y802="err",X802-F802,"")</f>
        <v/>
      </c>
    </row>
    <row r="803" spans="1:26" ht="12" customHeight="1" x14ac:dyDescent="0.5">
      <c r="E803" s="91"/>
      <c r="X803" s="91"/>
    </row>
    <row r="804" spans="1:26" ht="12" customHeight="1" x14ac:dyDescent="0.5">
      <c r="A804" s="86" t="s">
        <v>909</v>
      </c>
      <c r="F804" s="89">
        <f>F789-F802</f>
        <v>377244908.30196714</v>
      </c>
      <c r="G804" s="89">
        <f t="shared" ref="G804:W804" si="437">G789-G802</f>
        <v>116303468.50562179</v>
      </c>
      <c r="H804" s="89">
        <f t="shared" ref="H804" si="438">H789-H802</f>
        <v>-1333.2577448042575</v>
      </c>
      <c r="I804" s="89">
        <f t="shared" si="437"/>
        <v>87482806.110279381</v>
      </c>
      <c r="J804" s="89">
        <f>J789-J802</f>
        <v>3381564.0110412445</v>
      </c>
      <c r="K804" s="89">
        <f t="shared" si="437"/>
        <v>59663294.308356777</v>
      </c>
      <c r="L804" s="89">
        <f>L789-L802</f>
        <v>4346557.1129907295</v>
      </c>
      <c r="M804" s="89">
        <f t="shared" si="437"/>
        <v>27690453.493323267</v>
      </c>
      <c r="N804" s="89">
        <f t="shared" si="437"/>
        <v>43903744.782822907</v>
      </c>
      <c r="O804" s="89">
        <f t="shared" si="437"/>
        <v>14544965.803874239</v>
      </c>
      <c r="P804" s="89">
        <f t="shared" si="437"/>
        <v>5505709.0043779835</v>
      </c>
      <c r="Q804" s="89">
        <f t="shared" si="437"/>
        <v>13970183.06241988</v>
      </c>
      <c r="R804" s="89">
        <f t="shared" si="437"/>
        <v>111933.19017201962</v>
      </c>
      <c r="S804" s="89">
        <f t="shared" si="437"/>
        <v>76294.842284538521</v>
      </c>
      <c r="T804" s="89">
        <f t="shared" si="437"/>
        <v>49415.40632606126</v>
      </c>
      <c r="U804" s="89">
        <f t="shared" si="437"/>
        <v>7659.4948217949859</v>
      </c>
      <c r="V804" s="89">
        <f t="shared" si="437"/>
        <v>187070.99666312942</v>
      </c>
      <c r="W804" s="89">
        <f t="shared" si="437"/>
        <v>21121.4327083196</v>
      </c>
      <c r="X804" s="89">
        <f>SUM(G804:W804)</f>
        <v>377244908.30033934</v>
      </c>
      <c r="Y804" s="87" t="str">
        <f>IF(ABS(F804-X804)&lt;0.01,"ok","err")</f>
        <v>ok</v>
      </c>
      <c r="Z804" s="91" t="str">
        <f>IF(Y804="err",X804-F804,"")</f>
        <v/>
      </c>
    </row>
    <row r="805" spans="1:26" ht="12" customHeight="1" x14ac:dyDescent="0.5">
      <c r="X805" s="91"/>
    </row>
    <row r="806" spans="1:26" ht="12" customHeight="1" x14ac:dyDescent="0.5">
      <c r="A806" s="288" t="s">
        <v>400</v>
      </c>
      <c r="F806" s="91">
        <f t="shared" ref="F806:W806" si="439">F757</f>
        <v>5197832023.3399992</v>
      </c>
      <c r="G806" s="91">
        <f t="shared" si="439"/>
        <v>2446199408.7285142</v>
      </c>
      <c r="H806" s="91">
        <f t="shared" ref="H806" si="440">H757</f>
        <v>11340629.922834281</v>
      </c>
      <c r="I806" s="91">
        <f t="shared" si="439"/>
        <v>610148565.20987535</v>
      </c>
      <c r="J806" s="91">
        <f t="shared" si="439"/>
        <v>38738639.515784226</v>
      </c>
      <c r="K806" s="91">
        <f t="shared" si="439"/>
        <v>458864450.23790866</v>
      </c>
      <c r="L806" s="91">
        <f t="shared" si="439"/>
        <v>19887373.090099089</v>
      </c>
      <c r="M806" s="91">
        <f t="shared" si="439"/>
        <v>424829680.24150598</v>
      </c>
      <c r="N806" s="91">
        <f t="shared" si="439"/>
        <v>740452252.7798897</v>
      </c>
      <c r="O806" s="91">
        <f t="shared" si="439"/>
        <v>225535968.00398141</v>
      </c>
      <c r="P806" s="91">
        <f t="shared" si="439"/>
        <v>104333029.76968977</v>
      </c>
      <c r="Q806" s="91">
        <f t="shared" si="439"/>
        <v>113340011.04474315</v>
      </c>
      <c r="R806" s="91">
        <f t="shared" si="439"/>
        <v>398642.54509885528</v>
      </c>
      <c r="S806" s="91">
        <f t="shared" si="439"/>
        <v>615301.08940570417</v>
      </c>
      <c r="T806" s="91">
        <f t="shared" si="439"/>
        <v>174628.96328485516</v>
      </c>
      <c r="U806" s="91">
        <f t="shared" si="439"/>
        <v>105538.39738445418</v>
      </c>
      <c r="V806" s="91">
        <f t="shared" si="439"/>
        <v>2576969.3631635425</v>
      </c>
      <c r="W806" s="91">
        <f t="shared" si="439"/>
        <v>290934.43683645804</v>
      </c>
      <c r="X806" s="89">
        <f>SUM(G806:W806)</f>
        <v>5197832023.3400011</v>
      </c>
      <c r="Y806" s="87" t="str">
        <f>IF(ABS(F806-X806)&lt;0.01,"ok","err")</f>
        <v>ok</v>
      </c>
      <c r="Z806" s="91" t="str">
        <f>IF(Y806="err",X806-F806,"")</f>
        <v/>
      </c>
    </row>
    <row r="807" spans="1:26" ht="12" customHeight="1" thickBot="1" x14ac:dyDescent="0.55000000000000004"/>
    <row r="808" spans="1:26" ht="12" customHeight="1" thickBot="1" x14ac:dyDescent="0.55000000000000004">
      <c r="A808" s="391" t="s">
        <v>421</v>
      </c>
      <c r="B808" s="392"/>
      <c r="C808" s="392"/>
      <c r="D808" s="392"/>
      <c r="E808" s="392"/>
      <c r="F808" s="393">
        <f t="shared" ref="F808:Q808" si="441">F804/F806</f>
        <v>7.2577356599446016E-2</v>
      </c>
      <c r="G808" s="393">
        <f t="shared" si="441"/>
        <v>4.7544557524880612E-2</v>
      </c>
      <c r="H808" s="393">
        <f t="shared" ref="H808" si="442">H804/H806</f>
        <v>-1.1756469912837489E-4</v>
      </c>
      <c r="I808" s="393">
        <f t="shared" si="441"/>
        <v>0.14337951623337433</v>
      </c>
      <c r="J808" s="393">
        <f>J804/J806</f>
        <v>8.7291759682562198E-2</v>
      </c>
      <c r="K808" s="393">
        <f t="shared" si="441"/>
        <v>0.13002378867533318</v>
      </c>
      <c r="L808" s="393">
        <f>L804/L806</f>
        <v>0.21855863483320775</v>
      </c>
      <c r="M808" s="393">
        <f t="shared" si="441"/>
        <v>6.5180129311073268E-2</v>
      </c>
      <c r="N808" s="393">
        <f t="shared" si="441"/>
        <v>5.9293147691825497E-2</v>
      </c>
      <c r="O808" s="393">
        <f t="shared" si="441"/>
        <v>6.4490670524080113E-2</v>
      </c>
      <c r="P808" s="393">
        <f t="shared" si="441"/>
        <v>5.2770527382666597E-2</v>
      </c>
      <c r="Q808" s="393">
        <f t="shared" si="441"/>
        <v>0.1232590585940995</v>
      </c>
      <c r="R808" s="393">
        <f t="shared" ref="R808:W808" si="443">R804/R806</f>
        <v>0.28078586078729367</v>
      </c>
      <c r="S808" s="393">
        <f t="shared" si="443"/>
        <v>0.12399594864723675</v>
      </c>
      <c r="T808" s="393">
        <f t="shared" si="443"/>
        <v>0.2829737140765976</v>
      </c>
      <c r="U808" s="393">
        <f t="shared" si="443"/>
        <v>7.2575432369823265E-2</v>
      </c>
      <c r="V808" s="393">
        <f t="shared" si="443"/>
        <v>7.2593411212881889E-2</v>
      </c>
      <c r="W808" s="393">
        <f t="shared" si="443"/>
        <v>7.2598599663856622E-2</v>
      </c>
      <c r="Y808" s="388"/>
    </row>
    <row r="809" spans="1:26" ht="12" customHeight="1" x14ac:dyDescent="0.5">
      <c r="M809" s="101"/>
      <c r="N809" s="101"/>
      <c r="O809" s="101"/>
      <c r="S809" s="218"/>
    </row>
    <row r="810" spans="1:26" ht="12" customHeight="1" x14ac:dyDescent="0.5">
      <c r="A810" s="197"/>
      <c r="T810" s="196"/>
    </row>
    <row r="811" spans="1:26" ht="12" customHeight="1" x14ac:dyDescent="0.5">
      <c r="A811" s="197"/>
      <c r="F811" s="91"/>
      <c r="T811" s="196"/>
    </row>
    <row r="812" spans="1:26" ht="12" customHeight="1" x14ac:dyDescent="0.5">
      <c r="S812" s="218"/>
      <c r="T812" s="219"/>
    </row>
    <row r="813" spans="1:26" ht="12" customHeight="1" x14ac:dyDescent="0.5">
      <c r="A813" s="22" t="s">
        <v>497</v>
      </c>
    </row>
    <row r="815" spans="1:26" ht="12" customHeight="1" x14ac:dyDescent="0.5">
      <c r="A815" s="22" t="s">
        <v>424</v>
      </c>
    </row>
    <row r="816" spans="1:26" ht="12" customHeight="1" x14ac:dyDescent="0.5">
      <c r="A816" s="86" t="s">
        <v>425</v>
      </c>
      <c r="D816" s="86" t="s">
        <v>390</v>
      </c>
      <c r="E816" s="86" t="s">
        <v>104</v>
      </c>
      <c r="F816" s="107">
        <v>1</v>
      </c>
      <c r="G816" s="107">
        <f t="shared" ref="G816:W816" si="444">IF(VLOOKUP($E816,$D$5:$AK$998,3,)=0,0,(VLOOKUP($E816,$D$5:$AK$998,G$1,)/VLOOKUP($E816,$D$5:$AK$998,3,))*$F816)</f>
        <v>0.34472667630326076</v>
      </c>
      <c r="H816" s="107">
        <f t="shared" si="444"/>
        <v>5.6682881492203341E-4</v>
      </c>
      <c r="I816" s="107">
        <f t="shared" si="444"/>
        <v>9.7491810744911353E-2</v>
      </c>
      <c r="J816" s="107">
        <f t="shared" si="444"/>
        <v>7.4680305447254267E-3</v>
      </c>
      <c r="K816" s="107">
        <f t="shared" si="444"/>
        <v>9.8714323735285936E-2</v>
      </c>
      <c r="L816" s="107">
        <f t="shared" si="444"/>
        <v>4.4612030860622575E-3</v>
      </c>
      <c r="M816" s="107">
        <f t="shared" si="444"/>
        <v>0.10365291292859578</v>
      </c>
      <c r="N816" s="107">
        <f t="shared" si="444"/>
        <v>0.22395812598660461</v>
      </c>
      <c r="O816" s="107">
        <f t="shared" si="444"/>
        <v>7.7945538897684644E-2</v>
      </c>
      <c r="P816" s="107">
        <f t="shared" si="444"/>
        <v>3.3621992464083955E-2</v>
      </c>
      <c r="Q816" s="107">
        <f t="shared" si="444"/>
        <v>6.9800031238465652E-3</v>
      </c>
      <c r="R816" s="107">
        <f t="shared" si="444"/>
        <v>2.5395399734172127E-4</v>
      </c>
      <c r="S816" s="107">
        <f t="shared" si="444"/>
        <v>1.3900079575850661E-4</v>
      </c>
      <c r="T816" s="107">
        <f t="shared" si="444"/>
        <v>1.8962438672518194E-5</v>
      </c>
      <c r="U816" s="107">
        <f t="shared" si="444"/>
        <v>6.3613824378938511E-7</v>
      </c>
      <c r="V816" s="107">
        <f t="shared" si="444"/>
        <v>0</v>
      </c>
      <c r="W816" s="107">
        <f t="shared" si="444"/>
        <v>0</v>
      </c>
      <c r="X816" s="107">
        <f>SUM(G816:W816)</f>
        <v>0.99999999999999978</v>
      </c>
      <c r="Y816" s="87" t="str">
        <f>IF(ABS(F816-X816)&lt;0.01,"ok","err")</f>
        <v>ok</v>
      </c>
      <c r="Z816" s="91" t="str">
        <f>IF(Y816="err",X816-F816,"")</f>
        <v/>
      </c>
    </row>
    <row r="818" spans="1:26" ht="12" customHeight="1" x14ac:dyDescent="0.5">
      <c r="A818" s="22" t="s">
        <v>426</v>
      </c>
    </row>
    <row r="819" spans="1:26" ht="12" customHeight="1" x14ac:dyDescent="0.5">
      <c r="A819" s="86" t="s">
        <v>434</v>
      </c>
      <c r="D819" s="86" t="s">
        <v>815</v>
      </c>
      <c r="E819" s="86" t="s">
        <v>904</v>
      </c>
      <c r="F819" s="103">
        <v>1</v>
      </c>
      <c r="G819" s="106">
        <f t="shared" ref="G819:W819" si="445">IF(VLOOKUP($E819,$D$5:$AK$998,3,)=0,0,(VLOOKUP($E819,$D$5:$AK$998,G$1,)/VLOOKUP($E819,$D$5:$AK$998,3,))*$F819)</f>
        <v>0.80214148472884572</v>
      </c>
      <c r="H819" s="106">
        <f t="shared" si="445"/>
        <v>1.173167515972149E-3</v>
      </c>
      <c r="I819" s="106">
        <f t="shared" si="445"/>
        <v>0.1503397827279232</v>
      </c>
      <c r="J819" s="106">
        <f t="shared" si="445"/>
        <v>7.7000468540586869E-4</v>
      </c>
      <c r="K819" s="106">
        <f t="shared" si="445"/>
        <v>8.0650726601119421E-3</v>
      </c>
      <c r="L819" s="106">
        <f t="shared" si="445"/>
        <v>3.7047395241225758E-4</v>
      </c>
      <c r="M819" s="106">
        <f t="shared" si="445"/>
        <v>1.3910933703323006E-3</v>
      </c>
      <c r="N819" s="106">
        <f t="shared" si="445"/>
        <v>4.6490848930165658E-4</v>
      </c>
      <c r="O819" s="106">
        <f t="shared" si="445"/>
        <v>0</v>
      </c>
      <c r="P819" s="106">
        <f t="shared" si="445"/>
        <v>0</v>
      </c>
      <c r="Q819" s="106">
        <f t="shared" si="445"/>
        <v>3.4968019380872649E-2</v>
      </c>
      <c r="R819" s="106">
        <f t="shared" si="445"/>
        <v>2.1792585436015154E-5</v>
      </c>
      <c r="S819" s="106">
        <f t="shared" si="445"/>
        <v>2.6877522037752023E-4</v>
      </c>
      <c r="T819" s="106">
        <f t="shared" si="445"/>
        <v>7.2641951453383841E-6</v>
      </c>
      <c r="U819" s="106">
        <f t="shared" si="445"/>
        <v>1.8160487863345959E-5</v>
      </c>
      <c r="V819" s="106">
        <f t="shared" si="445"/>
        <v>0</v>
      </c>
      <c r="W819" s="106">
        <f t="shared" si="445"/>
        <v>0</v>
      </c>
      <c r="X819" s="103">
        <f t="shared" ref="X819:X824" si="446">SUM(G819:W819)</f>
        <v>1</v>
      </c>
      <c r="Y819" s="87" t="str">
        <f t="shared" ref="Y819:Y824" si="447">IF(ABS(F819-X819)&lt;0.01,"ok","err")</f>
        <v>ok</v>
      </c>
      <c r="Z819" s="91" t="str">
        <f t="shared" ref="Z819:Z824" si="448">IF(Y819="err",X819-F819,"")</f>
        <v/>
      </c>
    </row>
    <row r="820" spans="1:26" ht="12" customHeight="1" x14ac:dyDescent="0.5">
      <c r="A820" s="86" t="s">
        <v>1471</v>
      </c>
      <c r="D820" s="86" t="s">
        <v>393</v>
      </c>
      <c r="F820" s="103">
        <v>1</v>
      </c>
      <c r="G820" s="107">
        <f>Services!F10</f>
        <v>0.78970813484036173</v>
      </c>
      <c r="H820" s="107">
        <f>Services!F12</f>
        <v>1.155430596758339E-3</v>
      </c>
      <c r="I820" s="107">
        <f>Services!F14</f>
        <v>0.17779177664292514</v>
      </c>
      <c r="J820" s="107">
        <f>Services!F16</f>
        <v>1.6086124019053705E-3</v>
      </c>
      <c r="K820" s="107">
        <f>Services!F18</f>
        <v>2.3104995525119073E-2</v>
      </c>
      <c r="L820" s="107">
        <f>Services!F20</f>
        <v>0</v>
      </c>
      <c r="M820" s="107">
        <f>Services!F22</f>
        <v>6.6102379692424872E-3</v>
      </c>
      <c r="N820" s="107">
        <f>Services!F24</f>
        <v>0</v>
      </c>
      <c r="O820" s="107">
        <f>Services!F26</f>
        <v>0</v>
      </c>
      <c r="P820" s="107">
        <f>Services!F28</f>
        <v>0</v>
      </c>
      <c r="Q820" s="107">
        <f>Services!F30</f>
        <v>0</v>
      </c>
      <c r="R820" s="107">
        <f>Services!F32</f>
        <v>0</v>
      </c>
      <c r="S820" s="107">
        <f>Services!F34</f>
        <v>0</v>
      </c>
      <c r="T820" s="107">
        <f>Services!F36</f>
        <v>2.0812023687899386E-5</v>
      </c>
      <c r="U820" s="107">
        <f>Services!F38</f>
        <v>0</v>
      </c>
      <c r="V820" s="107">
        <f>Services!G38</f>
        <v>0</v>
      </c>
      <c r="W820" s="107">
        <f>Services!H38</f>
        <v>0</v>
      </c>
      <c r="X820" s="103">
        <f t="shared" si="446"/>
        <v>1</v>
      </c>
      <c r="Y820" s="87" t="str">
        <f t="shared" si="447"/>
        <v>ok</v>
      </c>
      <c r="Z820" s="91" t="str">
        <f t="shared" si="448"/>
        <v/>
      </c>
    </row>
    <row r="821" spans="1:26" ht="12" customHeight="1" x14ac:dyDescent="0.5">
      <c r="A821" s="86" t="s">
        <v>435</v>
      </c>
      <c r="D821" s="86" t="s">
        <v>394</v>
      </c>
      <c r="F821" s="103">
        <v>1</v>
      </c>
      <c r="G821" s="107">
        <f>Meters!H10</f>
        <v>0.60325224703262326</v>
      </c>
      <c r="H821" s="107">
        <f>Meters!H12</f>
        <v>8.826249509581327E-4</v>
      </c>
      <c r="I821" s="107">
        <f>Meters!H14+Meters!H16</f>
        <v>0.24378643356686081</v>
      </c>
      <c r="J821" s="107">
        <f>Meters!H18+Meters!H20</f>
        <v>4.9761942299669619E-3</v>
      </c>
      <c r="K821" s="107">
        <f>Meters!H22</f>
        <v>7.6222903625319874E-2</v>
      </c>
      <c r="L821" s="107">
        <f>Meters!H24</f>
        <v>1.4906226308140371E-2</v>
      </c>
      <c r="M821" s="107">
        <f>Meters!H26</f>
        <v>1.3633378875441851E-2</v>
      </c>
      <c r="N821" s="107">
        <f>Meters!H28</f>
        <v>2.6405957284268641E-2</v>
      </c>
      <c r="O821" s="107">
        <f>Meters!H30</f>
        <v>1.309188503755108E-2</v>
      </c>
      <c r="P821" s="107">
        <f>Meters!H32</f>
        <v>8.0815633183594531E-4</v>
      </c>
      <c r="Q821" s="107">
        <f>Meters!H34</f>
        <v>0</v>
      </c>
      <c r="R821" s="107">
        <f>Meters!H36</f>
        <v>1.4750250631099163E-4</v>
      </c>
      <c r="S821" s="107">
        <f>Meters!H38</f>
        <v>1.8178318138882396E-3</v>
      </c>
      <c r="T821" s="107">
        <f>Meters!H40</f>
        <v>6.8658436833973541E-5</v>
      </c>
      <c r="U821" s="107">
        <f>Meters!H42</f>
        <v>0</v>
      </c>
      <c r="V821" s="107">
        <f>Meters!I42</f>
        <v>0</v>
      </c>
      <c r="W821" s="107">
        <f>Meters!J42</f>
        <v>0</v>
      </c>
      <c r="X821" s="103">
        <f t="shared" si="446"/>
        <v>1.0000000000000002</v>
      </c>
      <c r="Y821" s="87" t="str">
        <f t="shared" si="447"/>
        <v>ok</v>
      </c>
      <c r="Z821" s="91" t="str">
        <f t="shared" si="448"/>
        <v/>
      </c>
    </row>
    <row r="822" spans="1:26" ht="12" customHeight="1" x14ac:dyDescent="0.5">
      <c r="A822" s="86" t="s">
        <v>436</v>
      </c>
      <c r="D822" s="86" t="s">
        <v>395</v>
      </c>
      <c r="E822" s="86" t="s">
        <v>496</v>
      </c>
      <c r="F822" s="103">
        <v>1</v>
      </c>
      <c r="G822" s="106">
        <f t="shared" ref="G822:Q823" si="449">IF(VLOOKUP($E822,$D$5:$AK$998,3,)=0,0,(VLOOKUP($E822,$D$5:$AK$998,G$1,)/VLOOKUP($E822,$D$5:$AK$998,3,))*$F822)</f>
        <v>0</v>
      </c>
      <c r="H822" s="106">
        <f t="shared" si="449"/>
        <v>0</v>
      </c>
      <c r="I822" s="106">
        <f t="shared" si="449"/>
        <v>0</v>
      </c>
      <c r="J822" s="106">
        <f t="shared" si="449"/>
        <v>0</v>
      </c>
      <c r="K822" s="106">
        <f t="shared" si="449"/>
        <v>0</v>
      </c>
      <c r="L822" s="106">
        <f t="shared" si="449"/>
        <v>0</v>
      </c>
      <c r="M822" s="106">
        <f t="shared" si="449"/>
        <v>0</v>
      </c>
      <c r="N822" s="106">
        <f t="shared" si="449"/>
        <v>0</v>
      </c>
      <c r="O822" s="106">
        <f t="shared" si="449"/>
        <v>0</v>
      </c>
      <c r="P822" s="106">
        <f t="shared" si="449"/>
        <v>0</v>
      </c>
      <c r="Q822" s="106">
        <f t="shared" si="449"/>
        <v>1</v>
      </c>
      <c r="R822" s="106">
        <v>0</v>
      </c>
      <c r="S822" s="106">
        <v>0</v>
      </c>
      <c r="T822" s="106">
        <f t="shared" ref="T822:W823" si="450">IF(VLOOKUP($E822,$D$5:$AK$998,3,)=0,0,(VLOOKUP($E822,$D$5:$AK$998,T$1,)/VLOOKUP($E822,$D$5:$AK$998,3,))*$F822)</f>
        <v>0</v>
      </c>
      <c r="U822" s="106">
        <f t="shared" si="450"/>
        <v>0</v>
      </c>
      <c r="V822" s="106">
        <f t="shared" si="450"/>
        <v>0</v>
      </c>
      <c r="W822" s="106">
        <f t="shared" si="450"/>
        <v>0</v>
      </c>
      <c r="X822" s="103">
        <f t="shared" si="446"/>
        <v>1</v>
      </c>
      <c r="Y822" s="87" t="str">
        <f t="shared" si="447"/>
        <v>ok</v>
      </c>
      <c r="Z822" s="91" t="str">
        <f t="shared" si="448"/>
        <v/>
      </c>
    </row>
    <row r="823" spans="1:26" ht="12" customHeight="1" x14ac:dyDescent="0.5">
      <c r="A823" s="86" t="s">
        <v>437</v>
      </c>
      <c r="D823" s="86" t="s">
        <v>396</v>
      </c>
      <c r="E823" s="86" t="s">
        <v>850</v>
      </c>
      <c r="F823" s="103">
        <v>1</v>
      </c>
      <c r="G823" s="106">
        <f t="shared" si="449"/>
        <v>0.64866579530935631</v>
      </c>
      <c r="H823" s="106">
        <f t="shared" si="449"/>
        <v>9.4870250980276971E-4</v>
      </c>
      <c r="I823" s="106">
        <f t="shared" si="449"/>
        <v>0.24314980981892412</v>
      </c>
      <c r="J823" s="106">
        <f t="shared" si="449"/>
        <v>6.2267780829160123E-3</v>
      </c>
      <c r="K823" s="106">
        <f t="shared" si="449"/>
        <v>3.2609813049799541E-2</v>
      </c>
      <c r="L823" s="106">
        <f t="shared" si="449"/>
        <v>1.4979513312675312E-3</v>
      </c>
      <c r="M823" s="106">
        <f t="shared" si="449"/>
        <v>2.812330195467963E-2</v>
      </c>
      <c r="N823" s="106">
        <f t="shared" si="449"/>
        <v>9.3989103138354905E-3</v>
      </c>
      <c r="O823" s="106">
        <f t="shared" si="449"/>
        <v>7.3428986826839767E-4</v>
      </c>
      <c r="P823" s="106">
        <f t="shared" si="449"/>
        <v>7.3428986826839769E-5</v>
      </c>
      <c r="Q823" s="106">
        <f t="shared" si="449"/>
        <v>2.8277502827015993E-2</v>
      </c>
      <c r="R823" s="106">
        <f>IF(VLOOKUP($E823,$D$5:$AK$998,3,)=0,0,(VLOOKUP($E823,$D$5:$AK$998,R$1,)/VLOOKUP($E823,$D$5:$AK$998,3,))*$F823)</f>
        <v>1.7622956838441543E-5</v>
      </c>
      <c r="S823" s="106">
        <f>IF(VLOOKUP($E823,$D$5:$AK$998,3,)=0,0,(VLOOKUP($E823,$D$5:$AK$998,S$1,)/VLOOKUP($E823,$D$5:$AK$998,3,))*$F823)</f>
        <v>2.1734980100744571E-4</v>
      </c>
      <c r="T823" s="106">
        <f t="shared" si="450"/>
        <v>2.9371594730735905E-5</v>
      </c>
      <c r="U823" s="106">
        <f t="shared" si="450"/>
        <v>2.9371594730735905E-5</v>
      </c>
      <c r="V823" s="106">
        <f t="shared" si="450"/>
        <v>0</v>
      </c>
      <c r="W823" s="106">
        <f t="shared" si="450"/>
        <v>0</v>
      </c>
      <c r="X823" s="103">
        <f t="shared" si="446"/>
        <v>0.99999999999999978</v>
      </c>
      <c r="Y823" s="87" t="str">
        <f t="shared" si="447"/>
        <v>ok</v>
      </c>
      <c r="Z823" s="91" t="str">
        <f t="shared" si="448"/>
        <v/>
      </c>
    </row>
    <row r="824" spans="1:26" ht="12" customHeight="1" x14ac:dyDescent="0.5">
      <c r="A824" s="86" t="s">
        <v>931</v>
      </c>
      <c r="D824" s="86" t="s">
        <v>397</v>
      </c>
      <c r="E824" s="86" t="s">
        <v>851</v>
      </c>
      <c r="F824" s="103">
        <v>1</v>
      </c>
      <c r="G824" s="106">
        <f t="shared" ref="G824:W824" si="451">IF(VLOOKUP($E824,$D$5:$AK$998,3,)=0,0,ROUND((VLOOKUP($E824,$D$5:$AK$998,G$1,)/VLOOKUP($E824,$D$5:$AK$998,3,))*$F824,10))</f>
        <v>0.80211089459999996</v>
      </c>
      <c r="H824" s="106">
        <f t="shared" si="451"/>
        <v>1.1731228E-3</v>
      </c>
      <c r="I824" s="106">
        <f t="shared" si="451"/>
        <v>0.1503340494</v>
      </c>
      <c r="J824" s="106">
        <f t="shared" si="451"/>
        <v>7.6997529999999999E-4</v>
      </c>
      <c r="K824" s="106">
        <f t="shared" si="451"/>
        <v>8.0647650999999994E-3</v>
      </c>
      <c r="L824" s="106">
        <f t="shared" si="451"/>
        <v>3.7045980000000001E-4</v>
      </c>
      <c r="M824" s="106">
        <f t="shared" si="451"/>
        <v>1.3910403E-3</v>
      </c>
      <c r="N824" s="106">
        <f t="shared" si="451"/>
        <v>4.6489079999999998E-4</v>
      </c>
      <c r="O824" s="106">
        <f t="shared" si="451"/>
        <v>3.6319599999999997E-5</v>
      </c>
      <c r="P824" s="106">
        <f t="shared" si="451"/>
        <v>1.8160000000000001E-6</v>
      </c>
      <c r="Q824" s="106">
        <f t="shared" si="451"/>
        <v>3.4966685900000002E-2</v>
      </c>
      <c r="R824" s="106">
        <f t="shared" si="451"/>
        <v>2.17918E-5</v>
      </c>
      <c r="S824" s="106">
        <f t="shared" si="451"/>
        <v>2.6876500000000002E-4</v>
      </c>
      <c r="T824" s="106">
        <f t="shared" si="451"/>
        <v>7.2639E-6</v>
      </c>
      <c r="U824" s="106">
        <f t="shared" si="451"/>
        <v>1.8159799999999998E-5</v>
      </c>
      <c r="V824" s="106">
        <f t="shared" si="451"/>
        <v>0</v>
      </c>
      <c r="W824" s="106">
        <f t="shared" si="451"/>
        <v>0</v>
      </c>
      <c r="X824" s="103">
        <f t="shared" si="446"/>
        <v>1.0000000001</v>
      </c>
      <c r="Y824" s="87" t="str">
        <f t="shared" si="447"/>
        <v>ok</v>
      </c>
      <c r="Z824" s="91" t="str">
        <f t="shared" si="448"/>
        <v/>
      </c>
    </row>
    <row r="825" spans="1:26" ht="12" customHeight="1" x14ac:dyDescent="0.5">
      <c r="F825" s="103"/>
      <c r="G825" s="106"/>
      <c r="H825" s="106"/>
      <c r="I825" s="106"/>
      <c r="J825" s="106"/>
      <c r="K825" s="106"/>
      <c r="L825" s="106"/>
      <c r="M825" s="106"/>
      <c r="N825" s="106"/>
      <c r="O825" s="106"/>
      <c r="P825" s="106"/>
      <c r="Q825" s="106"/>
      <c r="R825" s="106"/>
      <c r="S825" s="106"/>
      <c r="T825" s="106"/>
      <c r="U825" s="106"/>
      <c r="V825" s="106"/>
      <c r="W825" s="106"/>
      <c r="Y825" s="87"/>
    </row>
    <row r="826" spans="1:26" ht="12" customHeight="1" x14ac:dyDescent="0.5">
      <c r="A826" s="86" t="s">
        <v>345</v>
      </c>
      <c r="D826" s="86" t="s">
        <v>494</v>
      </c>
      <c r="F826" s="90">
        <f>'Billing Det'!D41</f>
        <v>1558608458.4696758</v>
      </c>
      <c r="G826" s="90">
        <f>'Billing Det'!D8</f>
        <v>610498742.60889256</v>
      </c>
      <c r="H826" s="90">
        <f>'Billing Det'!D10</f>
        <v>994054.40110739076</v>
      </c>
      <c r="I826" s="90">
        <f>'Billing Det'!D12</f>
        <v>224799513.08000001</v>
      </c>
      <c r="J826" s="90">
        <f>'Billing Det'!D14</f>
        <v>11901436</v>
      </c>
      <c r="K826" s="90">
        <f>'Billing Det'!D16</f>
        <v>169760856.79999998</v>
      </c>
      <c r="L826" s="90">
        <f>'Billing Det'!D18</f>
        <v>9429914.5700000003</v>
      </c>
      <c r="M826" s="90">
        <f>'Billing Det'!D20</f>
        <v>134172118.09000002</v>
      </c>
      <c r="N826" s="90">
        <f>'Billing Det'!D22</f>
        <v>250417885.84999999</v>
      </c>
      <c r="O826" s="90">
        <f>'Billing Det'!D24</f>
        <v>82247980.760000005</v>
      </c>
      <c r="P826" s="90">
        <f>'Billing Det'!D26</f>
        <v>32956814.48</v>
      </c>
      <c r="Q826" s="90">
        <f>'Billing Det'!D28</f>
        <v>30555893.249675881</v>
      </c>
      <c r="R826" s="90">
        <f>'Billing Det'!D30</f>
        <v>307245.55999999994</v>
      </c>
      <c r="S826" s="90">
        <f>'Billing Det'!D32</f>
        <v>271290.95</v>
      </c>
      <c r="T826" s="90">
        <f>'Billing Det'!D34</f>
        <v>92319.950000000012</v>
      </c>
      <c r="U826" s="90">
        <f>'Billing Det'!D36</f>
        <v>1533</v>
      </c>
      <c r="V826" s="90">
        <f>'Billing Det'!D38</f>
        <v>162504.0000000002</v>
      </c>
      <c r="W826" s="90">
        <f>'Billing Det'!D40</f>
        <v>38355.120000000003</v>
      </c>
      <c r="X826" s="94">
        <f>SUM(G826:W826)</f>
        <v>1558608458.4696758</v>
      </c>
      <c r="Y826" s="87" t="str">
        <f>IF(ABS(F826-X826)&lt;0.01,"ok","err")</f>
        <v>ok</v>
      </c>
      <c r="Z826" s="91" t="str">
        <f>IF(Y826="err",X826-F826,"")</f>
        <v/>
      </c>
    </row>
    <row r="827" spans="1:26" ht="12" customHeight="1" x14ac:dyDescent="0.5">
      <c r="A827" s="86" t="s">
        <v>1844</v>
      </c>
      <c r="F827" s="90">
        <f>'Billing Det'!C41</f>
        <v>17402124383.080002</v>
      </c>
      <c r="G827" s="90">
        <f>'Billing Det'!C8</f>
        <v>5933862870.8046446</v>
      </c>
      <c r="H827" s="90">
        <f>'Billing Det'!C10</f>
        <v>9756960.1953553148</v>
      </c>
      <c r="I827" s="90">
        <f>'Billing Det'!C12</f>
        <v>1678149896</v>
      </c>
      <c r="J827" s="90">
        <f>'Billing Det'!C14</f>
        <v>128548999</v>
      </c>
      <c r="K827" s="90">
        <f>'Billing Det'!C16</f>
        <v>1699193305</v>
      </c>
      <c r="L827" s="90">
        <f>'Billing Det'!C18</f>
        <v>78721459</v>
      </c>
      <c r="M827" s="90">
        <f>'Billing Det'!C20</f>
        <v>1784202424</v>
      </c>
      <c r="N827" s="90">
        <f>'Billing Det'!C22</f>
        <v>3951918371</v>
      </c>
      <c r="O827" s="90">
        <f>'Billing Det'!C24</f>
        <v>1404629847</v>
      </c>
      <c r="P827" s="90">
        <f>'Billing Det'!C26</f>
        <v>605890405</v>
      </c>
      <c r="Q827" s="90">
        <f>'Billing Det'!C28</f>
        <v>120148466.08000028</v>
      </c>
      <c r="R827" s="90">
        <f>'Billing Det'!C30</f>
        <v>4371371</v>
      </c>
      <c r="S827" s="90">
        <f>'Billing Det'!C32</f>
        <v>2392654</v>
      </c>
      <c r="T827" s="90">
        <f>'Billing Det'!C34</f>
        <v>326405</v>
      </c>
      <c r="U827" s="90">
        <f>'Billing Det'!C36</f>
        <v>10950</v>
      </c>
      <c r="V827" s="90">
        <f>'Billing Det'!C38</f>
        <v>0</v>
      </c>
      <c r="W827" s="90">
        <v>0</v>
      </c>
      <c r="X827" s="94">
        <f>SUM(G827:W827)</f>
        <v>17402124383.080002</v>
      </c>
      <c r="Y827" s="87" t="str">
        <f>IF(ABS(F827-X827)&lt;0.01,"ok","err")</f>
        <v>ok</v>
      </c>
      <c r="Z827" s="91" t="str">
        <f>IF(Y827="err",X827-F827,"")</f>
        <v/>
      </c>
    </row>
    <row r="828" spans="1:26" ht="12" customHeight="1" x14ac:dyDescent="0.5">
      <c r="A828" s="86" t="s">
        <v>1843</v>
      </c>
      <c r="D828" s="86" t="s">
        <v>104</v>
      </c>
      <c r="F828" s="105">
        <v>18429987350.630905</v>
      </c>
      <c r="G828" s="90">
        <f t="shared" ref="G828:M828" si="452">G827/0.93398</f>
        <v>6353308283.6941309</v>
      </c>
      <c r="H828" s="90">
        <f t="shared" ref="H828" si="453">H827/0.93398</f>
        <v>10446647.888986181</v>
      </c>
      <c r="I828" s="90">
        <f t="shared" si="452"/>
        <v>1796772838.8188183</v>
      </c>
      <c r="J828" s="90">
        <f t="shared" si="452"/>
        <v>137635708.47341484</v>
      </c>
      <c r="K828" s="90">
        <f t="shared" si="452"/>
        <v>1819303737.7674038</v>
      </c>
      <c r="L828" s="90">
        <f>L827/0.95745</f>
        <v>82219916.444722965</v>
      </c>
      <c r="M828" s="90">
        <f t="shared" si="452"/>
        <v>1910321874.1300669</v>
      </c>
      <c r="N828" s="90">
        <f>N827/0.95745</f>
        <v>4127545429.0041256</v>
      </c>
      <c r="O828" s="90">
        <f>O827/0.97779</f>
        <v>1436535295.9224372</v>
      </c>
      <c r="P828" s="90">
        <f>P827/0.97779</f>
        <v>619652895.81607497</v>
      </c>
      <c r="Q828" s="90">
        <f t="shared" ref="Q828:W828" si="454">Q827/0.93398</f>
        <v>128641369.2798564</v>
      </c>
      <c r="R828" s="90">
        <f t="shared" si="454"/>
        <v>4680368.9586500777</v>
      </c>
      <c r="S828" s="90">
        <f t="shared" si="454"/>
        <v>2561782.9075569068</v>
      </c>
      <c r="T828" s="90">
        <f t="shared" si="454"/>
        <v>349477.50487162464</v>
      </c>
      <c r="U828" s="90">
        <f t="shared" si="454"/>
        <v>11724.019786290926</v>
      </c>
      <c r="V828" s="90">
        <f t="shared" si="454"/>
        <v>0</v>
      </c>
      <c r="W828" s="90">
        <f t="shared" si="454"/>
        <v>0</v>
      </c>
      <c r="X828" s="94">
        <f>SUM(G828:W828)</f>
        <v>18429987350.630905</v>
      </c>
      <c r="Y828" s="87" t="str">
        <f>IF(ABS(F828-X828)&lt;0.01,"ok","err")</f>
        <v>ok</v>
      </c>
      <c r="Z828" s="91" t="str">
        <f>IF(Y828="err",X828-F828,"")</f>
        <v/>
      </c>
    </row>
    <row r="829" spans="1:26" ht="12" customHeight="1" x14ac:dyDescent="0.5">
      <c r="F829" s="90"/>
      <c r="G829" s="90"/>
      <c r="H829" s="90"/>
      <c r="I829" s="90"/>
      <c r="J829" s="90"/>
      <c r="K829" s="90"/>
      <c r="L829" s="90"/>
      <c r="M829" s="90"/>
      <c r="N829" s="90"/>
      <c r="O829" s="90"/>
      <c r="P829" s="90"/>
      <c r="Q829" s="90"/>
      <c r="R829" s="90"/>
      <c r="S829" s="90"/>
      <c r="T829" s="90"/>
      <c r="U829" s="90"/>
      <c r="V829" s="90"/>
      <c r="W829" s="105"/>
      <c r="Y829" s="87"/>
    </row>
    <row r="830" spans="1:26" ht="12" customHeight="1" x14ac:dyDescent="0.5">
      <c r="A830" s="288" t="s">
        <v>550</v>
      </c>
      <c r="F830" s="90"/>
      <c r="G830" s="90"/>
      <c r="H830" s="90"/>
      <c r="I830" s="90"/>
      <c r="J830" s="90"/>
      <c r="K830" s="90"/>
      <c r="L830" s="90"/>
      <c r="M830" s="90"/>
      <c r="N830" s="90"/>
      <c r="O830" s="90"/>
      <c r="P830" s="90"/>
      <c r="Q830" s="90"/>
      <c r="R830" s="90"/>
      <c r="S830" s="90"/>
      <c r="T830" s="90"/>
      <c r="U830" s="90"/>
      <c r="V830" s="90"/>
      <c r="W830" s="105"/>
      <c r="Y830" s="87"/>
    </row>
    <row r="831" spans="1:26" ht="12" customHeight="1" x14ac:dyDescent="0.5">
      <c r="A831" s="86" t="s">
        <v>491</v>
      </c>
      <c r="F831" s="220">
        <v>8471803.1013698634</v>
      </c>
      <c r="G831" s="90">
        <f>'Billing Det'!B8*12</f>
        <v>5300350.0191780822</v>
      </c>
      <c r="H831" s="90">
        <f>'Billing Det'!B10*12</f>
        <v>7755</v>
      </c>
      <c r="I831" s="90">
        <f>'Billing Det'!B12*12</f>
        <v>993412.76712328754</v>
      </c>
      <c r="J831" s="90">
        <f>'Billing Det'!B14*12</f>
        <v>5085.7315068493153</v>
      </c>
      <c r="K831" s="90">
        <f>'Billing Det'!B16*12</f>
        <v>53288.416438356158</v>
      </c>
      <c r="L831" s="90">
        <f>'Billing Det'!B18*12</f>
        <v>2445.3041095890412</v>
      </c>
      <c r="M831" s="90">
        <f>'Billing Det'!B20*12</f>
        <v>9195.4191780821911</v>
      </c>
      <c r="N831" s="90">
        <f>'Billing Det'!B22*12</f>
        <v>3066.4438356164383</v>
      </c>
      <c r="O831" s="90">
        <f>'Billing Det'!B24*12</f>
        <v>240</v>
      </c>
      <c r="P831" s="90">
        <f>'Billing Det'!B26*12</f>
        <v>12</v>
      </c>
      <c r="Q831" s="90">
        <f>'Billing Det'!B28*12</f>
        <v>2079516</v>
      </c>
      <c r="R831" s="90">
        <f>'Billing Det'!B30*12</f>
        <v>1296</v>
      </c>
      <c r="S831" s="90">
        <f>'Billing Det'!B32*12</f>
        <v>15972</v>
      </c>
      <c r="T831" s="90">
        <f>'Billing Det'!B34*12</f>
        <v>48</v>
      </c>
      <c r="U831" s="90">
        <f>'Billing Det'!B36*12</f>
        <v>120</v>
      </c>
      <c r="V831" s="90">
        <f>'Billing Det'!B38*12</f>
        <v>0</v>
      </c>
      <c r="W831" s="90">
        <f>'Billing Det'!B40*12</f>
        <v>0</v>
      </c>
      <c r="X831" s="94">
        <f t="shared" ref="X831:X840" si="455">SUM(G831:W831)</f>
        <v>8471803.1013698634</v>
      </c>
      <c r="Y831" s="87" t="str">
        <f t="shared" ref="Y831:Y840" si="456">IF(ABS(F831-X831)&lt;0.01,"ok","err")</f>
        <v>ok</v>
      </c>
      <c r="Z831" s="91" t="str">
        <f t="shared" ref="Z831:Z840" si="457">IF(Y831="err",X831-F831,"")</f>
        <v/>
      </c>
    </row>
    <row r="832" spans="1:26" ht="12" customHeight="1" x14ac:dyDescent="0.5">
      <c r="A832" s="86" t="s">
        <v>492</v>
      </c>
      <c r="F832" s="220">
        <v>705984</v>
      </c>
      <c r="G832" s="90">
        <f>ROUND(+G831/12,0)</f>
        <v>441696</v>
      </c>
      <c r="H832" s="90">
        <f>ROUND(+H831/12,0)</f>
        <v>646</v>
      </c>
      <c r="I832" s="90">
        <f t="shared" ref="I832:V832" si="458">ROUND(+I831/12,0)</f>
        <v>82784</v>
      </c>
      <c r="J832" s="90">
        <f>ROUND(+J831/12,0)</f>
        <v>424</v>
      </c>
      <c r="K832" s="90">
        <f t="shared" si="458"/>
        <v>4441</v>
      </c>
      <c r="L832" s="90">
        <f>ROUND(+L831/12,0)</f>
        <v>204</v>
      </c>
      <c r="M832" s="90">
        <f t="shared" si="458"/>
        <v>766</v>
      </c>
      <c r="N832" s="90">
        <f t="shared" si="458"/>
        <v>256</v>
      </c>
      <c r="O832" s="90">
        <f t="shared" si="458"/>
        <v>20</v>
      </c>
      <c r="P832" s="90">
        <f t="shared" si="458"/>
        <v>1</v>
      </c>
      <c r="Q832" s="90">
        <f t="shared" si="458"/>
        <v>173293</v>
      </c>
      <c r="R832" s="90">
        <f t="shared" si="458"/>
        <v>108</v>
      </c>
      <c r="S832" s="90">
        <f t="shared" si="458"/>
        <v>1331</v>
      </c>
      <c r="T832" s="90">
        <f t="shared" si="458"/>
        <v>4</v>
      </c>
      <c r="U832" s="90">
        <f t="shared" si="458"/>
        <v>10</v>
      </c>
      <c r="V832" s="90">
        <f t="shared" si="458"/>
        <v>0</v>
      </c>
      <c r="W832" s="90">
        <v>0</v>
      </c>
      <c r="X832" s="94">
        <f t="shared" si="455"/>
        <v>705984</v>
      </c>
      <c r="Y832" s="87" t="str">
        <f t="shared" si="456"/>
        <v>ok</v>
      </c>
      <c r="Z832" s="91" t="str">
        <f t="shared" si="457"/>
        <v/>
      </c>
    </row>
    <row r="833" spans="1:26" ht="12" customHeight="1" x14ac:dyDescent="0.5">
      <c r="A833" s="86" t="s">
        <v>493</v>
      </c>
      <c r="F833" s="90">
        <v>705984</v>
      </c>
      <c r="G833" s="90">
        <f t="shared" ref="G833:V833" si="459">G832</f>
        <v>441696</v>
      </c>
      <c r="H833" s="90">
        <f t="shared" ref="H833" si="460">H832</f>
        <v>646</v>
      </c>
      <c r="I833" s="90">
        <f t="shared" si="459"/>
        <v>82784</v>
      </c>
      <c r="J833" s="90">
        <f>J832</f>
        <v>424</v>
      </c>
      <c r="K833" s="90">
        <f>K832</f>
        <v>4441</v>
      </c>
      <c r="L833" s="90">
        <f>L832</f>
        <v>204</v>
      </c>
      <c r="M833" s="90">
        <f t="shared" si="459"/>
        <v>766</v>
      </c>
      <c r="N833" s="90">
        <f t="shared" si="459"/>
        <v>256</v>
      </c>
      <c r="O833" s="90">
        <f t="shared" si="459"/>
        <v>20</v>
      </c>
      <c r="P833" s="90">
        <f t="shared" si="459"/>
        <v>1</v>
      </c>
      <c r="Q833" s="90">
        <f>Q832</f>
        <v>173293</v>
      </c>
      <c r="R833" s="90">
        <f t="shared" si="459"/>
        <v>108</v>
      </c>
      <c r="S833" s="90">
        <f t="shared" si="459"/>
        <v>1331</v>
      </c>
      <c r="T833" s="90">
        <f t="shared" si="459"/>
        <v>4</v>
      </c>
      <c r="U833" s="90">
        <f t="shared" si="459"/>
        <v>10</v>
      </c>
      <c r="V833" s="90">
        <f t="shared" si="459"/>
        <v>0</v>
      </c>
      <c r="W833" s="90">
        <v>0</v>
      </c>
      <c r="X833" s="94">
        <f t="shared" si="455"/>
        <v>705984</v>
      </c>
      <c r="Y833" s="87" t="str">
        <f t="shared" si="456"/>
        <v>ok</v>
      </c>
      <c r="Z833" s="91" t="str">
        <f t="shared" si="457"/>
        <v/>
      </c>
    </row>
    <row r="834" spans="1:26" ht="12" customHeight="1" x14ac:dyDescent="0.5">
      <c r="A834" s="86" t="s">
        <v>762</v>
      </c>
      <c r="D834" s="86" t="s">
        <v>850</v>
      </c>
      <c r="F834" s="90">
        <v>680930</v>
      </c>
      <c r="G834" s="90">
        <f>ROUND(G833,0)</f>
        <v>441696</v>
      </c>
      <c r="H834" s="90">
        <f>ROUND(H833,0)</f>
        <v>646</v>
      </c>
      <c r="I834" s="90">
        <f>ROUND(I833*2,0)</f>
        <v>165568</v>
      </c>
      <c r="J834" s="90">
        <f>ROUND(J833*10,0)</f>
        <v>4240</v>
      </c>
      <c r="K834" s="90">
        <f>ROUND(K833*5,0)</f>
        <v>22205</v>
      </c>
      <c r="L834" s="90">
        <f>ROUND(L833*5,0)</f>
        <v>1020</v>
      </c>
      <c r="M834" s="90">
        <f>ROUND(M833*25,0)</f>
        <v>19150</v>
      </c>
      <c r="N834" s="90">
        <f>ROUND(N833*25,0)</f>
        <v>6400</v>
      </c>
      <c r="O834" s="90">
        <f>ROUND(O833*25,0)</f>
        <v>500</v>
      </c>
      <c r="P834" s="90">
        <f>ROUND(P833*50,0)</f>
        <v>50</v>
      </c>
      <c r="Q834" s="90">
        <f>ROUND(Q833*1/9,0)</f>
        <v>19255</v>
      </c>
      <c r="R834" s="90">
        <f>ROUND(R833*1/9,0)</f>
        <v>12</v>
      </c>
      <c r="S834" s="90">
        <f>ROUND(S833*1/9,0)</f>
        <v>148</v>
      </c>
      <c r="T834" s="90">
        <f>ROUND(T833*5,0)</f>
        <v>20</v>
      </c>
      <c r="U834" s="90">
        <f>ROUND(U833*2,0)</f>
        <v>20</v>
      </c>
      <c r="V834" s="90">
        <f>ROUND(V833,0)</f>
        <v>0</v>
      </c>
      <c r="W834" s="90">
        <v>0</v>
      </c>
      <c r="X834" s="94">
        <f t="shared" si="455"/>
        <v>680930</v>
      </c>
      <c r="Y834" s="87" t="str">
        <f t="shared" si="456"/>
        <v>ok</v>
      </c>
      <c r="Z834" s="91" t="str">
        <f t="shared" si="457"/>
        <v/>
      </c>
    </row>
    <row r="835" spans="1:26" ht="12" customHeight="1" x14ac:dyDescent="0.5">
      <c r="A835" s="86" t="s">
        <v>385</v>
      </c>
      <c r="D835" s="86" t="s">
        <v>496</v>
      </c>
      <c r="F835" s="90">
        <v>143087299.06384519</v>
      </c>
      <c r="G835" s="94">
        <v>0</v>
      </c>
      <c r="H835" s="94">
        <v>0</v>
      </c>
      <c r="I835" s="94">
        <v>0</v>
      </c>
      <c r="J835" s="94">
        <v>0</v>
      </c>
      <c r="K835" s="94">
        <v>0</v>
      </c>
      <c r="L835" s="94">
        <v>0</v>
      </c>
      <c r="M835" s="94">
        <v>0</v>
      </c>
      <c r="N835" s="94">
        <v>0</v>
      </c>
      <c r="O835" s="90">
        <v>0</v>
      </c>
      <c r="P835" s="94">
        <v>0</v>
      </c>
      <c r="Q835" s="94">
        <f>F835</f>
        <v>143087299.06384519</v>
      </c>
      <c r="R835" s="94">
        <v>0</v>
      </c>
      <c r="S835" s="94">
        <v>0</v>
      </c>
      <c r="T835" s="94">
        <v>0</v>
      </c>
      <c r="U835" s="94">
        <v>0</v>
      </c>
      <c r="V835" s="94"/>
      <c r="W835" s="90">
        <v>0</v>
      </c>
      <c r="X835" s="94">
        <f t="shared" si="455"/>
        <v>143087299.06384519</v>
      </c>
      <c r="Y835" s="87" t="str">
        <f t="shared" si="456"/>
        <v>ok</v>
      </c>
      <c r="Z835" s="91" t="str">
        <f t="shared" si="457"/>
        <v/>
      </c>
    </row>
    <row r="836" spans="1:26" ht="12" customHeight="1" x14ac:dyDescent="0.5">
      <c r="A836" s="86" t="s">
        <v>849</v>
      </c>
      <c r="D836" s="86" t="s">
        <v>495</v>
      </c>
      <c r="F836" s="90">
        <v>705984</v>
      </c>
      <c r="G836" s="90">
        <f>G833</f>
        <v>441696</v>
      </c>
      <c r="H836" s="90">
        <f>H833</f>
        <v>646</v>
      </c>
      <c r="I836" s="90">
        <f t="shared" ref="I836:V836" si="461">I833</f>
        <v>82784</v>
      </c>
      <c r="J836" s="90">
        <f>J833</f>
        <v>424</v>
      </c>
      <c r="K836" s="90">
        <f>K833</f>
        <v>4441</v>
      </c>
      <c r="L836" s="90">
        <f>L833</f>
        <v>204</v>
      </c>
      <c r="M836" s="90">
        <f t="shared" si="461"/>
        <v>766</v>
      </c>
      <c r="N836" s="90">
        <f t="shared" si="461"/>
        <v>256</v>
      </c>
      <c r="O836" s="90">
        <f t="shared" si="461"/>
        <v>20</v>
      </c>
      <c r="P836" s="90">
        <f>P833</f>
        <v>1</v>
      </c>
      <c r="Q836" s="90">
        <f>Q833</f>
        <v>173293</v>
      </c>
      <c r="R836" s="90">
        <f t="shared" si="461"/>
        <v>108</v>
      </c>
      <c r="S836" s="90">
        <f t="shared" si="461"/>
        <v>1331</v>
      </c>
      <c r="T836" s="90">
        <f t="shared" si="461"/>
        <v>4</v>
      </c>
      <c r="U836" s="90">
        <f t="shared" si="461"/>
        <v>10</v>
      </c>
      <c r="V836" s="90">
        <f t="shared" si="461"/>
        <v>0</v>
      </c>
      <c r="W836" s="90">
        <v>0</v>
      </c>
      <c r="X836" s="94">
        <f t="shared" si="455"/>
        <v>705984</v>
      </c>
      <c r="Y836" s="87" t="str">
        <f t="shared" si="456"/>
        <v>ok</v>
      </c>
      <c r="Z836" s="91" t="str">
        <f t="shared" si="457"/>
        <v/>
      </c>
    </row>
    <row r="837" spans="1:26" ht="12" customHeight="1" x14ac:dyDescent="0.5">
      <c r="A837" s="86" t="s">
        <v>763</v>
      </c>
      <c r="D837" s="86" t="s">
        <v>851</v>
      </c>
      <c r="F837" s="90">
        <v>550667</v>
      </c>
      <c r="G837" s="90">
        <f t="shared" ref="G837:V837" si="462">G833</f>
        <v>441696</v>
      </c>
      <c r="H837" s="90">
        <f t="shared" ref="H837" si="463">H833</f>
        <v>646</v>
      </c>
      <c r="I837" s="90">
        <f t="shared" si="462"/>
        <v>82784</v>
      </c>
      <c r="J837" s="90">
        <f>J833</f>
        <v>424</v>
      </c>
      <c r="K837" s="90">
        <f t="shared" si="462"/>
        <v>4441</v>
      </c>
      <c r="L837" s="90">
        <f>L833</f>
        <v>204</v>
      </c>
      <c r="M837" s="90">
        <f t="shared" si="462"/>
        <v>766</v>
      </c>
      <c r="N837" s="90">
        <f t="shared" si="462"/>
        <v>256</v>
      </c>
      <c r="O837" s="90">
        <f t="shared" si="462"/>
        <v>20</v>
      </c>
      <c r="P837" s="90">
        <f t="shared" si="462"/>
        <v>1</v>
      </c>
      <c r="Q837" s="90">
        <f>ROUND(Q833/9,0)</f>
        <v>19255</v>
      </c>
      <c r="R837" s="90">
        <f>ROUND(R833/9,0)</f>
        <v>12</v>
      </c>
      <c r="S837" s="90">
        <f>ROUND(S833/9,0)</f>
        <v>148</v>
      </c>
      <c r="T837" s="90">
        <f t="shared" si="462"/>
        <v>4</v>
      </c>
      <c r="U837" s="90">
        <f t="shared" si="462"/>
        <v>10</v>
      </c>
      <c r="V837" s="90">
        <f t="shared" si="462"/>
        <v>0</v>
      </c>
      <c r="W837" s="90">
        <v>0</v>
      </c>
      <c r="X837" s="94">
        <f t="shared" si="455"/>
        <v>550667</v>
      </c>
      <c r="Y837" s="87" t="str">
        <f t="shared" si="456"/>
        <v>ok</v>
      </c>
      <c r="Z837" s="91" t="str">
        <f t="shared" si="457"/>
        <v/>
      </c>
    </row>
    <row r="838" spans="1:26" ht="12" customHeight="1" x14ac:dyDescent="0.5">
      <c r="A838" s="86" t="s">
        <v>764</v>
      </c>
      <c r="D838" s="86" t="s">
        <v>903</v>
      </c>
      <c r="F838" s="90">
        <v>550186</v>
      </c>
      <c r="G838" s="90">
        <f>G837</f>
        <v>441696</v>
      </c>
      <c r="H838" s="90">
        <f>H837</f>
        <v>646</v>
      </c>
      <c r="I838" s="90">
        <f>I837</f>
        <v>82784</v>
      </c>
      <c r="J838" s="90">
        <f>J837</f>
        <v>424</v>
      </c>
      <c r="K838" s="90">
        <f>K837</f>
        <v>4441</v>
      </c>
      <c r="L838" s="90">
        <v>0</v>
      </c>
      <c r="M838" s="90">
        <f>M837</f>
        <v>766</v>
      </c>
      <c r="N838" s="90">
        <v>0</v>
      </c>
      <c r="O838" s="90">
        <v>0</v>
      </c>
      <c r="P838" s="90">
        <v>0</v>
      </c>
      <c r="Q838" s="90">
        <f t="shared" ref="Q838:V838" si="464">Q837</f>
        <v>19255</v>
      </c>
      <c r="R838" s="90">
        <f t="shared" si="464"/>
        <v>12</v>
      </c>
      <c r="S838" s="90">
        <f t="shared" si="464"/>
        <v>148</v>
      </c>
      <c r="T838" s="90">
        <f t="shared" si="464"/>
        <v>4</v>
      </c>
      <c r="U838" s="90">
        <f t="shared" si="464"/>
        <v>10</v>
      </c>
      <c r="V838" s="90">
        <f t="shared" si="464"/>
        <v>0</v>
      </c>
      <c r="W838" s="90">
        <v>0</v>
      </c>
      <c r="X838" s="94">
        <f t="shared" si="455"/>
        <v>550186</v>
      </c>
      <c r="Y838" s="87" t="str">
        <f t="shared" si="456"/>
        <v>ok</v>
      </c>
      <c r="Z838" s="91" t="str">
        <f t="shared" si="457"/>
        <v/>
      </c>
    </row>
    <row r="839" spans="1:26" ht="12" customHeight="1" x14ac:dyDescent="0.5">
      <c r="A839" s="86" t="s">
        <v>765</v>
      </c>
      <c r="D839" s="86" t="s">
        <v>904</v>
      </c>
      <c r="F839" s="90">
        <v>550646</v>
      </c>
      <c r="G839" s="90">
        <f>G837</f>
        <v>441696</v>
      </c>
      <c r="H839" s="90">
        <f>H837</f>
        <v>646</v>
      </c>
      <c r="I839" s="90">
        <f t="shared" ref="I839:N839" si="465">I837</f>
        <v>82784</v>
      </c>
      <c r="J839" s="90">
        <f t="shared" si="465"/>
        <v>424</v>
      </c>
      <c r="K839" s="90">
        <f t="shared" si="465"/>
        <v>4441</v>
      </c>
      <c r="L839" s="90">
        <f t="shared" si="465"/>
        <v>204</v>
      </c>
      <c r="M839" s="90">
        <f t="shared" si="465"/>
        <v>766</v>
      </c>
      <c r="N839" s="90">
        <f t="shared" si="465"/>
        <v>256</v>
      </c>
      <c r="O839" s="90">
        <v>0</v>
      </c>
      <c r="P839" s="90">
        <v>0</v>
      </c>
      <c r="Q839" s="90">
        <f t="shared" ref="Q839:V839" si="466">Q837</f>
        <v>19255</v>
      </c>
      <c r="R839" s="90">
        <f t="shared" si="466"/>
        <v>12</v>
      </c>
      <c r="S839" s="90">
        <f t="shared" si="466"/>
        <v>148</v>
      </c>
      <c r="T839" s="90">
        <f t="shared" si="466"/>
        <v>4</v>
      </c>
      <c r="U839" s="90">
        <f t="shared" si="466"/>
        <v>10</v>
      </c>
      <c r="V839" s="90">
        <f t="shared" si="466"/>
        <v>0</v>
      </c>
      <c r="W839" s="90">
        <v>0</v>
      </c>
      <c r="X839" s="94">
        <f t="shared" si="455"/>
        <v>550646</v>
      </c>
      <c r="Y839" s="87" t="str">
        <f t="shared" si="456"/>
        <v>ok</v>
      </c>
      <c r="Z839" s="91" t="str">
        <f t="shared" si="457"/>
        <v/>
      </c>
    </row>
    <row r="840" spans="1:26" ht="12" customHeight="1" x14ac:dyDescent="0.5">
      <c r="A840" s="86" t="s">
        <v>2175</v>
      </c>
      <c r="D840" s="86" t="s">
        <v>2176</v>
      </c>
      <c r="F840" s="90">
        <v>550186</v>
      </c>
      <c r="G840" s="90">
        <f>G838</f>
        <v>441696</v>
      </c>
      <c r="H840" s="90">
        <f>H838</f>
        <v>646</v>
      </c>
      <c r="I840" s="90">
        <f t="shared" ref="I840:V840" si="467">I838</f>
        <v>82784</v>
      </c>
      <c r="J840" s="90">
        <f t="shared" si="467"/>
        <v>424</v>
      </c>
      <c r="K840" s="90">
        <f t="shared" si="467"/>
        <v>4441</v>
      </c>
      <c r="L840" s="90">
        <f t="shared" si="467"/>
        <v>0</v>
      </c>
      <c r="M840" s="90">
        <f t="shared" si="467"/>
        <v>766</v>
      </c>
      <c r="N840" s="90">
        <f t="shared" si="467"/>
        <v>0</v>
      </c>
      <c r="O840" s="90">
        <f t="shared" si="467"/>
        <v>0</v>
      </c>
      <c r="P840" s="90">
        <f t="shared" si="467"/>
        <v>0</v>
      </c>
      <c r="Q840" s="90">
        <f t="shared" si="467"/>
        <v>19255</v>
      </c>
      <c r="R840" s="90">
        <f t="shared" si="467"/>
        <v>12</v>
      </c>
      <c r="S840" s="90">
        <f t="shared" si="467"/>
        <v>148</v>
      </c>
      <c r="T840" s="90">
        <f t="shared" si="467"/>
        <v>4</v>
      </c>
      <c r="U840" s="90">
        <f t="shared" si="467"/>
        <v>10</v>
      </c>
      <c r="V840" s="90">
        <f t="shared" si="467"/>
        <v>0</v>
      </c>
      <c r="W840" s="90">
        <v>0</v>
      </c>
      <c r="X840" s="94">
        <f t="shared" si="455"/>
        <v>550186</v>
      </c>
      <c r="Y840" s="87" t="str">
        <f t="shared" si="456"/>
        <v>ok</v>
      </c>
      <c r="Z840" s="91" t="str">
        <f t="shared" si="457"/>
        <v/>
      </c>
    </row>
    <row r="841" spans="1:26" ht="12" customHeight="1" x14ac:dyDescent="0.5">
      <c r="F841" s="221"/>
      <c r="G841" s="221"/>
      <c r="H841" s="221"/>
      <c r="I841" s="221"/>
      <c r="J841" s="221"/>
      <c r="K841" s="221"/>
      <c r="L841" s="221"/>
      <c r="M841" s="221"/>
      <c r="N841" s="221"/>
      <c r="O841" s="221"/>
      <c r="P841" s="221"/>
      <c r="Q841" s="221"/>
      <c r="R841" s="221"/>
      <c r="S841" s="221"/>
      <c r="T841" s="221"/>
      <c r="U841" s="221"/>
      <c r="V841" s="221"/>
      <c r="W841" s="221"/>
      <c r="Y841" s="222"/>
      <c r="Z841" s="98"/>
    </row>
    <row r="842" spans="1:26" ht="12" customHeight="1" x14ac:dyDescent="0.5">
      <c r="A842" s="288" t="s">
        <v>551</v>
      </c>
      <c r="F842" s="90"/>
      <c r="G842" s="90"/>
      <c r="H842" s="90"/>
      <c r="I842" s="90"/>
      <c r="J842" s="90"/>
      <c r="K842" s="90"/>
      <c r="L842" s="90"/>
      <c r="M842" s="90"/>
      <c r="N842" s="90"/>
      <c r="O842" s="90"/>
      <c r="P842" s="90"/>
      <c r="Q842" s="90"/>
      <c r="R842" s="221"/>
      <c r="S842" s="221"/>
      <c r="T842" s="221"/>
      <c r="U842" s="221"/>
      <c r="V842" s="90"/>
      <c r="W842" s="105"/>
      <c r="Y842" s="87"/>
    </row>
    <row r="843" spans="1:26" ht="12" customHeight="1" x14ac:dyDescent="0.5">
      <c r="A843" s="86" t="s">
        <v>2453</v>
      </c>
      <c r="F843" s="220">
        <v>705870.61038461537</v>
      </c>
      <c r="G843" s="220">
        <f>442137+130+3-H843</f>
        <v>434515</v>
      </c>
      <c r="H843" s="220">
        <f>H831</f>
        <v>7755</v>
      </c>
      <c r="I843" s="220">
        <v>82742.610384615371</v>
      </c>
      <c r="J843" s="220">
        <f>187+237</f>
        <v>424</v>
      </c>
      <c r="K843" s="220">
        <f>4442</f>
        <v>4442</v>
      </c>
      <c r="L843" s="220">
        <f>204</f>
        <v>204</v>
      </c>
      <c r="M843" s="220">
        <f>765</f>
        <v>765</v>
      </c>
      <c r="N843" s="220">
        <f>256</f>
        <v>256</v>
      </c>
      <c r="O843" s="220">
        <f>20</f>
        <v>20</v>
      </c>
      <c r="P843" s="220">
        <f>1</f>
        <v>1</v>
      </c>
      <c r="Q843" s="220">
        <f>Q832</f>
        <v>173293</v>
      </c>
      <c r="R843" s="220">
        <f>108</f>
        <v>108</v>
      </c>
      <c r="S843" s="220">
        <f>1331</f>
        <v>1331</v>
      </c>
      <c r="T843" s="220">
        <v>4</v>
      </c>
      <c r="U843" s="463">
        <f>10</f>
        <v>10</v>
      </c>
      <c r="V843" s="220">
        <f>V832</f>
        <v>0</v>
      </c>
      <c r="W843" s="90">
        <v>0</v>
      </c>
      <c r="X843" s="94">
        <f t="shared" ref="X843:X851" si="468">SUM(G843:W843)</f>
        <v>705870.61038461537</v>
      </c>
      <c r="Y843" s="87" t="str">
        <f t="shared" ref="Y843:Y851" si="469">IF(ABS(F843-X843)&lt;0.01,"ok","err")</f>
        <v>ok</v>
      </c>
      <c r="Z843" s="91" t="str">
        <f t="shared" ref="Z843:Z851" si="470">IF(Y843="err",X843-F843,"")</f>
        <v/>
      </c>
    </row>
    <row r="844" spans="1:26" ht="12" customHeight="1" x14ac:dyDescent="0.5">
      <c r="A844" s="86" t="s">
        <v>493</v>
      </c>
      <c r="F844" s="220">
        <v>705870.61038461537</v>
      </c>
      <c r="G844" s="220">
        <f>G843</f>
        <v>434515</v>
      </c>
      <c r="H844" s="220">
        <f>H843</f>
        <v>7755</v>
      </c>
      <c r="I844" s="220">
        <f>I843</f>
        <v>82742.610384615371</v>
      </c>
      <c r="J844" s="220">
        <f>J843</f>
        <v>424</v>
      </c>
      <c r="K844" s="220">
        <f t="shared" ref="K844:V844" si="471">K843</f>
        <v>4442</v>
      </c>
      <c r="L844" s="220">
        <f t="shared" si="471"/>
        <v>204</v>
      </c>
      <c r="M844" s="220">
        <f t="shared" si="471"/>
        <v>765</v>
      </c>
      <c r="N844" s="220">
        <f t="shared" si="471"/>
        <v>256</v>
      </c>
      <c r="O844" s="220">
        <f t="shared" si="471"/>
        <v>20</v>
      </c>
      <c r="P844" s="220">
        <f t="shared" si="471"/>
        <v>1</v>
      </c>
      <c r="Q844" s="220">
        <f t="shared" si="471"/>
        <v>173293</v>
      </c>
      <c r="R844" s="220">
        <f t="shared" si="471"/>
        <v>108</v>
      </c>
      <c r="S844" s="220">
        <f t="shared" si="471"/>
        <v>1331</v>
      </c>
      <c r="T844" s="220">
        <f t="shared" si="471"/>
        <v>4</v>
      </c>
      <c r="U844" s="463">
        <f t="shared" si="471"/>
        <v>10</v>
      </c>
      <c r="V844" s="220">
        <f t="shared" si="471"/>
        <v>0</v>
      </c>
      <c r="W844" s="90">
        <v>0</v>
      </c>
      <c r="X844" s="94">
        <f t="shared" si="468"/>
        <v>705870.61038461537</v>
      </c>
      <c r="Y844" s="87" t="str">
        <f t="shared" si="469"/>
        <v>ok</v>
      </c>
      <c r="Z844" s="91" t="str">
        <f t="shared" si="470"/>
        <v/>
      </c>
    </row>
    <row r="845" spans="1:26" ht="12" customHeight="1" x14ac:dyDescent="0.5">
      <c r="A845" s="86" t="s">
        <v>762</v>
      </c>
      <c r="D845" s="86" t="s">
        <v>2446</v>
      </c>
      <c r="F845" s="220">
        <v>680755</v>
      </c>
      <c r="G845" s="90">
        <f>ROUND(G844,0)</f>
        <v>434515</v>
      </c>
      <c r="H845" s="90">
        <f>ROUND(H844,0)</f>
        <v>7755</v>
      </c>
      <c r="I845" s="90">
        <f>ROUND(I844*2,0)</f>
        <v>165485</v>
      </c>
      <c r="J845" s="90">
        <f>ROUND(J844*10,0)</f>
        <v>4240</v>
      </c>
      <c r="K845" s="90">
        <f>ROUND(K844*5,0)</f>
        <v>22210</v>
      </c>
      <c r="L845" s="90">
        <f>ROUND(L844*5,0)</f>
        <v>1020</v>
      </c>
      <c r="M845" s="90">
        <f>ROUND(M844*25,0)</f>
        <v>19125</v>
      </c>
      <c r="N845" s="90">
        <f>ROUND(N844*25,0)</f>
        <v>6400</v>
      </c>
      <c r="O845" s="90">
        <f>ROUND(O844*25,0)</f>
        <v>500</v>
      </c>
      <c r="P845" s="90">
        <f>ROUND(P844*50,0)</f>
        <v>50</v>
      </c>
      <c r="Q845" s="90">
        <f>ROUND(Q844*1/9,0)</f>
        <v>19255</v>
      </c>
      <c r="R845" s="90">
        <f>ROUND(R844*1/9,0)</f>
        <v>12</v>
      </c>
      <c r="S845" s="90">
        <f>ROUND(S844*1/9,0)</f>
        <v>148</v>
      </c>
      <c r="T845" s="90">
        <f>ROUND(T844*5,0)</f>
        <v>20</v>
      </c>
      <c r="U845" s="464">
        <f>ROUND(U844*2,0)</f>
        <v>20</v>
      </c>
      <c r="V845" s="90">
        <f>ROUND(V844*2,0)</f>
        <v>0</v>
      </c>
      <c r="W845" s="90">
        <v>0</v>
      </c>
      <c r="X845" s="94">
        <f t="shared" si="468"/>
        <v>680755</v>
      </c>
      <c r="Y845" s="87" t="str">
        <f t="shared" si="469"/>
        <v>ok</v>
      </c>
      <c r="Z845" s="91" t="str">
        <f t="shared" si="470"/>
        <v/>
      </c>
    </row>
    <row r="846" spans="1:26" ht="12" customHeight="1" x14ac:dyDescent="0.5">
      <c r="A846" s="86" t="s">
        <v>385</v>
      </c>
      <c r="D846" s="86" t="s">
        <v>2447</v>
      </c>
      <c r="F846" s="220">
        <v>143087299.06384519</v>
      </c>
      <c r="G846" s="220">
        <v>0</v>
      </c>
      <c r="H846" s="220">
        <v>0</v>
      </c>
      <c r="I846" s="220">
        <v>0</v>
      </c>
      <c r="J846" s="220">
        <v>0</v>
      </c>
      <c r="K846" s="220">
        <v>0</v>
      </c>
      <c r="L846" s="220">
        <v>0</v>
      </c>
      <c r="M846" s="220">
        <v>0</v>
      </c>
      <c r="N846" s="220">
        <v>0</v>
      </c>
      <c r="O846" s="220">
        <v>0</v>
      </c>
      <c r="P846" s="220">
        <v>0</v>
      </c>
      <c r="Q846" s="220">
        <f>Q835</f>
        <v>143087299.06384519</v>
      </c>
      <c r="R846" s="220">
        <v>0</v>
      </c>
      <c r="S846" s="220">
        <v>0</v>
      </c>
      <c r="T846" s="220">
        <v>0</v>
      </c>
      <c r="U846" s="463">
        <v>0</v>
      </c>
      <c r="V846" s="220">
        <v>0</v>
      </c>
      <c r="W846" s="90">
        <v>0</v>
      </c>
      <c r="X846" s="94">
        <f t="shared" si="468"/>
        <v>143087299.06384519</v>
      </c>
      <c r="Y846" s="87" t="str">
        <f t="shared" si="469"/>
        <v>ok</v>
      </c>
      <c r="Z846" s="91" t="str">
        <f t="shared" si="470"/>
        <v/>
      </c>
    </row>
    <row r="847" spans="1:26" ht="12" customHeight="1" x14ac:dyDescent="0.5">
      <c r="A847" s="86" t="s">
        <v>849</v>
      </c>
      <c r="D847" s="86" t="s">
        <v>2448</v>
      </c>
      <c r="F847" s="220">
        <v>705870.61038461537</v>
      </c>
      <c r="G847" s="220">
        <f>G843</f>
        <v>434515</v>
      </c>
      <c r="H847" s="220">
        <f>H843</f>
        <v>7755</v>
      </c>
      <c r="I847" s="220">
        <f>I843</f>
        <v>82742.610384615371</v>
      </c>
      <c r="J847" s="220">
        <f>J836</f>
        <v>424</v>
      </c>
      <c r="K847" s="220">
        <f t="shared" ref="K847:U847" si="472">K843</f>
        <v>4442</v>
      </c>
      <c r="L847" s="220">
        <f t="shared" si="472"/>
        <v>204</v>
      </c>
      <c r="M847" s="220">
        <f t="shared" si="472"/>
        <v>765</v>
      </c>
      <c r="N847" s="220">
        <f t="shared" si="472"/>
        <v>256</v>
      </c>
      <c r="O847" s="220">
        <f t="shared" si="472"/>
        <v>20</v>
      </c>
      <c r="P847" s="220">
        <f t="shared" si="472"/>
        <v>1</v>
      </c>
      <c r="Q847" s="220">
        <f t="shared" si="472"/>
        <v>173293</v>
      </c>
      <c r="R847" s="220">
        <f t="shared" si="472"/>
        <v>108</v>
      </c>
      <c r="S847" s="220">
        <f t="shared" si="472"/>
        <v>1331</v>
      </c>
      <c r="T847" s="220">
        <f t="shared" si="472"/>
        <v>4</v>
      </c>
      <c r="U847" s="463">
        <f t="shared" si="472"/>
        <v>10</v>
      </c>
      <c r="V847" s="220">
        <f>V836</f>
        <v>0</v>
      </c>
      <c r="W847" s="90">
        <v>0</v>
      </c>
      <c r="X847" s="94">
        <f t="shared" si="468"/>
        <v>705870.61038461537</v>
      </c>
      <c r="Y847" s="87" t="str">
        <f t="shared" si="469"/>
        <v>ok</v>
      </c>
      <c r="Z847" s="91" t="str">
        <f t="shared" si="470"/>
        <v/>
      </c>
    </row>
    <row r="848" spans="1:26" ht="12" customHeight="1" x14ac:dyDescent="0.5">
      <c r="A848" s="86" t="s">
        <v>763</v>
      </c>
      <c r="D848" s="86" t="s">
        <v>2449</v>
      </c>
      <c r="F848" s="220">
        <v>550553.38816239312</v>
      </c>
      <c r="G848" s="220">
        <f>G843</f>
        <v>434515</v>
      </c>
      <c r="H848" s="220">
        <f>H843</f>
        <v>7755</v>
      </c>
      <c r="I848" s="220">
        <f>I843</f>
        <v>82742.610384615371</v>
      </c>
      <c r="J848" s="220">
        <f>J837</f>
        <v>424</v>
      </c>
      <c r="K848" s="220">
        <f t="shared" ref="K848:P848" si="473">K843</f>
        <v>4442</v>
      </c>
      <c r="L848" s="220">
        <f t="shared" si="473"/>
        <v>204</v>
      </c>
      <c r="M848" s="220">
        <f t="shared" si="473"/>
        <v>765</v>
      </c>
      <c r="N848" s="220">
        <f t="shared" si="473"/>
        <v>256</v>
      </c>
      <c r="O848" s="220">
        <f t="shared" si="473"/>
        <v>20</v>
      </c>
      <c r="P848" s="220">
        <f t="shared" si="473"/>
        <v>1</v>
      </c>
      <c r="Q848" s="220">
        <f>Q847/9</f>
        <v>19254.777777777777</v>
      </c>
      <c r="R848" s="220">
        <f>R845</f>
        <v>12</v>
      </c>
      <c r="S848" s="220">
        <f>S845</f>
        <v>148</v>
      </c>
      <c r="T848" s="220">
        <f>T843</f>
        <v>4</v>
      </c>
      <c r="U848" s="463">
        <f>U843</f>
        <v>10</v>
      </c>
      <c r="V848" s="220">
        <f>V837</f>
        <v>0</v>
      </c>
      <c r="W848" s="90">
        <v>0</v>
      </c>
      <c r="X848" s="94">
        <f t="shared" si="468"/>
        <v>550553.38816239312</v>
      </c>
      <c r="Y848" s="87" t="str">
        <f t="shared" si="469"/>
        <v>ok</v>
      </c>
      <c r="Z848" s="91" t="str">
        <f t="shared" si="470"/>
        <v/>
      </c>
    </row>
    <row r="849" spans="1:26" ht="12" customHeight="1" x14ac:dyDescent="0.5">
      <c r="A849" s="86" t="s">
        <v>764</v>
      </c>
      <c r="D849" s="86" t="s">
        <v>2450</v>
      </c>
      <c r="F849" s="220">
        <v>544871.38816239312</v>
      </c>
      <c r="G849" s="220">
        <f>G843</f>
        <v>434515</v>
      </c>
      <c r="H849" s="220">
        <f>H843</f>
        <v>7755</v>
      </c>
      <c r="I849" s="220">
        <f>I843</f>
        <v>82742.610384615371</v>
      </c>
      <c r="J849" s="220">
        <f>J838</f>
        <v>424</v>
      </c>
      <c r="K849" s="220">
        <v>0</v>
      </c>
      <c r="L849" s="220">
        <v>0</v>
      </c>
      <c r="M849" s="220">
        <v>0</v>
      </c>
      <c r="N849" s="220">
        <v>0</v>
      </c>
      <c r="O849" s="220">
        <v>0</v>
      </c>
      <c r="P849" s="220">
        <v>0</v>
      </c>
      <c r="Q849" s="220">
        <f>Q848</f>
        <v>19254.777777777777</v>
      </c>
      <c r="R849" s="220">
        <f>R845</f>
        <v>12</v>
      </c>
      <c r="S849" s="220">
        <f>S845</f>
        <v>148</v>
      </c>
      <c r="T849" s="220">
        <v>0</v>
      </c>
      <c r="U849" s="463">
        <f>U845</f>
        <v>20</v>
      </c>
      <c r="V849" s="220">
        <f>V838</f>
        <v>0</v>
      </c>
      <c r="W849" s="90">
        <v>0</v>
      </c>
      <c r="X849" s="94">
        <f t="shared" si="468"/>
        <v>544871.38816239312</v>
      </c>
      <c r="Y849" s="87" t="str">
        <f t="shared" si="469"/>
        <v>ok</v>
      </c>
      <c r="Z849" s="91" t="str">
        <f t="shared" si="470"/>
        <v/>
      </c>
    </row>
    <row r="850" spans="1:26" ht="12" customHeight="1" x14ac:dyDescent="0.5">
      <c r="A850" s="86" t="s">
        <v>765</v>
      </c>
      <c r="D850" s="86" t="s">
        <v>2451</v>
      </c>
      <c r="F850" s="220">
        <v>550532.38816239312</v>
      </c>
      <c r="G850" s="220">
        <f>G843</f>
        <v>434515</v>
      </c>
      <c r="H850" s="220">
        <f>H843</f>
        <v>7755</v>
      </c>
      <c r="I850" s="220">
        <f>I843</f>
        <v>82742.610384615371</v>
      </c>
      <c r="J850" s="220">
        <f>J839</f>
        <v>424</v>
      </c>
      <c r="K850" s="220">
        <f>K843</f>
        <v>4442</v>
      </c>
      <c r="L850" s="220">
        <f>L844</f>
        <v>204</v>
      </c>
      <c r="M850" s="220">
        <f>M843</f>
        <v>765</v>
      </c>
      <c r="N850" s="220">
        <f>N843</f>
        <v>256</v>
      </c>
      <c r="O850" s="220">
        <v>0</v>
      </c>
      <c r="P850" s="220">
        <v>0</v>
      </c>
      <c r="Q850" s="220">
        <f>Q848</f>
        <v>19254.777777777777</v>
      </c>
      <c r="R850" s="220">
        <f>R845</f>
        <v>12</v>
      </c>
      <c r="S850" s="220">
        <f>S845</f>
        <v>148</v>
      </c>
      <c r="T850" s="220">
        <f>T843</f>
        <v>4</v>
      </c>
      <c r="U850" s="463">
        <f>U843</f>
        <v>10</v>
      </c>
      <c r="V850" s="220">
        <f>V839</f>
        <v>0</v>
      </c>
      <c r="W850" s="90">
        <v>0</v>
      </c>
      <c r="X850" s="94">
        <f t="shared" si="468"/>
        <v>550532.38816239312</v>
      </c>
      <c r="Y850" s="87" t="str">
        <f t="shared" si="469"/>
        <v>ok</v>
      </c>
      <c r="Z850" s="91" t="str">
        <f t="shared" si="470"/>
        <v/>
      </c>
    </row>
    <row r="851" spans="1:26" ht="12" customHeight="1" x14ac:dyDescent="0.5">
      <c r="A851" s="86" t="s">
        <v>2175</v>
      </c>
      <c r="D851" s="86" t="s">
        <v>2452</v>
      </c>
      <c r="F851" s="90">
        <v>550072.38816239312</v>
      </c>
      <c r="G851" s="90">
        <f>G843</f>
        <v>434515</v>
      </c>
      <c r="H851" s="90">
        <f>H843</f>
        <v>7755</v>
      </c>
      <c r="I851" s="90">
        <f>I843</f>
        <v>82742.610384615371</v>
      </c>
      <c r="J851" s="90">
        <f>J840</f>
        <v>424</v>
      </c>
      <c r="K851" s="90">
        <f>K843</f>
        <v>4442</v>
      </c>
      <c r="L851" s="90">
        <v>0</v>
      </c>
      <c r="M851" s="90">
        <f>M843</f>
        <v>765</v>
      </c>
      <c r="N851" s="90">
        <v>0</v>
      </c>
      <c r="O851" s="90">
        <v>0</v>
      </c>
      <c r="P851" s="90">
        <v>0</v>
      </c>
      <c r="Q851" s="90">
        <f>Q848</f>
        <v>19254.777777777777</v>
      </c>
      <c r="R851" s="90">
        <f>R845</f>
        <v>12</v>
      </c>
      <c r="S851" s="90">
        <f>S845</f>
        <v>148</v>
      </c>
      <c r="T851" s="90">
        <f>T843</f>
        <v>4</v>
      </c>
      <c r="U851" s="464">
        <f>U843</f>
        <v>10</v>
      </c>
      <c r="V851" s="90">
        <f>V840</f>
        <v>0</v>
      </c>
      <c r="W851" s="90">
        <v>0</v>
      </c>
      <c r="X851" s="94">
        <f t="shared" si="468"/>
        <v>550072.38816239312</v>
      </c>
      <c r="Y851" s="87" t="str">
        <f t="shared" si="469"/>
        <v>ok</v>
      </c>
      <c r="Z851" s="91" t="str">
        <f t="shared" si="470"/>
        <v/>
      </c>
    </row>
    <row r="852" spans="1:26" ht="12" customHeight="1" x14ac:dyDescent="0.5">
      <c r="F852" s="90"/>
      <c r="G852" s="90"/>
      <c r="H852" s="90"/>
      <c r="I852" s="90"/>
      <c r="J852" s="90"/>
      <c r="K852" s="90"/>
      <c r="L852" s="90"/>
      <c r="M852" s="90"/>
      <c r="N852" s="90"/>
      <c r="O852" s="90"/>
      <c r="P852" s="90"/>
      <c r="Q852" s="90"/>
      <c r="R852" s="90"/>
      <c r="S852" s="90"/>
      <c r="T852" s="90"/>
      <c r="U852" s="94"/>
      <c r="V852" s="94"/>
      <c r="W852" s="90"/>
      <c r="Y852" s="87"/>
    </row>
    <row r="853" spans="1:26" ht="12" customHeight="1" x14ac:dyDescent="0.5">
      <c r="A853" s="22" t="s">
        <v>766</v>
      </c>
    </row>
    <row r="854" spans="1:26" ht="12" customHeight="1" x14ac:dyDescent="0.5">
      <c r="A854" s="86" t="s">
        <v>2251</v>
      </c>
      <c r="D854" s="86" t="s">
        <v>2248</v>
      </c>
      <c r="F854" s="90">
        <f>'Billing Det'!F41</f>
        <v>4395336.8008682849</v>
      </c>
      <c r="G854" s="90">
        <f>'Billing Det'!F8</f>
        <v>1938073.4555977816</v>
      </c>
      <c r="H854" s="90">
        <f>'Billing Det'!F10</f>
        <v>6226.5405145583227</v>
      </c>
      <c r="I854" s="90">
        <f>'Billing Det'!F12</f>
        <v>498640.93691638455</v>
      </c>
      <c r="J854" s="90">
        <f>'Billing Det'!F14</f>
        <v>51033.053505076692</v>
      </c>
      <c r="K854" s="90">
        <f>'Billing Det'!F16</f>
        <v>444831.27870906284</v>
      </c>
      <c r="L854" s="90">
        <f>'Billing Det'!F18</f>
        <v>19114.763124868594</v>
      </c>
      <c r="M854" s="90">
        <f>'Billing Det'!F20</f>
        <v>393526.60100076534</v>
      </c>
      <c r="N854" s="90">
        <f>'Billing Det'!F22</f>
        <v>640911.13921073684</v>
      </c>
      <c r="O854" s="90">
        <f>'Billing Det'!F24</f>
        <v>222254.12773437682</v>
      </c>
      <c r="P854" s="90">
        <f>'Billing Det'!F26</f>
        <v>148927.31322082225</v>
      </c>
      <c r="Q854" s="90">
        <f>'Billing Det'!F28</f>
        <v>29995.599539766878</v>
      </c>
      <c r="R854" s="90">
        <f>'Billing Det'!F30</f>
        <v>1091.3322415009927</v>
      </c>
      <c r="S854" s="90">
        <f>'Billing Det'!F32</f>
        <v>294.03156148068956</v>
      </c>
      <c r="T854" s="90">
        <f>'Billing Det'!F34</f>
        <v>414.04436710277866</v>
      </c>
      <c r="U854" s="90">
        <f>'Billing Det'!F36</f>
        <v>2.5836240000000004</v>
      </c>
      <c r="V854" s="90">
        <f>'Billing Det'!F38</f>
        <v>0</v>
      </c>
      <c r="W854" s="90">
        <v>0</v>
      </c>
      <c r="X854" s="94">
        <f>SUM(G854:W854)</f>
        <v>4395336.8008682849</v>
      </c>
      <c r="Y854" s="87" t="str">
        <f>IF(ABS(F854-X854)&lt;0.01,"ok","err")</f>
        <v>ok</v>
      </c>
      <c r="Z854" s="91" t="str">
        <f>IF(Y854="err",X854-F854,"")</f>
        <v/>
      </c>
    </row>
    <row r="855" spans="1:26" ht="12" customHeight="1" x14ac:dyDescent="0.5">
      <c r="A855" s="86" t="s">
        <v>2250</v>
      </c>
      <c r="D855" s="86" t="s">
        <v>2252</v>
      </c>
      <c r="F855" s="90">
        <v>4024155.359913087</v>
      </c>
      <c r="G855" s="90">
        <f>G854</f>
        <v>1938073.4555977816</v>
      </c>
      <c r="H855" s="90">
        <f>H854</f>
        <v>6226.5405145583227</v>
      </c>
      <c r="I855" s="90">
        <f t="shared" ref="I855:N855" si="474">I854</f>
        <v>498640.93691638455</v>
      </c>
      <c r="J855" s="90">
        <f t="shared" si="474"/>
        <v>51033.053505076692</v>
      </c>
      <c r="K855" s="90">
        <f t="shared" si="474"/>
        <v>444831.27870906284</v>
      </c>
      <c r="L855" s="90">
        <f t="shared" si="474"/>
        <v>19114.763124868594</v>
      </c>
      <c r="M855" s="90">
        <f t="shared" si="474"/>
        <v>393526.60100076534</v>
      </c>
      <c r="N855" s="90">
        <f t="shared" si="474"/>
        <v>640911.13921073684</v>
      </c>
      <c r="O855" s="90">
        <v>0</v>
      </c>
      <c r="P855" s="90">
        <v>0</v>
      </c>
      <c r="Q855" s="90">
        <f t="shared" ref="Q855:V855" si="475">Q854</f>
        <v>29995.599539766878</v>
      </c>
      <c r="R855" s="90">
        <f t="shared" si="475"/>
        <v>1091.3322415009927</v>
      </c>
      <c r="S855" s="90">
        <f t="shared" si="475"/>
        <v>294.03156148068956</v>
      </c>
      <c r="T855" s="90">
        <f t="shared" si="475"/>
        <v>414.04436710277866</v>
      </c>
      <c r="U855" s="90">
        <f t="shared" si="475"/>
        <v>2.5836240000000004</v>
      </c>
      <c r="V855" s="90">
        <f t="shared" si="475"/>
        <v>0</v>
      </c>
      <c r="W855" s="90">
        <v>0</v>
      </c>
      <c r="X855" s="94">
        <f>SUM(G855:W855)</f>
        <v>4024155.359913087</v>
      </c>
      <c r="Y855" s="87" t="str">
        <f>IF(ABS(F855-X855)&lt;0.01,"ok","err")</f>
        <v>ok</v>
      </c>
      <c r="Z855" s="91" t="str">
        <f>IF(Y855="err",X855-F855,"")</f>
        <v/>
      </c>
    </row>
    <row r="856" spans="1:26" ht="12" customHeight="1" x14ac:dyDescent="0.5">
      <c r="A856" s="86" t="s">
        <v>2249</v>
      </c>
      <c r="D856" s="86" t="s">
        <v>2177</v>
      </c>
      <c r="F856" s="90">
        <v>6317107.6163463537</v>
      </c>
      <c r="G856" s="90">
        <f>'Billing Det'!G8</f>
        <v>4306026.4117211783</v>
      </c>
      <c r="H856" s="90">
        <f>'Billing Det'!G10</f>
        <v>12948.562385265441</v>
      </c>
      <c r="I856" s="90">
        <f>'Billing Det'!G12</f>
        <v>805142.80538294511</v>
      </c>
      <c r="J856" s="90">
        <f>'Billing Det'!G14</f>
        <v>58360.99794267011</v>
      </c>
      <c r="K856" s="90">
        <f>'Billing Det'!G16</f>
        <v>594859.36407179828</v>
      </c>
      <c r="L856" s="90">
        <v>0</v>
      </c>
      <c r="M856" s="90">
        <f>'Billing Det'!G20</f>
        <v>507680.84211596829</v>
      </c>
      <c r="N856" s="90">
        <v>0</v>
      </c>
      <c r="O856" s="90">
        <v>0</v>
      </c>
      <c r="P856" s="90">
        <v>0</v>
      </c>
      <c r="Q856" s="90">
        <f>'Billing Det'!G28</f>
        <v>29995.599539766878</v>
      </c>
      <c r="R856" s="90">
        <f>'Billing Det'!G30</f>
        <v>1091.3322415009927</v>
      </c>
      <c r="S856" s="90">
        <f>'Billing Det'!G32</f>
        <v>294.03156148068956</v>
      </c>
      <c r="T856" s="90">
        <f>'Billing Det'!G34</f>
        <v>705.08575977897306</v>
      </c>
      <c r="U856" s="90">
        <f>'Billing Det'!G36</f>
        <v>2.5836240000000004</v>
      </c>
      <c r="V856" s="90">
        <f>'Billing Det'!G38</f>
        <v>0</v>
      </c>
      <c r="W856" s="90">
        <v>0</v>
      </c>
      <c r="X856" s="94">
        <f>SUM(G856:W856)</f>
        <v>6317107.6163463537</v>
      </c>
      <c r="Y856" s="87" t="str">
        <f>IF(ABS(F856-X856)&lt;0.01,"ok","err")</f>
        <v>ok</v>
      </c>
      <c r="Z856" s="91" t="str">
        <f>IF(Y856="err",X856-F856,"")</f>
        <v/>
      </c>
    </row>
    <row r="857" spans="1:26" ht="12" customHeight="1" x14ac:dyDescent="0.5">
      <c r="A857" s="86" t="s">
        <v>734</v>
      </c>
      <c r="D857" s="86" t="s">
        <v>733</v>
      </c>
      <c r="F857" s="90">
        <v>5213862.3243988072</v>
      </c>
      <c r="G857" s="90">
        <f>G856</f>
        <v>4306026.4117211783</v>
      </c>
      <c r="H857" s="90">
        <f>H856</f>
        <v>12948.562385265441</v>
      </c>
      <c r="I857" s="90">
        <f>I856</f>
        <v>805142.80538294511</v>
      </c>
      <c r="J857" s="90">
        <f>J856</f>
        <v>58360.99794267011</v>
      </c>
      <c r="K857" s="90">
        <v>0</v>
      </c>
      <c r="L857" s="90">
        <v>0</v>
      </c>
      <c r="M857" s="90">
        <v>0</v>
      </c>
      <c r="N857" s="90">
        <v>0</v>
      </c>
      <c r="O857" s="90">
        <v>0</v>
      </c>
      <c r="P857" s="90">
        <v>0</v>
      </c>
      <c r="Q857" s="90">
        <f>Q856</f>
        <v>29995.599539766878</v>
      </c>
      <c r="R857" s="90">
        <f>R856</f>
        <v>1091.3322415009927</v>
      </c>
      <c r="S857" s="90">
        <f>S856</f>
        <v>294.03156148068956</v>
      </c>
      <c r="T857" s="90">
        <v>0</v>
      </c>
      <c r="U857" s="90">
        <f>U856</f>
        <v>2.5836240000000004</v>
      </c>
      <c r="V857" s="90">
        <f>V856</f>
        <v>0</v>
      </c>
      <c r="W857" s="90">
        <v>0</v>
      </c>
      <c r="X857" s="94">
        <f>SUM(G857:W857)</f>
        <v>5213862.3243988072</v>
      </c>
      <c r="Y857" s="87" t="str">
        <f>IF(ABS(F857-X857)&lt;0.01,"ok","err")</f>
        <v>ok</v>
      </c>
      <c r="Z857" s="91" t="str">
        <f>IF(Y857="err",X857-F857,"")</f>
        <v/>
      </c>
    </row>
    <row r="858" spans="1:26" ht="12" customHeight="1" x14ac:dyDescent="0.5">
      <c r="A858" s="86" t="s">
        <v>2350</v>
      </c>
      <c r="D858" s="86" t="s">
        <v>2272</v>
      </c>
      <c r="F858" s="90">
        <f>'Billing Det'!E41</f>
        <v>2463594.9027471254</v>
      </c>
      <c r="G858" s="90">
        <f>'Billing Det'!E8</f>
        <v>1010009.7690536255</v>
      </c>
      <c r="H858" s="90">
        <f>'Billing Det'!E10</f>
        <v>1031.482039309476</v>
      </c>
      <c r="I858" s="90">
        <f>'Billing Det'!E12</f>
        <v>272317.21231124201</v>
      </c>
      <c r="J858" s="90">
        <f>'Billing Det'!E14</f>
        <v>17473.851647119453</v>
      </c>
      <c r="K858" s="90">
        <f>'Billing Det'!E16</f>
        <v>253946.70088653482</v>
      </c>
      <c r="L858" s="90">
        <f>'Billing Det'!E18</f>
        <v>11032.760543498471</v>
      </c>
      <c r="M858" s="90">
        <f>'Billing Det'!E20</f>
        <v>244227.26935782068</v>
      </c>
      <c r="N858" s="90">
        <f>'Billing Det'!E22</f>
        <v>447085.04602882155</v>
      </c>
      <c r="O858" s="90">
        <f>'Billing Det'!E24</f>
        <v>145532.91289106099</v>
      </c>
      <c r="P858" s="90">
        <f>'Billing Det'!E26</f>
        <v>60264.978990539406</v>
      </c>
      <c r="Q858" s="90">
        <f>'Billing Det'!E28</f>
        <v>392.81061927535228</v>
      </c>
      <c r="R858" s="90">
        <f>'Billing Det'!E30</f>
        <v>14.291659449941212</v>
      </c>
      <c r="S858" s="90">
        <f>'Billing Det'!E32</f>
        <v>233.70122555804252</v>
      </c>
      <c r="T858" s="90">
        <f>'Billing Det'!E34</f>
        <v>30.081348263269305</v>
      </c>
      <c r="U858" s="90">
        <f>'Billing Det'!E36</f>
        <v>2.0341450058514727</v>
      </c>
      <c r="V858" s="90">
        <f>'Billing Det'!E38</f>
        <v>0</v>
      </c>
      <c r="W858" s="90">
        <v>0</v>
      </c>
      <c r="X858" s="94">
        <f>SUM(G858:W858)</f>
        <v>2463594.9027471254</v>
      </c>
      <c r="Y858" s="87" t="str">
        <f>IF(ABS(F858-X858)&lt;0.01,"ok","err")</f>
        <v>ok</v>
      </c>
      <c r="Z858" s="91" t="str">
        <f>IF(Y858="err",X858-F858,"")</f>
        <v/>
      </c>
    </row>
    <row r="859" spans="1:26" ht="12" customHeight="1" x14ac:dyDescent="0.5">
      <c r="F859" s="90"/>
      <c r="G859" s="90"/>
      <c r="H859" s="90"/>
      <c r="I859" s="90"/>
      <c r="J859" s="90"/>
      <c r="K859" s="90"/>
      <c r="L859" s="90"/>
      <c r="M859" s="90"/>
      <c r="N859" s="90"/>
      <c r="O859" s="90"/>
      <c r="P859" s="90"/>
      <c r="Q859" s="90"/>
      <c r="R859" s="90"/>
      <c r="S859" s="90"/>
      <c r="T859" s="90"/>
      <c r="U859" s="90"/>
      <c r="V859" s="90"/>
      <c r="W859" s="90"/>
      <c r="Y859" s="87"/>
      <c r="Z859" s="91"/>
    </row>
    <row r="860" spans="1:26" ht="12" customHeight="1" x14ac:dyDescent="0.5">
      <c r="A860" s="81" t="s">
        <v>2416</v>
      </c>
      <c r="F860" s="107"/>
      <c r="G860" s="106"/>
      <c r="H860" s="106"/>
      <c r="I860" s="106"/>
      <c r="J860" s="106"/>
      <c r="K860" s="106"/>
      <c r="L860" s="106"/>
      <c r="M860" s="106"/>
      <c r="N860" s="106"/>
      <c r="O860" s="106"/>
      <c r="P860" s="106"/>
      <c r="Q860" s="106"/>
      <c r="R860" s="106"/>
      <c r="S860" s="106"/>
      <c r="T860" s="106"/>
      <c r="U860" s="106"/>
      <c r="V860" s="106"/>
      <c r="W860" s="106"/>
      <c r="Y860" s="87"/>
    </row>
    <row r="861" spans="1:26" ht="12" customHeight="1" x14ac:dyDescent="0.5">
      <c r="A861" s="86" t="s">
        <v>2370</v>
      </c>
      <c r="D861" s="86" t="s">
        <v>2362</v>
      </c>
      <c r="F861" s="90">
        <f>F858</f>
        <v>2463594.9027471254</v>
      </c>
      <c r="G861" s="90">
        <f>G858</f>
        <v>1010009.7690536255</v>
      </c>
      <c r="H861" s="90">
        <f>H858</f>
        <v>1031.482039309476</v>
      </c>
      <c r="I861" s="90">
        <f t="shared" ref="I861:W861" si="476">I858</f>
        <v>272317.21231124201</v>
      </c>
      <c r="J861" s="90">
        <f t="shared" si="476"/>
        <v>17473.851647119453</v>
      </c>
      <c r="K861" s="90">
        <f t="shared" si="476"/>
        <v>253946.70088653482</v>
      </c>
      <c r="L861" s="90">
        <f t="shared" si="476"/>
        <v>11032.760543498471</v>
      </c>
      <c r="M861" s="90">
        <f t="shared" si="476"/>
        <v>244227.26935782068</v>
      </c>
      <c r="N861" s="90">
        <f t="shared" si="476"/>
        <v>447085.04602882155</v>
      </c>
      <c r="O861" s="90">
        <f t="shared" si="476"/>
        <v>145532.91289106099</v>
      </c>
      <c r="P861" s="90">
        <f t="shared" si="476"/>
        <v>60264.978990539406</v>
      </c>
      <c r="Q861" s="90">
        <f t="shared" si="476"/>
        <v>392.81061927535228</v>
      </c>
      <c r="R861" s="90">
        <f t="shared" si="476"/>
        <v>14.291659449941212</v>
      </c>
      <c r="S861" s="90">
        <f t="shared" si="476"/>
        <v>233.70122555804252</v>
      </c>
      <c r="T861" s="90">
        <f t="shared" si="476"/>
        <v>30.081348263269305</v>
      </c>
      <c r="U861" s="90">
        <f t="shared" si="476"/>
        <v>2.0341450058514727</v>
      </c>
      <c r="V861" s="90">
        <f t="shared" si="476"/>
        <v>0</v>
      </c>
      <c r="W861" s="90">
        <f t="shared" si="476"/>
        <v>0</v>
      </c>
      <c r="X861" s="94">
        <f>SUM(G861:W861)</f>
        <v>2463594.9027471254</v>
      </c>
      <c r="Y861" s="87" t="str">
        <f t="shared" ref="Y861:Y866" si="477">IF(ABS(F861-X861)&lt;0.01,"ok","err")</f>
        <v>ok</v>
      </c>
      <c r="Z861" s="91" t="str">
        <f t="shared" ref="Z861:Z866" si="478">IF(Y861="err",X861-F861,"")</f>
        <v/>
      </c>
    </row>
    <row r="862" spans="1:26" ht="12" customHeight="1" x14ac:dyDescent="0.5">
      <c r="A862" s="86" t="s">
        <v>2371</v>
      </c>
      <c r="F862" s="91">
        <f>F8</f>
        <v>6073014122.7946768</v>
      </c>
      <c r="G862" s="90"/>
      <c r="H862" s="90"/>
      <c r="I862" s="90"/>
      <c r="J862" s="90"/>
      <c r="K862" s="90"/>
      <c r="L862" s="90"/>
      <c r="M862" s="90"/>
      <c r="N862" s="90"/>
      <c r="O862" s="90"/>
      <c r="P862" s="90"/>
      <c r="Q862" s="90"/>
      <c r="R862" s="90"/>
      <c r="S862" s="90"/>
      <c r="T862" s="90"/>
      <c r="U862" s="90"/>
      <c r="V862" s="90"/>
      <c r="W862" s="90">
        <f>W859</f>
        <v>0</v>
      </c>
      <c r="X862" s="94">
        <f>F862</f>
        <v>6073014122.7946768</v>
      </c>
      <c r="Y862" s="87" t="str">
        <f t="shared" si="477"/>
        <v>ok</v>
      </c>
      <c r="Z862" s="91" t="str">
        <f t="shared" si="478"/>
        <v/>
      </c>
    </row>
    <row r="863" spans="1:26" ht="12" customHeight="1" x14ac:dyDescent="0.5">
      <c r="A863" s="86" t="s">
        <v>848</v>
      </c>
      <c r="F863" s="91">
        <v>3728601.1500000004</v>
      </c>
      <c r="G863" s="91"/>
      <c r="H863" s="91"/>
      <c r="I863" s="91"/>
      <c r="J863" s="91"/>
      <c r="K863" s="91"/>
      <c r="L863" s="91"/>
      <c r="M863" s="91"/>
      <c r="N863" s="91"/>
      <c r="O863" s="91"/>
      <c r="P863" s="91"/>
      <c r="Q863" s="91"/>
      <c r="R863" s="91"/>
      <c r="S863" s="91"/>
      <c r="T863" s="91"/>
      <c r="U863" s="91"/>
      <c r="V863" s="91">
        <f>2795756.74+529301.18</f>
        <v>3325057.9200000004</v>
      </c>
      <c r="W863" s="91">
        <f>403543.23</f>
        <v>403543.23</v>
      </c>
      <c r="X863" s="94">
        <f>SUM(G863:W863)</f>
        <v>3728601.1500000004</v>
      </c>
      <c r="Y863" s="87" t="str">
        <f t="shared" si="477"/>
        <v>ok</v>
      </c>
      <c r="Z863" s="91" t="str">
        <f t="shared" si="478"/>
        <v/>
      </c>
    </row>
    <row r="864" spans="1:26" ht="12" customHeight="1" x14ac:dyDescent="0.5">
      <c r="A864" s="86" t="s">
        <v>2372</v>
      </c>
      <c r="E864" s="86" t="s">
        <v>2362</v>
      </c>
      <c r="F864" s="91">
        <f>F862-F863</f>
        <v>6069285521.6446772</v>
      </c>
      <c r="G864" s="89">
        <f t="shared" ref="G864:W864" si="479">IF(VLOOKUP($E864,$D$5:$AK$998,3,)=0,0,(VLOOKUP($E864,$D$5:$AK$998,G$1,)/VLOOKUP($E864,$D$5:$AK$998,3,))*$F864)</f>
        <v>2488249046.62748</v>
      </c>
      <c r="H864" s="89">
        <f t="shared" si="479"/>
        <v>2541147.8973416761</v>
      </c>
      <c r="I864" s="89">
        <f t="shared" si="479"/>
        <v>670877712.94390798</v>
      </c>
      <c r="J864" s="89">
        <f t="shared" si="479"/>
        <v>43048390.257249579</v>
      </c>
      <c r="K864" s="89">
        <f t="shared" si="479"/>
        <v>625620321.44222236</v>
      </c>
      <c r="L864" s="89">
        <f t="shared" si="479"/>
        <v>27180188.494366724</v>
      </c>
      <c r="M864" s="89">
        <f t="shared" si="479"/>
        <v>601675635.97869003</v>
      </c>
      <c r="N864" s="89">
        <f t="shared" si="479"/>
        <v>1101433841.1647117</v>
      </c>
      <c r="O864" s="89">
        <f t="shared" si="479"/>
        <v>358533296.26049989</v>
      </c>
      <c r="P864" s="89">
        <f t="shared" si="479"/>
        <v>148468144.67818588</v>
      </c>
      <c r="Q864" s="89">
        <f t="shared" si="479"/>
        <v>967723.95561369124</v>
      </c>
      <c r="R864" s="89">
        <f t="shared" si="479"/>
        <v>35208.776281799255</v>
      </c>
      <c r="S864" s="89">
        <f t="shared" si="479"/>
        <v>575743.78932526777</v>
      </c>
      <c r="T864" s="89">
        <f t="shared" si="479"/>
        <v>74108.081357948686</v>
      </c>
      <c r="U864" s="89">
        <f t="shared" si="479"/>
        <v>5011.2974414638984</v>
      </c>
      <c r="V864" s="89">
        <f t="shared" si="479"/>
        <v>0</v>
      </c>
      <c r="W864" s="89">
        <f t="shared" si="479"/>
        <v>0</v>
      </c>
      <c r="X864" s="94">
        <f>SUM(G864:W864)</f>
        <v>6069285521.6446762</v>
      </c>
      <c r="Y864" s="87" t="str">
        <f t="shared" si="477"/>
        <v>ok</v>
      </c>
      <c r="Z864" s="91" t="str">
        <f t="shared" si="478"/>
        <v/>
      </c>
    </row>
    <row r="865" spans="1:26" ht="12" customHeight="1" x14ac:dyDescent="0.5">
      <c r="A865" s="86" t="s">
        <v>2373</v>
      </c>
      <c r="D865" s="86" t="s">
        <v>2363</v>
      </c>
      <c r="F865" s="91">
        <f>F863+F864</f>
        <v>6073014122.7946768</v>
      </c>
      <c r="G865" s="91">
        <f>G863+G864</f>
        <v>2488249046.62748</v>
      </c>
      <c r="H865" s="91">
        <f>H863+H864</f>
        <v>2541147.8973416761</v>
      </c>
      <c r="I865" s="91">
        <f t="shared" ref="I865:W865" si="480">I863+I864</f>
        <v>670877712.94390798</v>
      </c>
      <c r="J865" s="91">
        <f t="shared" si="480"/>
        <v>43048390.257249579</v>
      </c>
      <c r="K865" s="91">
        <f t="shared" si="480"/>
        <v>625620321.44222236</v>
      </c>
      <c r="L865" s="91">
        <f t="shared" si="480"/>
        <v>27180188.494366724</v>
      </c>
      <c r="M865" s="91">
        <f t="shared" si="480"/>
        <v>601675635.97869003</v>
      </c>
      <c r="N865" s="91">
        <f t="shared" si="480"/>
        <v>1101433841.1647117</v>
      </c>
      <c r="O865" s="91">
        <f t="shared" si="480"/>
        <v>358533296.26049989</v>
      </c>
      <c r="P865" s="91">
        <f t="shared" si="480"/>
        <v>148468144.67818588</v>
      </c>
      <c r="Q865" s="91">
        <f t="shared" si="480"/>
        <v>967723.95561369124</v>
      </c>
      <c r="R865" s="91">
        <f t="shared" si="480"/>
        <v>35208.776281799255</v>
      </c>
      <c r="S865" s="91">
        <f t="shared" si="480"/>
        <v>575743.78932526777</v>
      </c>
      <c r="T865" s="91">
        <f t="shared" si="480"/>
        <v>74108.081357948686</v>
      </c>
      <c r="U865" s="91">
        <f t="shared" si="480"/>
        <v>5011.2974414638984</v>
      </c>
      <c r="V865" s="91">
        <f t="shared" si="480"/>
        <v>3325057.9200000004</v>
      </c>
      <c r="W865" s="91">
        <f t="shared" si="480"/>
        <v>403543.23</v>
      </c>
      <c r="X865" s="94">
        <f>SUM(G865:W865)</f>
        <v>6073014122.7946758</v>
      </c>
      <c r="Y865" s="87" t="str">
        <f t="shared" si="477"/>
        <v>ok</v>
      </c>
      <c r="Z865" s="91" t="str">
        <f t="shared" si="478"/>
        <v/>
      </c>
    </row>
    <row r="866" spans="1:26" ht="12" customHeight="1" x14ac:dyDescent="0.5">
      <c r="A866" s="86" t="s">
        <v>2374</v>
      </c>
      <c r="D866" s="86" t="s">
        <v>2364</v>
      </c>
      <c r="E866" s="86" t="s">
        <v>2363</v>
      </c>
      <c r="F866" s="107">
        <v>1</v>
      </c>
      <c r="G866" s="106">
        <f t="shared" ref="G866:W866" si="481">IF(VLOOKUP($E866,$D$5:$AK$998,3,)=0,0,(VLOOKUP($E866,$D$5:$AK$998,G$1,)/VLOOKUP($E866,$D$5:$AK$998,3,))*$F866)</f>
        <v>0.40972225592033346</v>
      </c>
      <c r="H866" s="106">
        <f t="shared" si="481"/>
        <v>4.184327330647293E-4</v>
      </c>
      <c r="I866" s="106">
        <f t="shared" si="481"/>
        <v>0.11046865681174865</v>
      </c>
      <c r="J866" s="106">
        <f t="shared" si="481"/>
        <v>7.0884719493192272E-3</v>
      </c>
      <c r="K866" s="106">
        <f t="shared" si="481"/>
        <v>0.10301644435404748</v>
      </c>
      <c r="L866" s="106">
        <f t="shared" si="481"/>
        <v>4.4755681354910065E-3</v>
      </c>
      <c r="M866" s="106">
        <f t="shared" si="481"/>
        <v>9.9073643468131967E-2</v>
      </c>
      <c r="N866" s="106">
        <f t="shared" si="481"/>
        <v>0.18136526918825185</v>
      </c>
      <c r="O866" s="106">
        <f t="shared" si="481"/>
        <v>5.9037125389642633E-2</v>
      </c>
      <c r="P866" s="106">
        <f t="shared" si="481"/>
        <v>2.4447192395110697E-2</v>
      </c>
      <c r="Q866" s="106">
        <f t="shared" si="481"/>
        <v>1.5934821425515877E-4</v>
      </c>
      <c r="R866" s="106">
        <f t="shared" si="481"/>
        <v>5.7975785285341799E-6</v>
      </c>
      <c r="S866" s="106">
        <f t="shared" si="481"/>
        <v>9.4803630896271037E-5</v>
      </c>
      <c r="T866" s="106">
        <f t="shared" si="481"/>
        <v>1.2202850159657733E-5</v>
      </c>
      <c r="U866" s="106">
        <f t="shared" si="481"/>
        <v>8.2517467276328381E-7</v>
      </c>
      <c r="V866" s="106">
        <f t="shared" si="481"/>
        <v>5.4751361560639292E-4</v>
      </c>
      <c r="W866" s="106">
        <f t="shared" si="481"/>
        <v>6.6448590739370396E-5</v>
      </c>
      <c r="X866" s="98">
        <f>SUM(G866:W866)</f>
        <v>1</v>
      </c>
      <c r="Y866" s="87" t="str">
        <f t="shared" si="477"/>
        <v>ok</v>
      </c>
      <c r="Z866" s="91" t="str">
        <f t="shared" si="478"/>
        <v/>
      </c>
    </row>
    <row r="867" spans="1:26" ht="12" customHeight="1" x14ac:dyDescent="0.5">
      <c r="F867" s="107"/>
      <c r="G867" s="106"/>
      <c r="H867" s="106"/>
      <c r="I867" s="106"/>
      <c r="J867" s="106"/>
      <c r="K867" s="106"/>
      <c r="L867" s="106"/>
      <c r="M867" s="106"/>
      <c r="N867" s="106"/>
      <c r="O867" s="106"/>
      <c r="P867" s="106"/>
      <c r="Q867" s="106"/>
      <c r="R867" s="106"/>
      <c r="S867" s="106"/>
      <c r="T867" s="106"/>
      <c r="U867" s="106"/>
      <c r="V867" s="106"/>
      <c r="W867" s="106"/>
      <c r="Y867" s="87"/>
    </row>
    <row r="868" spans="1:26" ht="12" customHeight="1" x14ac:dyDescent="0.5">
      <c r="A868" s="86" t="s">
        <v>2365</v>
      </c>
      <c r="D868" s="86" t="s">
        <v>2375</v>
      </c>
      <c r="F868" s="90">
        <f>F858</f>
        <v>2463594.9027471254</v>
      </c>
      <c r="G868" s="90">
        <f t="shared" ref="G868:W868" si="482">G858</f>
        <v>1010009.7690536255</v>
      </c>
      <c r="H868" s="90">
        <f t="shared" si="482"/>
        <v>1031.482039309476</v>
      </c>
      <c r="I868" s="90">
        <f t="shared" si="482"/>
        <v>272317.21231124201</v>
      </c>
      <c r="J868" s="90">
        <f t="shared" si="482"/>
        <v>17473.851647119453</v>
      </c>
      <c r="K868" s="90">
        <f t="shared" si="482"/>
        <v>253946.70088653482</v>
      </c>
      <c r="L868" s="90">
        <f t="shared" si="482"/>
        <v>11032.760543498471</v>
      </c>
      <c r="M868" s="90">
        <f t="shared" si="482"/>
        <v>244227.26935782068</v>
      </c>
      <c r="N868" s="90">
        <f t="shared" si="482"/>
        <v>447085.04602882155</v>
      </c>
      <c r="O868" s="90">
        <f t="shared" si="482"/>
        <v>145532.91289106099</v>
      </c>
      <c r="P868" s="90">
        <f t="shared" si="482"/>
        <v>60264.978990539406</v>
      </c>
      <c r="Q868" s="90">
        <f t="shared" si="482"/>
        <v>392.81061927535228</v>
      </c>
      <c r="R868" s="90">
        <f t="shared" si="482"/>
        <v>14.291659449941212</v>
      </c>
      <c r="S868" s="90">
        <f t="shared" si="482"/>
        <v>233.70122555804252</v>
      </c>
      <c r="T868" s="90">
        <f t="shared" si="482"/>
        <v>30.081348263269305</v>
      </c>
      <c r="U868" s="90">
        <f t="shared" si="482"/>
        <v>2.0341450058514727</v>
      </c>
      <c r="V868" s="90">
        <f t="shared" si="482"/>
        <v>0</v>
      </c>
      <c r="W868" s="90">
        <f t="shared" si="482"/>
        <v>0</v>
      </c>
      <c r="X868" s="94">
        <f>SUM(G868:W868)</f>
        <v>2463594.9027471254</v>
      </c>
      <c r="Y868" s="87" t="str">
        <f t="shared" ref="Y868:Y873" si="483">IF(ABS(F868-X868)&lt;0.01,"ok","err")</f>
        <v>ok</v>
      </c>
      <c r="Z868" s="91" t="str">
        <f t="shared" ref="Z868:Z873" si="484">IF(Y868="err",X868-F868,"")</f>
        <v/>
      </c>
    </row>
    <row r="869" spans="1:26" ht="12" customHeight="1" x14ac:dyDescent="0.5">
      <c r="A869" s="86" t="s">
        <v>2366</v>
      </c>
      <c r="F869" s="91">
        <f>F66</f>
        <v>3680027941.1597633</v>
      </c>
      <c r="G869" s="90"/>
      <c r="H869" s="90"/>
      <c r="I869" s="90"/>
      <c r="J869" s="90"/>
      <c r="K869" s="90"/>
      <c r="L869" s="90"/>
      <c r="M869" s="90"/>
      <c r="N869" s="90"/>
      <c r="O869" s="90"/>
      <c r="P869" s="90"/>
      <c r="Q869" s="90"/>
      <c r="R869" s="90"/>
      <c r="S869" s="90"/>
      <c r="T869" s="90"/>
      <c r="U869" s="90"/>
      <c r="V869" s="90"/>
      <c r="W869" s="90"/>
      <c r="X869" s="94">
        <f>F869</f>
        <v>3680027941.1597633</v>
      </c>
      <c r="Y869" s="87" t="str">
        <f t="shared" si="483"/>
        <v>ok</v>
      </c>
      <c r="Z869" s="91" t="str">
        <f t="shared" si="484"/>
        <v/>
      </c>
    </row>
    <row r="870" spans="1:26" ht="12" customHeight="1" x14ac:dyDescent="0.5">
      <c r="A870" s="86" t="s">
        <v>848</v>
      </c>
      <c r="F870" s="91">
        <v>3513379.5900000003</v>
      </c>
      <c r="G870" s="91"/>
      <c r="H870" s="91"/>
      <c r="I870" s="91"/>
      <c r="J870" s="91"/>
      <c r="K870" s="91"/>
      <c r="L870" s="91"/>
      <c r="M870" s="91"/>
      <c r="N870" s="91"/>
      <c r="O870" s="91"/>
      <c r="P870" s="91"/>
      <c r="Q870" s="91"/>
      <c r="R870" s="91"/>
      <c r="S870" s="91"/>
      <c r="T870" s="91"/>
      <c r="U870" s="91"/>
      <c r="V870" s="91">
        <f>V863-183105.13</f>
        <v>3141952.7900000005</v>
      </c>
      <c r="W870" s="91">
        <f>W863-32116.43</f>
        <v>371426.8</v>
      </c>
      <c r="X870" s="94">
        <f>SUM(G870:W870)</f>
        <v>3513379.5900000003</v>
      </c>
      <c r="Y870" s="87" t="str">
        <f t="shared" si="483"/>
        <v>ok</v>
      </c>
      <c r="Z870" s="91" t="str">
        <f t="shared" si="484"/>
        <v/>
      </c>
    </row>
    <row r="871" spans="1:26" ht="12" customHeight="1" x14ac:dyDescent="0.5">
      <c r="A871" s="86" t="s">
        <v>2367</v>
      </c>
      <c r="E871" s="86" t="s">
        <v>2375</v>
      </c>
      <c r="F871" s="91">
        <f>F869-F870</f>
        <v>3676514561.5697632</v>
      </c>
      <c r="G871" s="89">
        <f t="shared" ref="G871:W871" si="485">IF(VLOOKUP($E871,$D$5:$AK$998,3,)=0,0,(VLOOKUP($E871,$D$5:$AK$998,G$1,)/VLOOKUP($E871,$D$5:$AK$998,3,))*$F871)</f>
        <v>1507275250.1284583</v>
      </c>
      <c r="H871" s="89">
        <f t="shared" si="485"/>
        <v>1539319.1199130428</v>
      </c>
      <c r="I871" s="89">
        <f t="shared" si="485"/>
        <v>406389132.93413788</v>
      </c>
      <c r="J871" s="89">
        <f t="shared" si="485"/>
        <v>26076880.560074221</v>
      </c>
      <c r="K871" s="89">
        <f t="shared" si="485"/>
        <v>378974133.54397547</v>
      </c>
      <c r="L871" s="89">
        <f t="shared" si="485"/>
        <v>16464600.063611975</v>
      </c>
      <c r="M871" s="89">
        <f t="shared" si="485"/>
        <v>364469463.35422486</v>
      </c>
      <c r="N871" s="89">
        <f t="shared" si="485"/>
        <v>667201689.75514746</v>
      </c>
      <c r="O871" s="89">
        <f t="shared" si="485"/>
        <v>217184194.05520666</v>
      </c>
      <c r="P871" s="89">
        <f t="shared" si="485"/>
        <v>89935675.936149001</v>
      </c>
      <c r="Q871" s="89">
        <f t="shared" si="485"/>
        <v>586205.93836051854</v>
      </c>
      <c r="R871" s="89">
        <f t="shared" si="485"/>
        <v>21327.97645348038</v>
      </c>
      <c r="S871" s="89">
        <f t="shared" si="485"/>
        <v>348761.0555870012</v>
      </c>
      <c r="T871" s="89">
        <f t="shared" si="485"/>
        <v>44891.518000073098</v>
      </c>
      <c r="U871" s="89">
        <f t="shared" si="485"/>
        <v>3035.6304626292631</v>
      </c>
      <c r="V871" s="89">
        <f t="shared" si="485"/>
        <v>0</v>
      </c>
      <c r="W871" s="89">
        <f t="shared" si="485"/>
        <v>0</v>
      </c>
      <c r="X871" s="94">
        <f>SUM(G871:W871)</f>
        <v>3676514561.5697627</v>
      </c>
      <c r="Y871" s="87" t="str">
        <f t="shared" si="483"/>
        <v>ok</v>
      </c>
      <c r="Z871" s="91" t="str">
        <f t="shared" si="484"/>
        <v/>
      </c>
    </row>
    <row r="872" spans="1:26" ht="12" customHeight="1" x14ac:dyDescent="0.5">
      <c r="A872" s="86" t="s">
        <v>2368</v>
      </c>
      <c r="D872" s="86" t="s">
        <v>2376</v>
      </c>
      <c r="F872" s="91">
        <f t="shared" ref="F872:W872" si="486">F870+F871</f>
        <v>3680027941.1597633</v>
      </c>
      <c r="G872" s="91">
        <f t="shared" si="486"/>
        <v>1507275250.1284583</v>
      </c>
      <c r="H872" s="91">
        <f t="shared" ref="H872" si="487">H870+H871</f>
        <v>1539319.1199130428</v>
      </c>
      <c r="I872" s="91">
        <f t="shared" si="486"/>
        <v>406389132.93413788</v>
      </c>
      <c r="J872" s="91">
        <f t="shared" si="486"/>
        <v>26076880.560074221</v>
      </c>
      <c r="K872" s="91">
        <f t="shared" si="486"/>
        <v>378974133.54397547</v>
      </c>
      <c r="L872" s="91">
        <f t="shared" si="486"/>
        <v>16464600.063611975</v>
      </c>
      <c r="M872" s="91">
        <f t="shared" si="486"/>
        <v>364469463.35422486</v>
      </c>
      <c r="N872" s="91">
        <f t="shared" si="486"/>
        <v>667201689.75514746</v>
      </c>
      <c r="O872" s="91">
        <f t="shared" si="486"/>
        <v>217184194.05520666</v>
      </c>
      <c r="P872" s="91">
        <f t="shared" si="486"/>
        <v>89935675.936149001</v>
      </c>
      <c r="Q872" s="91">
        <f t="shared" si="486"/>
        <v>586205.93836051854</v>
      </c>
      <c r="R872" s="91">
        <f t="shared" si="486"/>
        <v>21327.97645348038</v>
      </c>
      <c r="S872" s="91">
        <f t="shared" si="486"/>
        <v>348761.0555870012</v>
      </c>
      <c r="T872" s="91">
        <f t="shared" si="486"/>
        <v>44891.518000073098</v>
      </c>
      <c r="U872" s="91">
        <f t="shared" si="486"/>
        <v>3035.6304626292631</v>
      </c>
      <c r="V872" s="91">
        <f t="shared" si="486"/>
        <v>3141952.7900000005</v>
      </c>
      <c r="W872" s="91">
        <f t="shared" si="486"/>
        <v>371426.8</v>
      </c>
      <c r="X872" s="94">
        <f>SUM(G872:W872)</f>
        <v>3680027941.1597629</v>
      </c>
      <c r="Y872" s="87" t="str">
        <f t="shared" si="483"/>
        <v>ok</v>
      </c>
      <c r="Z872" s="91" t="str">
        <f t="shared" si="484"/>
        <v/>
      </c>
    </row>
    <row r="873" spans="1:26" ht="12" customHeight="1" x14ac:dyDescent="0.5">
      <c r="A873" s="86" t="s">
        <v>2369</v>
      </c>
      <c r="D873" s="86" t="s">
        <v>2377</v>
      </c>
      <c r="E873" s="86" t="s">
        <v>2376</v>
      </c>
      <c r="F873" s="107">
        <v>1</v>
      </c>
      <c r="G873" s="106">
        <f t="shared" ref="G873:W873" si="488">IF(VLOOKUP($E873,$D$5:$AK$998,3,)=0,0,(VLOOKUP($E873,$D$5:$AK$998,G$1,)/VLOOKUP($E873,$D$5:$AK$998,3,))*$F873)</f>
        <v>0.40958255595565923</v>
      </c>
      <c r="H873" s="106">
        <f t="shared" si="488"/>
        <v>4.182900631531415E-4</v>
      </c>
      <c r="I873" s="106">
        <f t="shared" si="488"/>
        <v>0.11043099113156844</v>
      </c>
      <c r="J873" s="106">
        <f t="shared" si="488"/>
        <v>7.0860550455103541E-3</v>
      </c>
      <c r="K873" s="106">
        <f t="shared" si="488"/>
        <v>0.10298131959958476</v>
      </c>
      <c r="L873" s="106">
        <f t="shared" si="488"/>
        <v>4.474042134153782E-3</v>
      </c>
      <c r="M873" s="106">
        <f t="shared" si="488"/>
        <v>9.9039863061301123E-2</v>
      </c>
      <c r="N873" s="106">
        <f t="shared" si="488"/>
        <v>0.1813034304149545</v>
      </c>
      <c r="O873" s="106">
        <f t="shared" si="488"/>
        <v>5.901699593801478E-2</v>
      </c>
      <c r="P873" s="106">
        <f t="shared" si="488"/>
        <v>2.4438856816887566E-2</v>
      </c>
      <c r="Q873" s="106">
        <f t="shared" si="488"/>
        <v>1.5929388247410298E-4</v>
      </c>
      <c r="R873" s="106">
        <f t="shared" si="488"/>
        <v>5.7956017710992848E-6</v>
      </c>
      <c r="S873" s="106">
        <f t="shared" si="488"/>
        <v>9.4771306404018481E-5</v>
      </c>
      <c r="T873" s="106">
        <f t="shared" si="488"/>
        <v>1.219868944416914E-5</v>
      </c>
      <c r="U873" s="106">
        <f t="shared" si="488"/>
        <v>8.2489331906338246E-7</v>
      </c>
      <c r="V873" s="106">
        <f t="shared" si="488"/>
        <v>8.5378503648257946E-4</v>
      </c>
      <c r="W873" s="106">
        <f t="shared" si="488"/>
        <v>1.0093042931705148E-4</v>
      </c>
      <c r="X873" s="98">
        <f>SUM(G873:W873)</f>
        <v>0.99999999999999967</v>
      </c>
      <c r="Y873" s="87" t="str">
        <f t="shared" si="483"/>
        <v>ok</v>
      </c>
      <c r="Z873" s="91" t="str">
        <f t="shared" si="484"/>
        <v/>
      </c>
    </row>
    <row r="874" spans="1:26" ht="12" customHeight="1" x14ac:dyDescent="0.5">
      <c r="F874" s="107"/>
      <c r="G874" s="106"/>
      <c r="H874" s="106"/>
      <c r="I874" s="106"/>
      <c r="J874" s="106"/>
      <c r="K874" s="106"/>
      <c r="L874" s="106"/>
      <c r="M874" s="106"/>
      <c r="N874" s="106"/>
      <c r="O874" s="106"/>
      <c r="P874" s="106"/>
      <c r="Q874" s="106"/>
      <c r="R874" s="106"/>
      <c r="S874" s="106"/>
      <c r="T874" s="106"/>
      <c r="U874" s="106"/>
      <c r="V874" s="106"/>
      <c r="W874" s="106"/>
      <c r="Y874" s="87"/>
    </row>
    <row r="875" spans="1:26" ht="12" customHeight="1" x14ac:dyDescent="0.5">
      <c r="A875" s="86" t="s">
        <v>2378</v>
      </c>
      <c r="D875" s="86" t="s">
        <v>2383</v>
      </c>
      <c r="F875" s="90">
        <f>F858</f>
        <v>2463594.9027471254</v>
      </c>
      <c r="G875" s="90">
        <f t="shared" ref="G875:W875" si="489">G858</f>
        <v>1010009.7690536255</v>
      </c>
      <c r="H875" s="90">
        <f t="shared" ref="H875" si="490">H858</f>
        <v>1031.482039309476</v>
      </c>
      <c r="I875" s="90">
        <f t="shared" si="489"/>
        <v>272317.21231124201</v>
      </c>
      <c r="J875" s="90">
        <f t="shared" si="489"/>
        <v>17473.851647119453</v>
      </c>
      <c r="K875" s="90">
        <f t="shared" si="489"/>
        <v>253946.70088653482</v>
      </c>
      <c r="L875" s="90">
        <f t="shared" si="489"/>
        <v>11032.760543498471</v>
      </c>
      <c r="M875" s="90">
        <f t="shared" si="489"/>
        <v>244227.26935782068</v>
      </c>
      <c r="N875" s="90">
        <f t="shared" si="489"/>
        <v>447085.04602882155</v>
      </c>
      <c r="O875" s="90">
        <f t="shared" si="489"/>
        <v>145532.91289106099</v>
      </c>
      <c r="P875" s="90">
        <f t="shared" si="489"/>
        <v>60264.978990539406</v>
      </c>
      <c r="Q875" s="90">
        <f t="shared" si="489"/>
        <v>392.81061927535228</v>
      </c>
      <c r="R875" s="90">
        <f t="shared" si="489"/>
        <v>14.291659449941212</v>
      </c>
      <c r="S875" s="90">
        <f t="shared" si="489"/>
        <v>233.70122555804252</v>
      </c>
      <c r="T875" s="90">
        <f t="shared" si="489"/>
        <v>30.081348263269305</v>
      </c>
      <c r="U875" s="90">
        <f t="shared" si="489"/>
        <v>2.0341450058514727</v>
      </c>
      <c r="V875" s="90">
        <f t="shared" si="489"/>
        <v>0</v>
      </c>
      <c r="W875" s="90">
        <f t="shared" si="489"/>
        <v>0</v>
      </c>
      <c r="X875" s="94">
        <f>SUM(G875:W875)</f>
        <v>2463594.9027471254</v>
      </c>
      <c r="Y875" s="87" t="str">
        <f t="shared" ref="Y875:Y880" si="491">IF(ABS(F875-X875)&lt;0.01,"ok","err")</f>
        <v>ok</v>
      </c>
      <c r="Z875" s="91" t="str">
        <f t="shared" ref="Z875:Z880" si="492">IF(Y875="err",X875-F875,"")</f>
        <v/>
      </c>
    </row>
    <row r="876" spans="1:26" ht="12" customHeight="1" x14ac:dyDescent="0.5">
      <c r="A876" s="86" t="s">
        <v>2379</v>
      </c>
      <c r="F876" s="91">
        <f>F123</f>
        <v>2975438420.0715351</v>
      </c>
      <c r="G876" s="90"/>
      <c r="H876" s="90"/>
      <c r="I876" s="90"/>
      <c r="J876" s="90"/>
      <c r="K876" s="90"/>
      <c r="L876" s="90"/>
      <c r="M876" s="90"/>
      <c r="N876" s="90"/>
      <c r="O876" s="90"/>
      <c r="P876" s="90"/>
      <c r="Q876" s="90"/>
      <c r="R876" s="90"/>
      <c r="S876" s="90"/>
      <c r="T876" s="90"/>
      <c r="U876" s="90"/>
      <c r="V876" s="90"/>
      <c r="W876" s="90"/>
      <c r="X876" s="94">
        <f>F876</f>
        <v>2975438420.0715351</v>
      </c>
      <c r="Y876" s="87" t="str">
        <f t="shared" si="491"/>
        <v>ok</v>
      </c>
      <c r="Z876" s="91" t="str">
        <f t="shared" si="492"/>
        <v/>
      </c>
    </row>
    <row r="877" spans="1:26" ht="12" customHeight="1" x14ac:dyDescent="0.5">
      <c r="A877" s="86" t="s">
        <v>848</v>
      </c>
      <c r="F877" s="91">
        <v>2867903.8000000007</v>
      </c>
      <c r="G877" s="91"/>
      <c r="H877" s="91"/>
      <c r="I877" s="91"/>
      <c r="J877" s="91"/>
      <c r="K877" s="91"/>
      <c r="L877" s="91"/>
      <c r="M877" s="91"/>
      <c r="N877" s="91"/>
      <c r="O877" s="91"/>
      <c r="P877" s="91"/>
      <c r="Q877" s="91"/>
      <c r="R877" s="91"/>
      <c r="S877" s="91"/>
      <c r="T877" s="91"/>
      <c r="U877" s="91"/>
      <c r="V877" s="91">
        <f>V870-220020.59-(V863/($V$863+$W$863))*386829</f>
        <v>2576969.3631635425</v>
      </c>
      <c r="W877" s="91">
        <f>W870-38626.2-(W863/($V$863+$W$863))*386829</f>
        <v>290934.43683645804</v>
      </c>
      <c r="X877" s="94">
        <f>SUM(G877:W877)</f>
        <v>2867903.8000000007</v>
      </c>
      <c r="Y877" s="87" t="str">
        <f t="shared" si="491"/>
        <v>ok</v>
      </c>
      <c r="Z877" s="91" t="str">
        <f t="shared" si="492"/>
        <v/>
      </c>
    </row>
    <row r="878" spans="1:26" ht="12" customHeight="1" x14ac:dyDescent="0.5">
      <c r="A878" s="86" t="s">
        <v>2380</v>
      </c>
      <c r="E878" s="86" t="s">
        <v>2383</v>
      </c>
      <c r="F878" s="91">
        <f>F876-F877</f>
        <v>2972570516.2715349</v>
      </c>
      <c r="G878" s="89">
        <f t="shared" ref="G878:W878" si="493">IF(VLOOKUP($E878,$D$5:$AK$998,3,)=0,0,(VLOOKUP($E878,$D$5:$AK$998,G$1,)/VLOOKUP($E878,$D$5:$AK$998,3,))*$F878)</f>
        <v>1218676519.1335526</v>
      </c>
      <c r="H878" s="89">
        <f t="shared" si="493"/>
        <v>1244584.9334628652</v>
      </c>
      <c r="I878" s="89">
        <f t="shared" si="493"/>
        <v>328577606.44293022</v>
      </c>
      <c r="J878" s="89">
        <f t="shared" si="493"/>
        <v>21083927.456583828</v>
      </c>
      <c r="K878" s="89">
        <f t="shared" si="493"/>
        <v>306411770.42458898</v>
      </c>
      <c r="L878" s="89">
        <f t="shared" si="493"/>
        <v>13312115.0186329</v>
      </c>
      <c r="M878" s="89">
        <f t="shared" si="493"/>
        <v>294684316.54612917</v>
      </c>
      <c r="N878" s="89">
        <f t="shared" si="493"/>
        <v>539452255.16144478</v>
      </c>
      <c r="O878" s="89">
        <f t="shared" si="493"/>
        <v>175599829.95771211</v>
      </c>
      <c r="P878" s="89">
        <f t="shared" si="493"/>
        <v>72715647.97899279</v>
      </c>
      <c r="Q878" s="89">
        <f t="shared" si="493"/>
        <v>473964.79998973641</v>
      </c>
      <c r="R878" s="89">
        <f t="shared" si="493"/>
        <v>17244.298347149714</v>
      </c>
      <c r="S878" s="89">
        <f t="shared" si="493"/>
        <v>281983.60531421646</v>
      </c>
      <c r="T878" s="89">
        <f t="shared" si="493"/>
        <v>36296.117043179584</v>
      </c>
      <c r="U878" s="89">
        <f t="shared" si="493"/>
        <v>2454.3968099108101</v>
      </c>
      <c r="V878" s="89">
        <f t="shared" si="493"/>
        <v>0</v>
      </c>
      <c r="W878" s="89">
        <f t="shared" si="493"/>
        <v>0</v>
      </c>
      <c r="X878" s="94">
        <f>SUM(G878:W878)</f>
        <v>2972570516.271534</v>
      </c>
      <c r="Y878" s="87" t="str">
        <f t="shared" si="491"/>
        <v>ok</v>
      </c>
      <c r="Z878" s="91" t="str">
        <f t="shared" si="492"/>
        <v/>
      </c>
    </row>
    <row r="879" spans="1:26" ht="12" customHeight="1" x14ac:dyDescent="0.5">
      <c r="A879" s="86" t="s">
        <v>2381</v>
      </c>
      <c r="D879" s="86" t="s">
        <v>2384</v>
      </c>
      <c r="F879" s="91">
        <f t="shared" ref="F879:W879" si="494">F877+F878</f>
        <v>2975438420.0715351</v>
      </c>
      <c r="G879" s="91">
        <f t="shared" si="494"/>
        <v>1218676519.1335526</v>
      </c>
      <c r="H879" s="91">
        <f t="shared" ref="H879" si="495">H877+H878</f>
        <v>1244584.9334628652</v>
      </c>
      <c r="I879" s="91">
        <f t="shared" si="494"/>
        <v>328577606.44293022</v>
      </c>
      <c r="J879" s="91">
        <f t="shared" si="494"/>
        <v>21083927.456583828</v>
      </c>
      <c r="K879" s="91">
        <f t="shared" si="494"/>
        <v>306411770.42458898</v>
      </c>
      <c r="L879" s="91">
        <f t="shared" si="494"/>
        <v>13312115.0186329</v>
      </c>
      <c r="M879" s="91">
        <f t="shared" si="494"/>
        <v>294684316.54612917</v>
      </c>
      <c r="N879" s="91">
        <f t="shared" si="494"/>
        <v>539452255.16144478</v>
      </c>
      <c r="O879" s="91">
        <f t="shared" si="494"/>
        <v>175599829.95771211</v>
      </c>
      <c r="P879" s="91">
        <f t="shared" si="494"/>
        <v>72715647.97899279</v>
      </c>
      <c r="Q879" s="91">
        <f t="shared" si="494"/>
        <v>473964.79998973641</v>
      </c>
      <c r="R879" s="91">
        <f t="shared" si="494"/>
        <v>17244.298347149714</v>
      </c>
      <c r="S879" s="91">
        <f t="shared" si="494"/>
        <v>281983.60531421646</v>
      </c>
      <c r="T879" s="91">
        <f t="shared" si="494"/>
        <v>36296.117043179584</v>
      </c>
      <c r="U879" s="91">
        <f t="shared" si="494"/>
        <v>2454.3968099108101</v>
      </c>
      <c r="V879" s="91">
        <f t="shared" si="494"/>
        <v>2576969.3631635425</v>
      </c>
      <c r="W879" s="91">
        <f t="shared" si="494"/>
        <v>290934.43683645804</v>
      </c>
      <c r="X879" s="94">
        <f>SUM(G879:W879)</f>
        <v>2975438420.0715337</v>
      </c>
      <c r="Y879" s="87" t="str">
        <f t="shared" si="491"/>
        <v>ok</v>
      </c>
      <c r="Z879" s="91" t="str">
        <f t="shared" si="492"/>
        <v/>
      </c>
    </row>
    <row r="880" spans="1:26" ht="12" customHeight="1" x14ac:dyDescent="0.5">
      <c r="A880" s="86" t="s">
        <v>2382</v>
      </c>
      <c r="D880" s="86" t="s">
        <v>2385</v>
      </c>
      <c r="E880" s="86" t="s">
        <v>2384</v>
      </c>
      <c r="F880" s="107">
        <v>1</v>
      </c>
      <c r="G880" s="106">
        <f t="shared" ref="G880:W880" si="496">IF(VLOOKUP($E880,$D$5:$AK$998,3,)=0,0,(VLOOKUP($E880,$D$5:$AK$998,G$1,)/VLOOKUP($E880,$D$5:$AK$998,3,))*$F880)</f>
        <v>0.40957880724826201</v>
      </c>
      <c r="H880" s="106">
        <f t="shared" si="496"/>
        <v>4.1828623475021978E-4</v>
      </c>
      <c r="I880" s="106">
        <f t="shared" si="496"/>
        <v>0.11042998041109875</v>
      </c>
      <c r="J880" s="106">
        <f t="shared" si="496"/>
        <v>7.0859901903387165E-3</v>
      </c>
      <c r="K880" s="106">
        <f t="shared" si="496"/>
        <v>0.10298037706228928</v>
      </c>
      <c r="L880" s="106">
        <f t="shared" si="496"/>
        <v>4.474001185449791E-3</v>
      </c>
      <c r="M880" s="106">
        <f t="shared" si="496"/>
        <v>9.9038956598216002E-2</v>
      </c>
      <c r="N880" s="106">
        <f t="shared" si="496"/>
        <v>0.18130177103395584</v>
      </c>
      <c r="O880" s="106">
        <f t="shared" si="496"/>
        <v>5.9016455784519431E-2</v>
      </c>
      <c r="P880" s="106">
        <f t="shared" si="496"/>
        <v>2.4438633140068337E-2</v>
      </c>
      <c r="Q880" s="106">
        <f t="shared" si="496"/>
        <v>1.5929242453565596E-4</v>
      </c>
      <c r="R880" s="106">
        <f t="shared" si="496"/>
        <v>5.7955487268108636E-6</v>
      </c>
      <c r="S880" s="106">
        <f t="shared" si="496"/>
        <v>9.4770439008930001E-5</v>
      </c>
      <c r="T880" s="106">
        <f t="shared" si="496"/>
        <v>1.2198577795573049E-5</v>
      </c>
      <c r="U880" s="106">
        <f t="shared" si="496"/>
        <v>8.2488576922112936E-7</v>
      </c>
      <c r="V880" s="106">
        <f t="shared" si="496"/>
        <v>8.6608055666014666E-4</v>
      </c>
      <c r="W880" s="106">
        <f t="shared" si="496"/>
        <v>9.7778678555029017E-5</v>
      </c>
      <c r="X880" s="98">
        <f>SUM(G880:W880)</f>
        <v>0.99999999999999978</v>
      </c>
      <c r="Y880" s="87" t="str">
        <f t="shared" si="491"/>
        <v>ok</v>
      </c>
      <c r="Z880" s="91" t="str">
        <f t="shared" si="492"/>
        <v/>
      </c>
    </row>
    <row r="881" spans="1:26" ht="12" customHeight="1" x14ac:dyDescent="0.5">
      <c r="F881" s="107"/>
      <c r="G881" s="106"/>
      <c r="H881" s="106"/>
      <c r="I881" s="106"/>
      <c r="J881" s="106"/>
      <c r="K881" s="106"/>
      <c r="L881" s="106"/>
      <c r="M881" s="106"/>
      <c r="N881" s="106"/>
      <c r="O881" s="106"/>
      <c r="P881" s="106"/>
      <c r="Q881" s="106"/>
      <c r="R881" s="106"/>
      <c r="S881" s="106"/>
      <c r="T881" s="106"/>
      <c r="U881" s="106"/>
      <c r="V881" s="106"/>
      <c r="W881" s="106"/>
      <c r="X881" s="98"/>
      <c r="Y881" s="87"/>
      <c r="Z881" s="91"/>
    </row>
    <row r="882" spans="1:26" ht="12" customHeight="1" x14ac:dyDescent="0.5">
      <c r="A882" s="86" t="s">
        <v>2386</v>
      </c>
      <c r="D882" s="86" t="s">
        <v>2401</v>
      </c>
      <c r="F882" s="90">
        <f>F858</f>
        <v>2463594.9027471254</v>
      </c>
      <c r="G882" s="90">
        <f t="shared" ref="G882:W882" si="497">G858</f>
        <v>1010009.7690536255</v>
      </c>
      <c r="H882" s="90">
        <f t="shared" ref="H882" si="498">H858</f>
        <v>1031.482039309476</v>
      </c>
      <c r="I882" s="90">
        <f t="shared" si="497"/>
        <v>272317.21231124201</v>
      </c>
      <c r="J882" s="90">
        <f t="shared" si="497"/>
        <v>17473.851647119453</v>
      </c>
      <c r="K882" s="90">
        <f t="shared" si="497"/>
        <v>253946.70088653482</v>
      </c>
      <c r="L882" s="90">
        <f t="shared" si="497"/>
        <v>11032.760543498471</v>
      </c>
      <c r="M882" s="90">
        <f t="shared" si="497"/>
        <v>244227.26935782068</v>
      </c>
      <c r="N882" s="90">
        <f t="shared" si="497"/>
        <v>447085.04602882155</v>
      </c>
      <c r="O882" s="90">
        <f t="shared" si="497"/>
        <v>145532.91289106099</v>
      </c>
      <c r="P882" s="90">
        <f t="shared" si="497"/>
        <v>60264.978990539406</v>
      </c>
      <c r="Q882" s="90">
        <f t="shared" si="497"/>
        <v>392.81061927535228</v>
      </c>
      <c r="R882" s="90">
        <f t="shared" si="497"/>
        <v>14.291659449941212</v>
      </c>
      <c r="S882" s="90">
        <f t="shared" si="497"/>
        <v>233.70122555804252</v>
      </c>
      <c r="T882" s="90">
        <f t="shared" si="497"/>
        <v>30.081348263269305</v>
      </c>
      <c r="U882" s="90">
        <f t="shared" si="497"/>
        <v>2.0341450058514727</v>
      </c>
      <c r="V882" s="90">
        <f t="shared" si="497"/>
        <v>0</v>
      </c>
      <c r="W882" s="90">
        <f t="shared" si="497"/>
        <v>0</v>
      </c>
      <c r="X882" s="94">
        <f>SUM(G882:W882)</f>
        <v>2463594.9027471254</v>
      </c>
      <c r="Y882" s="87" t="str">
        <f t="shared" ref="Y882:Y887" si="499">IF(ABS(F882-X882)&lt;0.01,"ok","err")</f>
        <v>ok</v>
      </c>
      <c r="Z882" s="91" t="str">
        <f t="shared" ref="Z882:Z887" si="500">IF(Y882="err",X882-F882,"")</f>
        <v/>
      </c>
    </row>
    <row r="883" spans="1:26" ht="12" customHeight="1" x14ac:dyDescent="0.5">
      <c r="A883" s="86" t="s">
        <v>2387</v>
      </c>
      <c r="F883" s="91">
        <f>F180</f>
        <v>133195931.14461496</v>
      </c>
      <c r="G883" s="90"/>
      <c r="H883" s="90"/>
      <c r="I883" s="90"/>
      <c r="J883" s="90"/>
      <c r="K883" s="90"/>
      <c r="L883" s="90"/>
      <c r="M883" s="90"/>
      <c r="N883" s="90"/>
      <c r="O883" s="90"/>
      <c r="P883" s="90"/>
      <c r="Q883" s="90"/>
      <c r="R883" s="90"/>
      <c r="S883" s="90"/>
      <c r="T883" s="90"/>
      <c r="U883" s="90"/>
      <c r="V883" s="90"/>
      <c r="W883" s="90">
        <f>W880</f>
        <v>9.7778678555029017E-5</v>
      </c>
      <c r="X883" s="94">
        <f>F883</f>
        <v>133195931.14461496</v>
      </c>
      <c r="Y883" s="87" t="str">
        <f t="shared" si="499"/>
        <v>ok</v>
      </c>
      <c r="Z883" s="91" t="str">
        <f t="shared" si="500"/>
        <v/>
      </c>
    </row>
    <row r="884" spans="1:26" ht="12" customHeight="1" x14ac:dyDescent="0.5">
      <c r="A884" s="86" t="s">
        <v>848</v>
      </c>
      <c r="F884" s="91">
        <v>91514</v>
      </c>
      <c r="G884" s="91"/>
      <c r="H884" s="91"/>
      <c r="I884" s="91"/>
      <c r="J884" s="91"/>
      <c r="K884" s="91"/>
      <c r="L884" s="91"/>
      <c r="M884" s="91"/>
      <c r="N884" s="91"/>
      <c r="O884" s="91"/>
      <c r="P884" s="91"/>
      <c r="Q884" s="91"/>
      <c r="R884" s="91"/>
      <c r="S884" s="91"/>
      <c r="T884" s="91"/>
      <c r="U884" s="91"/>
      <c r="V884" s="91">
        <f>91514</f>
        <v>91514</v>
      </c>
      <c r="W884" s="91"/>
      <c r="X884" s="94">
        <f>SUM(G884:W884)</f>
        <v>91514</v>
      </c>
      <c r="Y884" s="87" t="str">
        <f t="shared" si="499"/>
        <v>ok</v>
      </c>
      <c r="Z884" s="91" t="str">
        <f t="shared" si="500"/>
        <v/>
      </c>
    </row>
    <row r="885" spans="1:26" ht="12" customHeight="1" x14ac:dyDescent="0.5">
      <c r="A885" s="86" t="s">
        <v>2388</v>
      </c>
      <c r="E885" s="86" t="s">
        <v>2401</v>
      </c>
      <c r="F885" s="91">
        <f>F883-F884</f>
        <v>133104417.14461496</v>
      </c>
      <c r="G885" s="89">
        <f t="shared" ref="G885:W885" si="501">IF(VLOOKUP($E885,$D$5:$AK$998,3,)=0,0,(VLOOKUP($E885,$D$5:$AK$998,G$1,)/VLOOKUP($E885,$D$5:$AK$998,3,))*$F885)</f>
        <v>54569345.581264667</v>
      </c>
      <c r="H885" s="89">
        <f t="shared" si="501"/>
        <v>55729.46083153964</v>
      </c>
      <c r="I885" s="89">
        <f t="shared" si="501"/>
        <v>14712899.341817949</v>
      </c>
      <c r="J885" s="89">
        <f t="shared" si="501"/>
        <v>944086.56072789431</v>
      </c>
      <c r="K885" s="89">
        <f t="shared" si="501"/>
        <v>13720367.569200814</v>
      </c>
      <c r="L885" s="89">
        <f t="shared" si="501"/>
        <v>596083.86102802539</v>
      </c>
      <c r="M885" s="89">
        <f t="shared" si="501"/>
        <v>13195240.947464464</v>
      </c>
      <c r="N885" s="89">
        <f t="shared" si="501"/>
        <v>24155348.916894525</v>
      </c>
      <c r="O885" s="89">
        <f t="shared" si="501"/>
        <v>7862929.7065529078</v>
      </c>
      <c r="P885" s="89">
        <f t="shared" si="501"/>
        <v>3256028.3729372453</v>
      </c>
      <c r="Q885" s="89">
        <f t="shared" si="501"/>
        <v>21222.981289886106</v>
      </c>
      <c r="R885" s="89">
        <f t="shared" si="501"/>
        <v>772.15738634324191</v>
      </c>
      <c r="S885" s="89">
        <f t="shared" si="501"/>
        <v>12626.534248467056</v>
      </c>
      <c r="T885" s="89">
        <f t="shared" si="501"/>
        <v>1625.2511007560001</v>
      </c>
      <c r="U885" s="89">
        <f t="shared" si="501"/>
        <v>109.90186945490733</v>
      </c>
      <c r="V885" s="89">
        <f t="shared" si="501"/>
        <v>0</v>
      </c>
      <c r="W885" s="89">
        <f t="shared" si="501"/>
        <v>0</v>
      </c>
      <c r="X885" s="94">
        <f>SUM(G885:W885)</f>
        <v>133104417.14461496</v>
      </c>
      <c r="Y885" s="87" t="str">
        <f t="shared" si="499"/>
        <v>ok</v>
      </c>
      <c r="Z885" s="91" t="str">
        <f t="shared" si="500"/>
        <v/>
      </c>
    </row>
    <row r="886" spans="1:26" ht="12" customHeight="1" x14ac:dyDescent="0.5">
      <c r="A886" s="86" t="s">
        <v>2389</v>
      </c>
      <c r="D886" s="86" t="s">
        <v>2402</v>
      </c>
      <c r="F886" s="91">
        <f t="shared" ref="F886:W886" si="502">F884+F885</f>
        <v>133195931.14461496</v>
      </c>
      <c r="G886" s="91">
        <f t="shared" si="502"/>
        <v>54569345.581264667</v>
      </c>
      <c r="H886" s="91">
        <f t="shared" ref="H886" si="503">H884+H885</f>
        <v>55729.46083153964</v>
      </c>
      <c r="I886" s="91">
        <f t="shared" si="502"/>
        <v>14712899.341817949</v>
      </c>
      <c r="J886" s="91">
        <f t="shared" si="502"/>
        <v>944086.56072789431</v>
      </c>
      <c r="K886" s="91">
        <f t="shared" si="502"/>
        <v>13720367.569200814</v>
      </c>
      <c r="L886" s="91">
        <f t="shared" si="502"/>
        <v>596083.86102802539</v>
      </c>
      <c r="M886" s="91">
        <f t="shared" si="502"/>
        <v>13195240.947464464</v>
      </c>
      <c r="N886" s="91">
        <f t="shared" si="502"/>
        <v>24155348.916894525</v>
      </c>
      <c r="O886" s="91">
        <f t="shared" si="502"/>
        <v>7862929.7065529078</v>
      </c>
      <c r="P886" s="91">
        <f t="shared" si="502"/>
        <v>3256028.3729372453</v>
      </c>
      <c r="Q886" s="91">
        <f t="shared" si="502"/>
        <v>21222.981289886106</v>
      </c>
      <c r="R886" s="91">
        <f t="shared" si="502"/>
        <v>772.15738634324191</v>
      </c>
      <c r="S886" s="91">
        <f t="shared" si="502"/>
        <v>12626.534248467056</v>
      </c>
      <c r="T886" s="91">
        <f t="shared" si="502"/>
        <v>1625.2511007560001</v>
      </c>
      <c r="U886" s="91">
        <f t="shared" si="502"/>
        <v>109.90186945490733</v>
      </c>
      <c r="V886" s="91">
        <f t="shared" si="502"/>
        <v>91514</v>
      </c>
      <c r="W886" s="91">
        <f t="shared" si="502"/>
        <v>0</v>
      </c>
      <c r="X886" s="94">
        <f>SUM(G886:W886)</f>
        <v>133195931.14461496</v>
      </c>
      <c r="Y886" s="87" t="str">
        <f t="shared" si="499"/>
        <v>ok</v>
      </c>
      <c r="Z886" s="91" t="str">
        <f t="shared" si="500"/>
        <v/>
      </c>
    </row>
    <row r="887" spans="1:26" ht="12" customHeight="1" x14ac:dyDescent="0.5">
      <c r="A887" s="86" t="s">
        <v>2390</v>
      </c>
      <c r="D887" s="86" t="s">
        <v>2403</v>
      </c>
      <c r="E887" s="86" t="s">
        <v>2402</v>
      </c>
      <c r="F887" s="107">
        <v>1</v>
      </c>
      <c r="G887" s="106">
        <f t="shared" ref="G887:W887" si="504">IF(VLOOKUP($E887,$D$5:$AK$998,3,)=0,0,(VLOOKUP($E887,$D$5:$AK$998,G$1,)/VLOOKUP($E887,$D$5:$AK$998,3,))*$F887)</f>
        <v>0.40969228648596656</v>
      </c>
      <c r="H887" s="106">
        <f t="shared" si="504"/>
        <v>4.184021264961347E-4</v>
      </c>
      <c r="I887" s="106">
        <f t="shared" si="504"/>
        <v>0.11046057650097206</v>
      </c>
      <c r="J887" s="106">
        <f t="shared" si="504"/>
        <v>7.0879534578490253E-3</v>
      </c>
      <c r="K887" s="106">
        <f t="shared" si="504"/>
        <v>0.10300890914080689</v>
      </c>
      <c r="L887" s="106">
        <f t="shared" si="504"/>
        <v>4.4752407667831727E-3</v>
      </c>
      <c r="M887" s="106">
        <f t="shared" si="504"/>
        <v>9.9066396653948688E-2</v>
      </c>
      <c r="N887" s="106">
        <f t="shared" si="504"/>
        <v>0.18135200309285959</v>
      </c>
      <c r="O887" s="106">
        <f t="shared" si="504"/>
        <v>5.903280707588493E-2</v>
      </c>
      <c r="P887" s="106">
        <f t="shared" si="504"/>
        <v>2.4445404187325166E-2</v>
      </c>
      <c r="Q887" s="106">
        <f t="shared" si="504"/>
        <v>1.5933655861336826E-4</v>
      </c>
      <c r="R887" s="106">
        <f t="shared" si="504"/>
        <v>5.7971544604083035E-6</v>
      </c>
      <c r="S887" s="106">
        <f t="shared" si="504"/>
        <v>9.4796696415283397E-5</v>
      </c>
      <c r="T887" s="106">
        <f t="shared" si="504"/>
        <v>1.22019575732491E-5</v>
      </c>
      <c r="U887" s="106">
        <f t="shared" si="504"/>
        <v>8.2511431475773427E-7</v>
      </c>
      <c r="V887" s="106">
        <f t="shared" si="504"/>
        <v>6.8706302973054335E-4</v>
      </c>
      <c r="W887" s="106">
        <f t="shared" si="504"/>
        <v>0</v>
      </c>
      <c r="X887" s="98">
        <f>SUM(G887:W887)</f>
        <v>0.99999999999999978</v>
      </c>
      <c r="Y887" s="87" t="str">
        <f t="shared" si="499"/>
        <v>ok</v>
      </c>
      <c r="Z887" s="91" t="str">
        <f t="shared" si="500"/>
        <v/>
      </c>
    </row>
    <row r="888" spans="1:26" ht="12" customHeight="1" x14ac:dyDescent="0.5">
      <c r="F888" s="107"/>
      <c r="G888" s="106"/>
      <c r="H888" s="106"/>
      <c r="I888" s="106"/>
      <c r="J888" s="106"/>
      <c r="K888" s="106"/>
      <c r="L888" s="106"/>
      <c r="M888" s="106"/>
      <c r="N888" s="106"/>
      <c r="O888" s="106"/>
      <c r="P888" s="106"/>
      <c r="Q888" s="106"/>
      <c r="R888" s="106"/>
      <c r="S888" s="106"/>
      <c r="T888" s="106"/>
      <c r="U888" s="106"/>
      <c r="V888" s="106"/>
      <c r="W888" s="106"/>
      <c r="X888" s="98"/>
      <c r="Y888" s="87"/>
      <c r="Z888" s="91"/>
    </row>
    <row r="889" spans="1:26" ht="12" customHeight="1" x14ac:dyDescent="0.5">
      <c r="A889" s="86" t="s">
        <v>2391</v>
      </c>
      <c r="D889" s="86" t="s">
        <v>2404</v>
      </c>
      <c r="F889" s="90">
        <f>F858</f>
        <v>2463594.9027471254</v>
      </c>
      <c r="G889" s="90">
        <f t="shared" ref="G889:W889" si="505">G858</f>
        <v>1010009.7690536255</v>
      </c>
      <c r="H889" s="90">
        <f t="shared" ref="H889" si="506">H858</f>
        <v>1031.482039309476</v>
      </c>
      <c r="I889" s="90">
        <f t="shared" si="505"/>
        <v>272317.21231124201</v>
      </c>
      <c r="J889" s="90">
        <f t="shared" si="505"/>
        <v>17473.851647119453</v>
      </c>
      <c r="K889" s="90">
        <f t="shared" si="505"/>
        <v>253946.70088653482</v>
      </c>
      <c r="L889" s="90">
        <f t="shared" si="505"/>
        <v>11032.760543498471</v>
      </c>
      <c r="M889" s="90">
        <f t="shared" si="505"/>
        <v>244227.26935782068</v>
      </c>
      <c r="N889" s="90">
        <f t="shared" si="505"/>
        <v>447085.04602882155</v>
      </c>
      <c r="O889" s="90">
        <f t="shared" si="505"/>
        <v>145532.91289106099</v>
      </c>
      <c r="P889" s="90">
        <f t="shared" si="505"/>
        <v>60264.978990539406</v>
      </c>
      <c r="Q889" s="90">
        <f t="shared" si="505"/>
        <v>392.81061927535228</v>
      </c>
      <c r="R889" s="90">
        <f t="shared" si="505"/>
        <v>14.291659449941212</v>
      </c>
      <c r="S889" s="90">
        <f t="shared" si="505"/>
        <v>233.70122555804252</v>
      </c>
      <c r="T889" s="90">
        <f t="shared" si="505"/>
        <v>30.081348263269305</v>
      </c>
      <c r="U889" s="90">
        <f t="shared" si="505"/>
        <v>2.0341450058514727</v>
      </c>
      <c r="V889" s="90">
        <f t="shared" si="505"/>
        <v>0</v>
      </c>
      <c r="W889" s="90">
        <f t="shared" si="505"/>
        <v>0</v>
      </c>
      <c r="X889" s="94">
        <f>SUM(G889:W889)</f>
        <v>2463594.9027471254</v>
      </c>
      <c r="Y889" s="87" t="str">
        <f t="shared" ref="Y889:Y894" si="507">IF(ABS(F889-X889)&lt;0.01,"ok","err")</f>
        <v>ok</v>
      </c>
      <c r="Z889" s="91" t="str">
        <f t="shared" ref="Z889:Z894" si="508">IF(Y889="err",X889-F889,"")</f>
        <v/>
      </c>
    </row>
    <row r="890" spans="1:26" ht="12" customHeight="1" x14ac:dyDescent="0.5">
      <c r="A890" s="86" t="s">
        <v>2392</v>
      </c>
      <c r="F890" s="91">
        <f>F294</f>
        <v>288540355.83999676</v>
      </c>
      <c r="G890" s="90"/>
      <c r="H890" s="90"/>
      <c r="I890" s="90"/>
      <c r="J890" s="90"/>
      <c r="K890" s="90"/>
      <c r="L890" s="90"/>
      <c r="M890" s="90"/>
      <c r="N890" s="90"/>
      <c r="O890" s="90"/>
      <c r="P890" s="90"/>
      <c r="Q890" s="90"/>
      <c r="R890" s="90"/>
      <c r="S890" s="90"/>
      <c r="T890" s="90"/>
      <c r="U890" s="90"/>
      <c r="V890" s="90"/>
      <c r="W890" s="90">
        <f>W887</f>
        <v>0</v>
      </c>
      <c r="X890" s="94">
        <f>F890</f>
        <v>288540355.83999676</v>
      </c>
      <c r="Y890" s="87" t="str">
        <f t="shared" si="507"/>
        <v>ok</v>
      </c>
      <c r="Z890" s="91" t="str">
        <f t="shared" si="508"/>
        <v/>
      </c>
    </row>
    <row r="891" spans="1:26" ht="12" customHeight="1" x14ac:dyDescent="0.5">
      <c r="A891" s="86" t="s">
        <v>848</v>
      </c>
      <c r="F891" s="91">
        <v>120930.99280325</v>
      </c>
      <c r="G891" s="91"/>
      <c r="H891" s="91"/>
      <c r="I891" s="91"/>
      <c r="J891" s="91"/>
      <c r="K891" s="91"/>
      <c r="L891" s="91"/>
      <c r="M891" s="91"/>
      <c r="N891" s="91"/>
      <c r="O891" s="91"/>
      <c r="P891" s="91"/>
      <c r="Q891" s="91"/>
      <c r="R891" s="91"/>
      <c r="S891" s="91"/>
      <c r="T891" s="91"/>
      <c r="U891" s="91"/>
      <c r="V891" s="91">
        <f>106487.13</f>
        <v>106487.13</v>
      </c>
      <c r="W891" s="91">
        <f>14443.86</f>
        <v>14443.86</v>
      </c>
      <c r="X891" s="94">
        <f>SUM(G891:W891)</f>
        <v>120930.99</v>
      </c>
      <c r="Y891" s="87" t="str">
        <f t="shared" si="507"/>
        <v>ok</v>
      </c>
      <c r="Z891" s="91" t="str">
        <f t="shared" si="508"/>
        <v/>
      </c>
    </row>
    <row r="892" spans="1:26" ht="12" customHeight="1" x14ac:dyDescent="0.5">
      <c r="A892" s="86" t="s">
        <v>2393</v>
      </c>
      <c r="E892" s="86" t="s">
        <v>2404</v>
      </c>
      <c r="F892" s="91">
        <f>F890-F891</f>
        <v>288419424.84719348</v>
      </c>
      <c r="G892" s="89">
        <f t="shared" ref="G892:W892" si="509">IF(VLOOKUP($E892,$D$5:$AK$998,3,)=0,0,(VLOOKUP($E892,$D$5:$AK$998,G$1,)/VLOOKUP($E892,$D$5:$AK$998,3,))*$F892)</f>
        <v>118244455.02613318</v>
      </c>
      <c r="H892" s="89">
        <f t="shared" si="509"/>
        <v>120758.26922117398</v>
      </c>
      <c r="I892" s="89">
        <f t="shared" si="509"/>
        <v>31880880.116783291</v>
      </c>
      <c r="J892" s="89">
        <f t="shared" si="509"/>
        <v>2045708.9906735711</v>
      </c>
      <c r="K892" s="89">
        <f t="shared" si="509"/>
        <v>29730196.847648967</v>
      </c>
      <c r="L892" s="89">
        <f t="shared" si="509"/>
        <v>1291633.8018415116</v>
      </c>
      <c r="M892" s="89">
        <f t="shared" si="509"/>
        <v>28592317.869158018</v>
      </c>
      <c r="N892" s="89">
        <f t="shared" si="509"/>
        <v>52341402.26935254</v>
      </c>
      <c r="O892" s="89">
        <f t="shared" si="509"/>
        <v>17037914.385019727</v>
      </c>
      <c r="P892" s="89">
        <f t="shared" si="509"/>
        <v>7055376.9044973953</v>
      </c>
      <c r="Q892" s="89">
        <f t="shared" si="509"/>
        <v>45987.354803719543</v>
      </c>
      <c r="R892" s="89">
        <f t="shared" si="509"/>
        <v>1673.1615226462829</v>
      </c>
      <c r="S892" s="89">
        <f t="shared" si="509"/>
        <v>27360.006706611337</v>
      </c>
      <c r="T892" s="89">
        <f t="shared" si="509"/>
        <v>3521.701215993628</v>
      </c>
      <c r="U892" s="89">
        <f t="shared" si="509"/>
        <v>238.14261508223822</v>
      </c>
      <c r="V892" s="89">
        <f t="shared" si="509"/>
        <v>0</v>
      </c>
      <c r="W892" s="89">
        <f t="shared" si="509"/>
        <v>0</v>
      </c>
      <c r="X892" s="94">
        <f>SUM(G892:W892)</f>
        <v>288419424.84719336</v>
      </c>
      <c r="Y892" s="87" t="str">
        <f t="shared" si="507"/>
        <v>ok</v>
      </c>
      <c r="Z892" s="91" t="str">
        <f t="shared" si="508"/>
        <v/>
      </c>
    </row>
    <row r="893" spans="1:26" ht="12" customHeight="1" x14ac:dyDescent="0.5">
      <c r="A893" s="86" t="s">
        <v>2394</v>
      </c>
      <c r="D893" s="86" t="s">
        <v>2405</v>
      </c>
      <c r="F893" s="91">
        <f t="shared" ref="F893:W893" si="510">F891+F892</f>
        <v>288540355.83999676</v>
      </c>
      <c r="G893" s="91">
        <f t="shared" si="510"/>
        <v>118244455.02613318</v>
      </c>
      <c r="H893" s="91">
        <f t="shared" ref="H893" si="511">H891+H892</f>
        <v>120758.26922117398</v>
      </c>
      <c r="I893" s="91">
        <f t="shared" si="510"/>
        <v>31880880.116783291</v>
      </c>
      <c r="J893" s="91">
        <f t="shared" si="510"/>
        <v>2045708.9906735711</v>
      </c>
      <c r="K893" s="91">
        <f t="shared" si="510"/>
        <v>29730196.847648967</v>
      </c>
      <c r="L893" s="91">
        <f t="shared" si="510"/>
        <v>1291633.8018415116</v>
      </c>
      <c r="M893" s="91">
        <f t="shared" si="510"/>
        <v>28592317.869158018</v>
      </c>
      <c r="N893" s="91">
        <f t="shared" si="510"/>
        <v>52341402.26935254</v>
      </c>
      <c r="O893" s="91">
        <f t="shared" si="510"/>
        <v>17037914.385019727</v>
      </c>
      <c r="P893" s="91">
        <f t="shared" si="510"/>
        <v>7055376.9044973953</v>
      </c>
      <c r="Q893" s="91">
        <f t="shared" si="510"/>
        <v>45987.354803719543</v>
      </c>
      <c r="R893" s="91">
        <f t="shared" si="510"/>
        <v>1673.1615226462829</v>
      </c>
      <c r="S893" s="91">
        <f t="shared" si="510"/>
        <v>27360.006706611337</v>
      </c>
      <c r="T893" s="91">
        <f t="shared" si="510"/>
        <v>3521.701215993628</v>
      </c>
      <c r="U893" s="91">
        <f t="shared" si="510"/>
        <v>238.14261508223822</v>
      </c>
      <c r="V893" s="91">
        <f t="shared" si="510"/>
        <v>106487.13</v>
      </c>
      <c r="W893" s="91">
        <f t="shared" si="510"/>
        <v>14443.86</v>
      </c>
      <c r="X893" s="94">
        <f>SUM(G893:W893)</f>
        <v>288540355.83719337</v>
      </c>
      <c r="Y893" s="87" t="str">
        <f t="shared" si="507"/>
        <v>ok</v>
      </c>
      <c r="Z893" s="91" t="str">
        <f t="shared" si="508"/>
        <v/>
      </c>
    </row>
    <row r="894" spans="1:26" ht="12" customHeight="1" x14ac:dyDescent="0.5">
      <c r="A894" s="86" t="s">
        <v>2395</v>
      </c>
      <c r="D894" s="86" t="s">
        <v>2406</v>
      </c>
      <c r="E894" s="86" t="s">
        <v>2405</v>
      </c>
      <c r="F894" s="107">
        <v>1</v>
      </c>
      <c r="G894" s="106">
        <f t="shared" ref="G894:W894" si="512">IF(VLOOKUP($E894,$D$5:$AK$998,3,)=0,0,(VLOOKUP($E894,$D$5:$AK$998,G$1,)/VLOOKUP($E894,$D$5:$AK$998,3,))*$F894)</f>
        <v>0.40980213905226781</v>
      </c>
      <c r="H894" s="106">
        <f t="shared" si="512"/>
        <v>4.1851431446954208E-4</v>
      </c>
      <c r="I894" s="106">
        <f t="shared" si="512"/>
        <v>0.11049019477352444</v>
      </c>
      <c r="J894" s="106">
        <f t="shared" si="512"/>
        <v>7.0898539814928723E-3</v>
      </c>
      <c r="K894" s="106">
        <f t="shared" si="512"/>
        <v>0.1030365293655323</v>
      </c>
      <c r="L894" s="106">
        <f t="shared" si="512"/>
        <v>4.4764407324629375E-3</v>
      </c>
      <c r="M894" s="106">
        <f t="shared" si="512"/>
        <v>9.9092959755734178E-2</v>
      </c>
      <c r="N894" s="106">
        <f t="shared" si="512"/>
        <v>0.18140062979050747</v>
      </c>
      <c r="O894" s="106">
        <f t="shared" si="512"/>
        <v>5.9048635797994582E-2</v>
      </c>
      <c r="P894" s="106">
        <f t="shared" si="512"/>
        <v>2.4451958839372154E-2</v>
      </c>
      <c r="Q894" s="106">
        <f t="shared" si="512"/>
        <v>1.5937928221458473E-4</v>
      </c>
      <c r="R894" s="106">
        <f t="shared" si="512"/>
        <v>5.7987088765291996E-6</v>
      </c>
      <c r="S894" s="106">
        <f t="shared" si="512"/>
        <v>9.482211466386069E-5</v>
      </c>
      <c r="T894" s="106">
        <f t="shared" si="512"/>
        <v>1.2205229336954532E-5</v>
      </c>
      <c r="U894" s="106">
        <f t="shared" si="512"/>
        <v>8.2533555623080534E-7</v>
      </c>
      <c r="V894" s="106">
        <f t="shared" si="512"/>
        <v>3.6905454590570314E-4</v>
      </c>
      <c r="W894" s="106">
        <f t="shared" si="512"/>
        <v>5.0058370372321517E-5</v>
      </c>
      <c r="X894" s="98">
        <f>SUM(G894:W894)</f>
        <v>0.99999999999028444</v>
      </c>
      <c r="Y894" s="87" t="str">
        <f t="shared" si="507"/>
        <v>ok</v>
      </c>
      <c r="Z894" s="91" t="str">
        <f t="shared" si="508"/>
        <v/>
      </c>
    </row>
    <row r="895" spans="1:26" ht="12" customHeight="1" x14ac:dyDescent="0.5">
      <c r="F895" s="107"/>
      <c r="G895" s="106"/>
      <c r="H895" s="106"/>
      <c r="I895" s="106"/>
      <c r="J895" s="106"/>
      <c r="K895" s="106"/>
      <c r="L895" s="106"/>
      <c r="M895" s="106"/>
      <c r="N895" s="106"/>
      <c r="O895" s="106"/>
      <c r="P895" s="106"/>
      <c r="Q895" s="106"/>
      <c r="R895" s="106"/>
      <c r="S895" s="106"/>
      <c r="T895" s="106"/>
      <c r="U895" s="106"/>
      <c r="V895" s="106"/>
      <c r="W895" s="106"/>
      <c r="X895" s="98"/>
      <c r="Y895" s="87"/>
      <c r="Z895" s="91"/>
    </row>
    <row r="896" spans="1:26" ht="12" customHeight="1" x14ac:dyDescent="0.5">
      <c r="A896" s="86" t="s">
        <v>2396</v>
      </c>
      <c r="D896" s="86" t="s">
        <v>2407</v>
      </c>
      <c r="F896" s="90">
        <f>F858</f>
        <v>2463594.9027471254</v>
      </c>
      <c r="G896" s="90">
        <f t="shared" ref="G896:W896" si="513">G858</f>
        <v>1010009.7690536255</v>
      </c>
      <c r="H896" s="90">
        <f t="shared" ref="H896" si="514">H858</f>
        <v>1031.482039309476</v>
      </c>
      <c r="I896" s="90">
        <f t="shared" si="513"/>
        <v>272317.21231124201</v>
      </c>
      <c r="J896" s="90">
        <f t="shared" si="513"/>
        <v>17473.851647119453</v>
      </c>
      <c r="K896" s="90">
        <f t="shared" si="513"/>
        <v>253946.70088653482</v>
      </c>
      <c r="L896" s="90">
        <f t="shared" si="513"/>
        <v>11032.760543498471</v>
      </c>
      <c r="M896" s="90">
        <f t="shared" si="513"/>
        <v>244227.26935782068</v>
      </c>
      <c r="N896" s="90">
        <f t="shared" si="513"/>
        <v>447085.04602882155</v>
      </c>
      <c r="O896" s="90">
        <f t="shared" si="513"/>
        <v>145532.91289106099</v>
      </c>
      <c r="P896" s="90">
        <f t="shared" si="513"/>
        <v>60264.978990539406</v>
      </c>
      <c r="Q896" s="90">
        <f t="shared" si="513"/>
        <v>392.81061927535228</v>
      </c>
      <c r="R896" s="90">
        <f t="shared" si="513"/>
        <v>14.291659449941212</v>
      </c>
      <c r="S896" s="90">
        <f t="shared" si="513"/>
        <v>233.70122555804252</v>
      </c>
      <c r="T896" s="90">
        <f t="shared" si="513"/>
        <v>30.081348263269305</v>
      </c>
      <c r="U896" s="90">
        <f t="shared" si="513"/>
        <v>2.0341450058514727</v>
      </c>
      <c r="V896" s="90">
        <f t="shared" si="513"/>
        <v>0</v>
      </c>
      <c r="W896" s="90">
        <f t="shared" si="513"/>
        <v>0</v>
      </c>
      <c r="X896" s="94">
        <f>SUM(G896:W896)</f>
        <v>2463594.9027471254</v>
      </c>
      <c r="Y896" s="87" t="str">
        <f t="shared" ref="Y896:Y901" si="515">IF(ABS(F896-X896)&lt;0.01,"ok","err")</f>
        <v>ok</v>
      </c>
      <c r="Z896" s="91" t="str">
        <f t="shared" ref="Z896:Z901" si="516">IF(Y896="err",X896-F896,"")</f>
        <v/>
      </c>
    </row>
    <row r="897" spans="1:26" ht="12" customHeight="1" x14ac:dyDescent="0.5">
      <c r="A897" s="86" t="s">
        <v>2397</v>
      </c>
      <c r="F897" s="91">
        <f>F408</f>
        <v>22386637.187066048</v>
      </c>
      <c r="G897" s="90"/>
      <c r="H897" s="90"/>
      <c r="I897" s="90"/>
      <c r="J897" s="90"/>
      <c r="K897" s="90"/>
      <c r="L897" s="90"/>
      <c r="M897" s="90"/>
      <c r="N897" s="90"/>
      <c r="O897" s="90"/>
      <c r="P897" s="90"/>
      <c r="Q897" s="90"/>
      <c r="R897" s="90"/>
      <c r="S897" s="90"/>
      <c r="T897" s="90"/>
      <c r="U897" s="90"/>
      <c r="V897" s="90"/>
      <c r="W897" s="90">
        <f>W894</f>
        <v>5.0058370372321517E-5</v>
      </c>
      <c r="X897" s="94">
        <f>F897</f>
        <v>22386637.187066048</v>
      </c>
      <c r="Y897" s="87" t="str">
        <f t="shared" si="515"/>
        <v>ok</v>
      </c>
      <c r="Z897" s="91" t="str">
        <f t="shared" si="516"/>
        <v/>
      </c>
    </row>
    <row r="898" spans="1:26" ht="12" customHeight="1" x14ac:dyDescent="0.5">
      <c r="A898" s="86" t="s">
        <v>848</v>
      </c>
      <c r="F898" s="91">
        <f>4038.948689961+569.386976219062</f>
        <v>4608.3356661800626</v>
      </c>
      <c r="G898" s="91"/>
      <c r="H898" s="91"/>
      <c r="I898" s="91"/>
      <c r="J898" s="91"/>
      <c r="K898" s="91"/>
      <c r="L898" s="91"/>
      <c r="M898" s="91"/>
      <c r="N898" s="91"/>
      <c r="O898" s="91"/>
      <c r="P898" s="91"/>
      <c r="Q898" s="91"/>
      <c r="R898" s="91"/>
      <c r="S898" s="91"/>
      <c r="T898" s="91"/>
      <c r="U898" s="91"/>
      <c r="V898" s="91">
        <f>4038.948689961</f>
        <v>4038.9486899610001</v>
      </c>
      <c r="W898" s="91">
        <v>569.38697621906249</v>
      </c>
      <c r="X898" s="94">
        <f>SUM(G898:W898)</f>
        <v>4608.3356661800626</v>
      </c>
      <c r="Y898" s="87" t="str">
        <f t="shared" si="515"/>
        <v>ok</v>
      </c>
      <c r="Z898" s="91" t="str">
        <f t="shared" si="516"/>
        <v/>
      </c>
    </row>
    <row r="899" spans="1:26" ht="12" customHeight="1" x14ac:dyDescent="0.5">
      <c r="A899" s="86" t="s">
        <v>2398</v>
      </c>
      <c r="E899" s="86" t="s">
        <v>2407</v>
      </c>
      <c r="F899" s="91">
        <f>F897-F898</f>
        <v>22382028.851399869</v>
      </c>
      <c r="G899" s="89">
        <f t="shared" ref="G899:W899" si="517">IF(VLOOKUP($E899,$D$5:$AK$998,3,)=0,0,(VLOOKUP($E899,$D$5:$AK$998,G$1,)/VLOOKUP($E899,$D$5:$AK$998,3,))*$F899)</f>
        <v>9176049.1004207749</v>
      </c>
      <c r="H899" s="89">
        <f t="shared" si="517"/>
        <v>9371.1270216470275</v>
      </c>
      <c r="I899" s="89">
        <f t="shared" si="517"/>
        <v>2474031.6258515259</v>
      </c>
      <c r="J899" s="89">
        <f t="shared" si="517"/>
        <v>158751.85131889884</v>
      </c>
      <c r="K899" s="89">
        <f t="shared" si="517"/>
        <v>2307133.5224887216</v>
      </c>
      <c r="L899" s="89">
        <f t="shared" si="517"/>
        <v>100233.83492140447</v>
      </c>
      <c r="M899" s="89">
        <f t="shared" si="517"/>
        <v>2218831.4251543311</v>
      </c>
      <c r="N899" s="89">
        <f t="shared" si="517"/>
        <v>4061816.4894269765</v>
      </c>
      <c r="O899" s="89">
        <f t="shared" si="517"/>
        <v>1322182.4138066652</v>
      </c>
      <c r="P899" s="89">
        <f t="shared" si="517"/>
        <v>547513.91837642249</v>
      </c>
      <c r="Q899" s="89">
        <f t="shared" si="517"/>
        <v>3568.7273926218322</v>
      </c>
      <c r="R899" s="89">
        <f t="shared" si="517"/>
        <v>129.84128753727956</v>
      </c>
      <c r="S899" s="89">
        <f t="shared" si="517"/>
        <v>2123.2011672109388</v>
      </c>
      <c r="T899" s="89">
        <f t="shared" si="517"/>
        <v>273.29233550805475</v>
      </c>
      <c r="U899" s="89">
        <f t="shared" si="517"/>
        <v>18.480429618575101</v>
      </c>
      <c r="V899" s="89">
        <f t="shared" si="517"/>
        <v>0</v>
      </c>
      <c r="W899" s="89">
        <f t="shared" si="517"/>
        <v>0</v>
      </c>
      <c r="X899" s="94">
        <f>SUM(G899:W899)</f>
        <v>22382028.851399869</v>
      </c>
      <c r="Y899" s="87" t="str">
        <f t="shared" si="515"/>
        <v>ok</v>
      </c>
      <c r="Z899" s="91" t="str">
        <f t="shared" si="516"/>
        <v/>
      </c>
    </row>
    <row r="900" spans="1:26" ht="12" customHeight="1" x14ac:dyDescent="0.5">
      <c r="A900" s="86" t="s">
        <v>2399</v>
      </c>
      <c r="D900" s="86" t="s">
        <v>2408</v>
      </c>
      <c r="F900" s="91">
        <f t="shared" ref="F900:W900" si="518">F898+F899</f>
        <v>22386637.187066048</v>
      </c>
      <c r="G900" s="91">
        <f t="shared" si="518"/>
        <v>9176049.1004207749</v>
      </c>
      <c r="H900" s="91">
        <f t="shared" ref="H900" si="519">H898+H899</f>
        <v>9371.1270216470275</v>
      </c>
      <c r="I900" s="91">
        <f t="shared" si="518"/>
        <v>2474031.6258515259</v>
      </c>
      <c r="J900" s="91">
        <f t="shared" si="518"/>
        <v>158751.85131889884</v>
      </c>
      <c r="K900" s="91">
        <f t="shared" si="518"/>
        <v>2307133.5224887216</v>
      </c>
      <c r="L900" s="91">
        <f t="shared" si="518"/>
        <v>100233.83492140447</v>
      </c>
      <c r="M900" s="91">
        <f t="shared" si="518"/>
        <v>2218831.4251543311</v>
      </c>
      <c r="N900" s="91">
        <f t="shared" si="518"/>
        <v>4061816.4894269765</v>
      </c>
      <c r="O900" s="91">
        <f t="shared" si="518"/>
        <v>1322182.4138066652</v>
      </c>
      <c r="P900" s="91">
        <f t="shared" si="518"/>
        <v>547513.91837642249</v>
      </c>
      <c r="Q900" s="91">
        <f t="shared" si="518"/>
        <v>3568.7273926218322</v>
      </c>
      <c r="R900" s="91">
        <f t="shared" si="518"/>
        <v>129.84128753727956</v>
      </c>
      <c r="S900" s="91">
        <f t="shared" si="518"/>
        <v>2123.2011672109388</v>
      </c>
      <c r="T900" s="91">
        <f t="shared" si="518"/>
        <v>273.29233550805475</v>
      </c>
      <c r="U900" s="91">
        <f t="shared" si="518"/>
        <v>18.480429618575101</v>
      </c>
      <c r="V900" s="91">
        <f t="shared" si="518"/>
        <v>4038.9486899610001</v>
      </c>
      <c r="W900" s="91">
        <f t="shared" si="518"/>
        <v>569.38697621906249</v>
      </c>
      <c r="X900" s="94">
        <f>SUM(G900:W900)</f>
        <v>22386637.187066048</v>
      </c>
      <c r="Y900" s="87" t="str">
        <f t="shared" si="515"/>
        <v>ok</v>
      </c>
      <c r="Z900" s="91" t="str">
        <f t="shared" si="516"/>
        <v/>
      </c>
    </row>
    <row r="901" spans="1:26" ht="12" customHeight="1" x14ac:dyDescent="0.5">
      <c r="A901" s="86" t="s">
        <v>2400</v>
      </c>
      <c r="D901" s="86" t="s">
        <v>2409</v>
      </c>
      <c r="E901" s="86" t="s">
        <v>2408</v>
      </c>
      <c r="F901" s="107">
        <v>1</v>
      </c>
      <c r="G901" s="106">
        <f t="shared" ref="G901:W901" si="520">IF(VLOOKUP($E901,$D$5:$AK$998,3,)=0,0,(VLOOKUP($E901,$D$5:$AK$998,G$1,)/VLOOKUP($E901,$D$5:$AK$998,3,))*$F901)</f>
        <v>0.40988957044974433</v>
      </c>
      <c r="H901" s="106">
        <f t="shared" si="520"/>
        <v>4.1860360461200605E-4</v>
      </c>
      <c r="I901" s="106">
        <f t="shared" si="520"/>
        <v>0.11051376788653661</v>
      </c>
      <c r="J901" s="106">
        <f t="shared" si="520"/>
        <v>7.0913666037620976E-3</v>
      </c>
      <c r="K901" s="106">
        <f t="shared" si="520"/>
        <v>0.10305851223700875</v>
      </c>
      <c r="L901" s="106">
        <f t="shared" si="520"/>
        <v>4.4773957823069062E-3</v>
      </c>
      <c r="M901" s="106">
        <f t="shared" si="520"/>
        <v>9.9114101265565163E-2</v>
      </c>
      <c r="N901" s="106">
        <f t="shared" si="520"/>
        <v>0.18143933166405646</v>
      </c>
      <c r="O901" s="106">
        <f t="shared" si="520"/>
        <v>5.9061233840451942E-2</v>
      </c>
      <c r="P901" s="106">
        <f t="shared" si="520"/>
        <v>2.4457175671420198E-2</v>
      </c>
      <c r="Q901" s="106">
        <f t="shared" si="520"/>
        <v>1.5941328582765775E-4</v>
      </c>
      <c r="R901" s="106">
        <f t="shared" si="520"/>
        <v>5.7999460326402115E-6</v>
      </c>
      <c r="S901" s="106">
        <f t="shared" si="520"/>
        <v>9.4842344987733352E-5</v>
      </c>
      <c r="T901" s="106">
        <f t="shared" si="520"/>
        <v>1.2207833325942776E-5</v>
      </c>
      <c r="U901" s="106">
        <f t="shared" si="520"/>
        <v>8.2551164179550058E-7</v>
      </c>
      <c r="V901" s="106">
        <f t="shared" si="520"/>
        <v>1.804178383832707E-4</v>
      </c>
      <c r="W901" s="106">
        <f t="shared" si="520"/>
        <v>2.5434234336366861E-5</v>
      </c>
      <c r="X901" s="98">
        <f>SUM(G901:W901)</f>
        <v>0.99999999999999989</v>
      </c>
      <c r="Y901" s="87" t="str">
        <f t="shared" si="515"/>
        <v>ok</v>
      </c>
      <c r="Z901" s="91" t="str">
        <f t="shared" si="516"/>
        <v/>
      </c>
    </row>
    <row r="902" spans="1:26" ht="12" customHeight="1" x14ac:dyDescent="0.5">
      <c r="F902" s="107"/>
      <c r="G902" s="106"/>
      <c r="H902" s="106"/>
      <c r="I902" s="106"/>
      <c r="J902" s="106"/>
      <c r="K902" s="106"/>
      <c r="L902" s="106"/>
      <c r="M902" s="106"/>
      <c r="N902" s="106"/>
      <c r="O902" s="106"/>
      <c r="P902" s="106"/>
      <c r="Q902" s="106"/>
      <c r="R902" s="106"/>
      <c r="S902" s="106"/>
      <c r="T902" s="106"/>
      <c r="U902" s="106"/>
      <c r="V902" s="106"/>
      <c r="W902" s="106"/>
      <c r="X902" s="98"/>
      <c r="Y902" s="87"/>
      <c r="Z902" s="91"/>
    </row>
    <row r="903" spans="1:26" ht="12" customHeight="1" x14ac:dyDescent="0.5">
      <c r="A903" s="22" t="s">
        <v>2415</v>
      </c>
      <c r="F903" s="107"/>
      <c r="G903" s="106"/>
      <c r="H903" s="106"/>
      <c r="I903" s="106"/>
      <c r="J903" s="106"/>
      <c r="K903" s="106"/>
      <c r="L903" s="106"/>
      <c r="M903" s="106"/>
      <c r="N903" s="106"/>
      <c r="O903" s="106"/>
      <c r="P903" s="106"/>
      <c r="Q903" s="106"/>
      <c r="R903" s="106"/>
      <c r="S903" s="106"/>
      <c r="T903" s="106"/>
      <c r="U903" s="106"/>
      <c r="V903" s="106"/>
      <c r="W903" s="106"/>
      <c r="X903" s="98"/>
      <c r="Y903" s="87"/>
      <c r="Z903" s="91"/>
    </row>
    <row r="904" spans="1:26" ht="12" customHeight="1" x14ac:dyDescent="0.5">
      <c r="A904" s="86" t="s">
        <v>2410</v>
      </c>
      <c r="D904" s="86" t="s">
        <v>2417</v>
      </c>
      <c r="F904" s="90">
        <f>Meters!$G$47</f>
        <v>49194750.258011512</v>
      </c>
      <c r="G904" s="90">
        <f>Meters!$G$10</f>
        <v>29676843.635354165</v>
      </c>
      <c r="H904" s="90">
        <f>Meters!$G$12</f>
        <v>43420.514033874999</v>
      </c>
      <c r="I904" s="90">
        <f>Meters!$G$14+Meters!$G$16</f>
        <v>11993012.715613034</v>
      </c>
      <c r="J904" s="90">
        <f>Meters!$G$18+Meters!$G$20</f>
        <v>244802.63237858255</v>
      </c>
      <c r="K904" s="90">
        <f>Meters!$G$22</f>
        <v>3749766.7077880916</v>
      </c>
      <c r="L904" s="90">
        <f>Meters!$G$24</f>
        <v>733308.08051836654</v>
      </c>
      <c r="M904" s="90">
        <f>Meters!$G$26</f>
        <v>670690.66895021172</v>
      </c>
      <c r="N904" s="90">
        <f>Meters!$G$28</f>
        <v>1299034.4739233158</v>
      </c>
      <c r="O904" s="90">
        <f>Meters!$G$30</f>
        <v>644052.01482892304</v>
      </c>
      <c r="P904" s="90">
        <f>Meters!$G$32</f>
        <v>39757.048914100007</v>
      </c>
      <c r="Q904" s="90">
        <f>Meters!$G$34</f>
        <v>0</v>
      </c>
      <c r="R904" s="90">
        <f>Meters!$G$36</f>
        <v>7256.3489603999997</v>
      </c>
      <c r="S904" s="90">
        <f>Meters!$G$38</f>
        <v>89427.782095300005</v>
      </c>
      <c r="T904" s="90">
        <f>Meters!$G$40</f>
        <v>3377.634653152787</v>
      </c>
      <c r="U904" s="90">
        <f>Meters!$G$42</f>
        <v>0</v>
      </c>
      <c r="V904" s="90">
        <f>Meters!$G$44</f>
        <v>0</v>
      </c>
      <c r="W904" s="106">
        <v>0</v>
      </c>
      <c r="X904" s="94">
        <f>SUM(G904:W904)</f>
        <v>49194750.25801152</v>
      </c>
      <c r="Y904" s="87" t="str">
        <f t="shared" ref="Y904:Y909" si="521">IF(ABS(F904-X904)&lt;0.01,"ok","err")</f>
        <v>ok</v>
      </c>
      <c r="Z904" s="91" t="str">
        <f t="shared" ref="Z904:Z909" si="522">IF(Y904="err",X904-F904,"")</f>
        <v/>
      </c>
    </row>
    <row r="905" spans="1:26" ht="12" customHeight="1" x14ac:dyDescent="0.5">
      <c r="A905" s="86" t="s">
        <v>2411</v>
      </c>
      <c r="F905" s="91">
        <f>F45</f>
        <v>77142556.667383939</v>
      </c>
      <c r="G905" s="90"/>
      <c r="H905" s="90"/>
      <c r="I905" s="90"/>
      <c r="J905" s="90"/>
      <c r="K905" s="90"/>
      <c r="L905" s="90"/>
      <c r="M905" s="90"/>
      <c r="N905" s="90"/>
      <c r="O905" s="90"/>
      <c r="P905" s="90"/>
      <c r="Q905" s="90"/>
      <c r="R905" s="90"/>
      <c r="S905" s="90"/>
      <c r="T905" s="90"/>
      <c r="U905" s="90"/>
      <c r="V905" s="90"/>
      <c r="W905" s="90">
        <f>W901</f>
        <v>2.5434234336366861E-5</v>
      </c>
      <c r="X905" s="94">
        <f>F905</f>
        <v>77142556.667383939</v>
      </c>
      <c r="Y905" s="87" t="str">
        <f t="shared" si="521"/>
        <v>ok</v>
      </c>
      <c r="Z905" s="91" t="str">
        <f t="shared" si="522"/>
        <v/>
      </c>
    </row>
    <row r="906" spans="1:26" ht="12" customHeight="1" x14ac:dyDescent="0.5">
      <c r="A906" s="86" t="s">
        <v>848</v>
      </c>
      <c r="F906" s="91">
        <v>159233.81</v>
      </c>
      <c r="G906" s="91"/>
      <c r="H906" s="91"/>
      <c r="I906" s="91"/>
      <c r="J906" s="91"/>
      <c r="K906" s="91"/>
      <c r="L906" s="91"/>
      <c r="M906" s="91"/>
      <c r="N906" s="91"/>
      <c r="O906" s="91"/>
      <c r="P906" s="91"/>
      <c r="Q906" s="91"/>
      <c r="R906" s="91"/>
      <c r="S906" s="91"/>
      <c r="T906" s="91"/>
      <c r="U906" s="91">
        <v>159233.81</v>
      </c>
      <c r="V906" s="91">
        <v>0</v>
      </c>
      <c r="W906" s="91"/>
      <c r="X906" s="94">
        <f>SUM(G906:W906)</f>
        <v>159233.81</v>
      </c>
      <c r="Y906" s="87" t="str">
        <f t="shared" si="521"/>
        <v>ok</v>
      </c>
      <c r="Z906" s="91" t="str">
        <f t="shared" si="522"/>
        <v/>
      </c>
    </row>
    <row r="907" spans="1:26" ht="12" customHeight="1" x14ac:dyDescent="0.5">
      <c r="A907" s="86" t="s">
        <v>2412</v>
      </c>
      <c r="E907" s="86" t="s">
        <v>2417</v>
      </c>
      <c r="F907" s="91">
        <f>F905-F906</f>
        <v>76983322.857383937</v>
      </c>
      <c r="G907" s="89">
        <f t="shared" ref="G907:W907" si="523">IF(VLOOKUP($E907,$D$5:$AK$998,3,)=0,0,(VLOOKUP($E907,$D$5:$AK$998,G$1,)/VLOOKUP($E907,$D$5:$AK$998,3,))*$F907)</f>
        <v>46440362.497754768</v>
      </c>
      <c r="H907" s="89">
        <f t="shared" si="523"/>
        <v>67947.401561592589</v>
      </c>
      <c r="I907" s="89">
        <f t="shared" si="523"/>
        <v>18767489.723527826</v>
      </c>
      <c r="J907" s="89">
        <f t="shared" si="523"/>
        <v>383083.96700659761</v>
      </c>
      <c r="K907" s="89">
        <f t="shared" si="523"/>
        <v>5867892.3989152601</v>
      </c>
      <c r="L907" s="89">
        <f t="shared" si="523"/>
        <v>1147530.8324648004</v>
      </c>
      <c r="M907" s="89">
        <f t="shared" si="523"/>
        <v>1049542.8076051779</v>
      </c>
      <c r="N907" s="89">
        <f t="shared" si="523"/>
        <v>2032818.334973142</v>
      </c>
      <c r="O907" s="89">
        <f t="shared" si="523"/>
        <v>1007856.8126575488</v>
      </c>
      <c r="P907" s="89">
        <f t="shared" si="523"/>
        <v>62214.559812965686</v>
      </c>
      <c r="Q907" s="89">
        <f t="shared" si="523"/>
        <v>0</v>
      </c>
      <c r="R907" s="89">
        <f t="shared" si="523"/>
        <v>11355.23306561238</v>
      </c>
      <c r="S907" s="89">
        <f t="shared" si="523"/>
        <v>139942.7334289822</v>
      </c>
      <c r="T907" s="89">
        <f t="shared" si="523"/>
        <v>5285.5546096730868</v>
      </c>
      <c r="U907" s="89">
        <f t="shared" si="523"/>
        <v>0</v>
      </c>
      <c r="V907" s="89">
        <f t="shared" si="523"/>
        <v>0</v>
      </c>
      <c r="W907" s="89">
        <f t="shared" si="523"/>
        <v>0</v>
      </c>
      <c r="X907" s="94">
        <f>SUM(G907:W907)</f>
        <v>76983322.857383937</v>
      </c>
      <c r="Y907" s="87" t="str">
        <f t="shared" si="521"/>
        <v>ok</v>
      </c>
      <c r="Z907" s="91" t="str">
        <f t="shared" si="522"/>
        <v/>
      </c>
    </row>
    <row r="908" spans="1:26" ht="12" customHeight="1" x14ac:dyDescent="0.5">
      <c r="A908" s="86" t="s">
        <v>2413</v>
      </c>
      <c r="D908" s="86" t="s">
        <v>2418</v>
      </c>
      <c r="F908" s="91">
        <f t="shared" ref="F908:W908" si="524">F906+F907</f>
        <v>77142556.667383939</v>
      </c>
      <c r="G908" s="91">
        <f t="shared" si="524"/>
        <v>46440362.497754768</v>
      </c>
      <c r="H908" s="91">
        <f t="shared" ref="H908" si="525">H906+H907</f>
        <v>67947.401561592589</v>
      </c>
      <c r="I908" s="91">
        <f t="shared" si="524"/>
        <v>18767489.723527826</v>
      </c>
      <c r="J908" s="91">
        <f t="shared" si="524"/>
        <v>383083.96700659761</v>
      </c>
      <c r="K908" s="91">
        <f t="shared" si="524"/>
        <v>5867892.3989152601</v>
      </c>
      <c r="L908" s="91">
        <f t="shared" si="524"/>
        <v>1147530.8324648004</v>
      </c>
      <c r="M908" s="91">
        <f t="shared" si="524"/>
        <v>1049542.8076051779</v>
      </c>
      <c r="N908" s="91">
        <f t="shared" si="524"/>
        <v>2032818.334973142</v>
      </c>
      <c r="O908" s="91">
        <f t="shared" si="524"/>
        <v>1007856.8126575488</v>
      </c>
      <c r="P908" s="91">
        <f t="shared" si="524"/>
        <v>62214.559812965686</v>
      </c>
      <c r="Q908" s="91">
        <f t="shared" si="524"/>
        <v>0</v>
      </c>
      <c r="R908" s="91">
        <f t="shared" si="524"/>
        <v>11355.23306561238</v>
      </c>
      <c r="S908" s="91">
        <f t="shared" si="524"/>
        <v>139942.7334289822</v>
      </c>
      <c r="T908" s="91">
        <f t="shared" si="524"/>
        <v>5285.5546096730868</v>
      </c>
      <c r="U908" s="91">
        <f t="shared" si="524"/>
        <v>159233.81</v>
      </c>
      <c r="V908" s="91">
        <f t="shared" si="524"/>
        <v>0</v>
      </c>
      <c r="W908" s="91">
        <f t="shared" si="524"/>
        <v>0</v>
      </c>
      <c r="X908" s="94">
        <f>SUM(G908:W908)</f>
        <v>77142556.667383939</v>
      </c>
      <c r="Y908" s="87" t="str">
        <f t="shared" si="521"/>
        <v>ok</v>
      </c>
      <c r="Z908" s="91" t="str">
        <f t="shared" si="522"/>
        <v/>
      </c>
    </row>
    <row r="909" spans="1:26" ht="12" customHeight="1" x14ac:dyDescent="0.5">
      <c r="A909" s="86" t="s">
        <v>2414</v>
      </c>
      <c r="D909" s="86" t="s">
        <v>2419</v>
      </c>
      <c r="E909" s="86" t="s">
        <v>2418</v>
      </c>
      <c r="F909" s="107">
        <v>1</v>
      </c>
      <c r="G909" s="106">
        <f t="shared" ref="G909:W909" si="526">IF(VLOOKUP($E909,$D$5:$AK$998,3,)=0,0,(VLOOKUP($E909,$D$5:$AK$998,G$1,)/VLOOKUP($E909,$D$5:$AK$998,3,))*$F909)</f>
        <v>0.60200704389396864</v>
      </c>
      <c r="H909" s="106">
        <f t="shared" si="526"/>
        <v>8.808030806466765E-4</v>
      </c>
      <c r="I909" s="106">
        <f t="shared" si="526"/>
        <v>0.24328322179478357</v>
      </c>
      <c r="J909" s="106">
        <f t="shared" si="526"/>
        <v>4.9659226185404153E-3</v>
      </c>
      <c r="K909" s="106">
        <f t="shared" si="526"/>
        <v>7.6065568117166374E-2</v>
      </c>
      <c r="L909" s="106">
        <f t="shared" si="526"/>
        <v>1.4875457620786625E-2</v>
      </c>
      <c r="M909" s="106">
        <f t="shared" si="526"/>
        <v>1.3605237536143615E-2</v>
      </c>
      <c r="N909" s="106">
        <f t="shared" si="526"/>
        <v>2.6351451426973805E-2</v>
      </c>
      <c r="O909" s="106">
        <f t="shared" si="526"/>
        <v>1.3064861422769945E-2</v>
      </c>
      <c r="P909" s="106">
        <f t="shared" si="526"/>
        <v>8.0648817592624792E-4</v>
      </c>
      <c r="Q909" s="106">
        <f t="shared" si="526"/>
        <v>0</v>
      </c>
      <c r="R909" s="106">
        <f t="shared" si="526"/>
        <v>1.4719803900942527E-4</v>
      </c>
      <c r="S909" s="106">
        <f t="shared" si="526"/>
        <v>1.8140795363106022E-3</v>
      </c>
      <c r="T909" s="106">
        <f t="shared" si="526"/>
        <v>6.8516715520109694E-5</v>
      </c>
      <c r="U909" s="106">
        <f t="shared" si="526"/>
        <v>2.0641500214540393E-3</v>
      </c>
      <c r="V909" s="106">
        <f t="shared" si="526"/>
        <v>0</v>
      </c>
      <c r="W909" s="106">
        <f t="shared" si="526"/>
        <v>0</v>
      </c>
      <c r="X909" s="98">
        <f>SUM(G909:W909)</f>
        <v>1</v>
      </c>
      <c r="Y909" s="87" t="str">
        <f t="shared" si="521"/>
        <v>ok</v>
      </c>
      <c r="Z909" s="91" t="str">
        <f t="shared" si="522"/>
        <v/>
      </c>
    </row>
    <row r="910" spans="1:26" ht="12" customHeight="1" x14ac:dyDescent="0.5">
      <c r="F910" s="107"/>
      <c r="G910" s="106"/>
      <c r="H910" s="106"/>
      <c r="I910" s="106"/>
      <c r="J910" s="106"/>
      <c r="K910" s="106"/>
      <c r="L910" s="106"/>
      <c r="M910" s="106"/>
      <c r="N910" s="106"/>
      <c r="O910" s="106"/>
      <c r="P910" s="106"/>
      <c r="Q910" s="106"/>
      <c r="R910" s="106"/>
      <c r="S910" s="106"/>
      <c r="T910" s="106"/>
      <c r="U910" s="106"/>
      <c r="V910" s="106"/>
      <c r="W910" s="106"/>
      <c r="X910" s="98"/>
      <c r="Y910" s="87"/>
      <c r="Z910" s="91"/>
    </row>
    <row r="911" spans="1:26" ht="12" customHeight="1" x14ac:dyDescent="0.5">
      <c r="A911" s="86" t="s">
        <v>2420</v>
      </c>
      <c r="D911" s="86" t="s">
        <v>2430</v>
      </c>
      <c r="F911" s="90">
        <f>Meters!$G$47</f>
        <v>49194750.258011512</v>
      </c>
      <c r="G911" s="90">
        <f>Meters!$G$10</f>
        <v>29676843.635354165</v>
      </c>
      <c r="H911" s="90">
        <f>Meters!$G$12</f>
        <v>43420.514033874999</v>
      </c>
      <c r="I911" s="90">
        <f>Meters!$G$14+Meters!$G$16</f>
        <v>11993012.715613034</v>
      </c>
      <c r="J911" s="90">
        <f>Meters!$G$18+Meters!$G$20</f>
        <v>244802.63237858255</v>
      </c>
      <c r="K911" s="90">
        <f>Meters!$G$22</f>
        <v>3749766.7077880916</v>
      </c>
      <c r="L911" s="90">
        <f>Meters!$G$24</f>
        <v>733308.08051836654</v>
      </c>
      <c r="M911" s="90">
        <f>Meters!$G$26</f>
        <v>670690.66895021172</v>
      </c>
      <c r="N911" s="90">
        <f>Meters!$G$28</f>
        <v>1299034.4739233158</v>
      </c>
      <c r="O911" s="90">
        <f>Meters!$G$30</f>
        <v>644052.01482892304</v>
      </c>
      <c r="P911" s="90">
        <f>Meters!$G$32</f>
        <v>39757.048914100007</v>
      </c>
      <c r="Q911" s="90">
        <f>Meters!$G$34</f>
        <v>0</v>
      </c>
      <c r="R911" s="90">
        <f>Meters!$G$36</f>
        <v>7256.3489603999997</v>
      </c>
      <c r="S911" s="90">
        <f>Meters!$G$38</f>
        <v>89427.782095300005</v>
      </c>
      <c r="T911" s="90">
        <f>Meters!$G$40</f>
        <v>3377.634653152787</v>
      </c>
      <c r="U911" s="90">
        <f>Meters!$G$42</f>
        <v>0</v>
      </c>
      <c r="V911" s="90">
        <f>Meters!$G$44</f>
        <v>0</v>
      </c>
      <c r="W911" s="106">
        <v>0</v>
      </c>
      <c r="X911" s="94">
        <f>SUM(G911:W911)</f>
        <v>49194750.25801152</v>
      </c>
      <c r="Y911" s="87" t="str">
        <f t="shared" ref="Y911:Y916" si="527">IF(ABS(F911-X911)&lt;0.01,"ok","err")</f>
        <v>ok</v>
      </c>
      <c r="Z911" s="91" t="str">
        <f t="shared" ref="Z911:Z916" si="528">IF(Y911="err",X911-F911,"")</f>
        <v/>
      </c>
    </row>
    <row r="912" spans="1:26" ht="12" customHeight="1" x14ac:dyDescent="0.5">
      <c r="A912" s="86" t="s">
        <v>2421</v>
      </c>
      <c r="F912" s="91">
        <f>F103</f>
        <v>53653152.478743747</v>
      </c>
      <c r="G912" s="90"/>
      <c r="H912" s="90"/>
      <c r="I912" s="90"/>
      <c r="J912" s="90"/>
      <c r="K912" s="90"/>
      <c r="L912" s="90"/>
      <c r="M912" s="90"/>
      <c r="N912" s="90"/>
      <c r="O912" s="90"/>
      <c r="P912" s="90"/>
      <c r="Q912" s="90"/>
      <c r="R912" s="90"/>
      <c r="S912" s="90"/>
      <c r="T912" s="90"/>
      <c r="U912" s="90"/>
      <c r="V912" s="90"/>
      <c r="W912" s="90">
        <f>W908</f>
        <v>0</v>
      </c>
      <c r="X912" s="94">
        <f>F912</f>
        <v>53653152.478743747</v>
      </c>
      <c r="Y912" s="87" t="str">
        <f t="shared" si="527"/>
        <v>ok</v>
      </c>
      <c r="Z912" s="91" t="str">
        <f t="shared" si="528"/>
        <v/>
      </c>
    </row>
    <row r="913" spans="1:26" ht="12" customHeight="1" x14ac:dyDescent="0.5">
      <c r="A913" s="86" t="s">
        <v>848</v>
      </c>
      <c r="F913" s="91">
        <v>120012.82</v>
      </c>
      <c r="G913" s="91"/>
      <c r="H913" s="91"/>
      <c r="I913" s="91"/>
      <c r="J913" s="91"/>
      <c r="K913" s="91"/>
      <c r="L913" s="91"/>
      <c r="M913" s="91"/>
      <c r="N913" s="91"/>
      <c r="O913" s="91"/>
      <c r="P913" s="91"/>
      <c r="Q913" s="91"/>
      <c r="R913" s="91"/>
      <c r="S913" s="91"/>
      <c r="T913" s="91"/>
      <c r="U913" s="91">
        <f>U906-39220.99</f>
        <v>120012.82</v>
      </c>
      <c r="V913" s="91">
        <v>0</v>
      </c>
      <c r="W913" s="91"/>
      <c r="X913" s="94">
        <f>SUM(G913:W913)</f>
        <v>120012.82</v>
      </c>
      <c r="Y913" s="87" t="str">
        <f t="shared" si="527"/>
        <v>ok</v>
      </c>
      <c r="Z913" s="91" t="str">
        <f t="shared" si="528"/>
        <v/>
      </c>
    </row>
    <row r="914" spans="1:26" ht="12" customHeight="1" x14ac:dyDescent="0.5">
      <c r="A914" s="86" t="s">
        <v>2422</v>
      </c>
      <c r="E914" s="86" t="s">
        <v>2430</v>
      </c>
      <c r="F914" s="91">
        <f>F912-F913</f>
        <v>53533139.658743747</v>
      </c>
      <c r="G914" s="89">
        <f t="shared" ref="G914:W914" si="529">IF(VLOOKUP($E914,$D$5:$AK$998,3,)=0,0,(VLOOKUP($E914,$D$5:$AK$998,G$1,)/VLOOKUP($E914,$D$5:$AK$998,3,))*$F914)</f>
        <v>32293986.789848402</v>
      </c>
      <c r="H914" s="89">
        <f t="shared" si="529"/>
        <v>47249.684765933569</v>
      </c>
      <c r="I914" s="89">
        <f t="shared" si="529"/>
        <v>13050653.195041815</v>
      </c>
      <c r="J914" s="89">
        <f t="shared" si="529"/>
        <v>266391.30068185611</v>
      </c>
      <c r="K914" s="89">
        <f t="shared" si="529"/>
        <v>4080451.3449692139</v>
      </c>
      <c r="L914" s="89">
        <f t="shared" si="529"/>
        <v>797977.0947385187</v>
      </c>
      <c r="M914" s="89">
        <f t="shared" si="529"/>
        <v>729837.57535959536</v>
      </c>
      <c r="N914" s="89">
        <f t="shared" si="529"/>
        <v>1413593.799121575</v>
      </c>
      <c r="O914" s="89">
        <f t="shared" si="529"/>
        <v>700849.71011143958</v>
      </c>
      <c r="P914" s="89">
        <f t="shared" si="529"/>
        <v>43263.145778271719</v>
      </c>
      <c r="Q914" s="89">
        <f t="shared" si="529"/>
        <v>0</v>
      </c>
      <c r="R914" s="89">
        <f t="shared" si="529"/>
        <v>7896.2722703610452</v>
      </c>
      <c r="S914" s="89">
        <f t="shared" si="529"/>
        <v>97314.244368986605</v>
      </c>
      <c r="T914" s="89">
        <f t="shared" si="529"/>
        <v>3675.5016877841413</v>
      </c>
      <c r="U914" s="89">
        <f t="shared" si="529"/>
        <v>0</v>
      </c>
      <c r="V914" s="89">
        <f t="shared" si="529"/>
        <v>0</v>
      </c>
      <c r="W914" s="89">
        <f t="shared" si="529"/>
        <v>0</v>
      </c>
      <c r="X914" s="94">
        <f>SUM(G914:W914)</f>
        <v>53533139.658743754</v>
      </c>
      <c r="Y914" s="87" t="str">
        <f t="shared" si="527"/>
        <v>ok</v>
      </c>
      <c r="Z914" s="91" t="str">
        <f t="shared" si="528"/>
        <v/>
      </c>
    </row>
    <row r="915" spans="1:26" ht="12" customHeight="1" x14ac:dyDescent="0.5">
      <c r="A915" s="86" t="s">
        <v>2423</v>
      </c>
      <c r="D915" s="86" t="s">
        <v>2431</v>
      </c>
      <c r="F915" s="91">
        <f t="shared" ref="F915:W915" si="530">F913+F914</f>
        <v>53653152.478743747</v>
      </c>
      <c r="G915" s="91">
        <f t="shared" si="530"/>
        <v>32293986.789848402</v>
      </c>
      <c r="H915" s="91">
        <f t="shared" ref="H915" si="531">H913+H914</f>
        <v>47249.684765933569</v>
      </c>
      <c r="I915" s="91">
        <f t="shared" si="530"/>
        <v>13050653.195041815</v>
      </c>
      <c r="J915" s="91">
        <f t="shared" si="530"/>
        <v>266391.30068185611</v>
      </c>
      <c r="K915" s="91">
        <f t="shared" si="530"/>
        <v>4080451.3449692139</v>
      </c>
      <c r="L915" s="91">
        <f t="shared" si="530"/>
        <v>797977.0947385187</v>
      </c>
      <c r="M915" s="91">
        <f t="shared" si="530"/>
        <v>729837.57535959536</v>
      </c>
      <c r="N915" s="91">
        <f t="shared" si="530"/>
        <v>1413593.799121575</v>
      </c>
      <c r="O915" s="91">
        <f t="shared" si="530"/>
        <v>700849.71011143958</v>
      </c>
      <c r="P915" s="91">
        <f t="shared" si="530"/>
        <v>43263.145778271719</v>
      </c>
      <c r="Q915" s="91">
        <f t="shared" si="530"/>
        <v>0</v>
      </c>
      <c r="R915" s="91">
        <f t="shared" si="530"/>
        <v>7896.2722703610452</v>
      </c>
      <c r="S915" s="91">
        <f t="shared" si="530"/>
        <v>97314.244368986605</v>
      </c>
      <c r="T915" s="91">
        <f t="shared" si="530"/>
        <v>3675.5016877841413</v>
      </c>
      <c r="U915" s="91">
        <f t="shared" si="530"/>
        <v>120012.82</v>
      </c>
      <c r="V915" s="91">
        <f t="shared" si="530"/>
        <v>0</v>
      </c>
      <c r="W915" s="91">
        <f t="shared" si="530"/>
        <v>0</v>
      </c>
      <c r="X915" s="94">
        <f>SUM(G915:W915)</f>
        <v>53653152.478743754</v>
      </c>
      <c r="Y915" s="87" t="str">
        <f t="shared" si="527"/>
        <v>ok</v>
      </c>
      <c r="Z915" s="91" t="str">
        <f t="shared" si="528"/>
        <v/>
      </c>
    </row>
    <row r="916" spans="1:26" ht="12" customHeight="1" x14ac:dyDescent="0.5">
      <c r="A916" s="86" t="s">
        <v>2424</v>
      </c>
      <c r="D916" s="86" t="s">
        <v>2432</v>
      </c>
      <c r="E916" s="86" t="s">
        <v>2431</v>
      </c>
      <c r="F916" s="107">
        <v>1</v>
      </c>
      <c r="G916" s="106">
        <f t="shared" ref="G916:W916" si="532">IF(VLOOKUP($E916,$D$5:$AK$998,3,)=0,0,(VLOOKUP($E916,$D$5:$AK$998,G$1,)/VLOOKUP($E916,$D$5:$AK$998,3,))*$F916)</f>
        <v>0.60190287611976956</v>
      </c>
      <c r="H916" s="106">
        <f t="shared" si="532"/>
        <v>8.8065067163859388E-4</v>
      </c>
      <c r="I916" s="106">
        <f t="shared" si="532"/>
        <v>0.24324112549047719</v>
      </c>
      <c r="J916" s="106">
        <f t="shared" si="532"/>
        <v>4.9650633443653613E-3</v>
      </c>
      <c r="K916" s="106">
        <f t="shared" si="532"/>
        <v>7.6052406176613824E-2</v>
      </c>
      <c r="L916" s="106">
        <f t="shared" si="532"/>
        <v>1.4872883658693875E-2</v>
      </c>
      <c r="M916" s="106">
        <f t="shared" si="532"/>
        <v>1.3602883365497333E-2</v>
      </c>
      <c r="N916" s="106">
        <f t="shared" si="532"/>
        <v>2.6346891726103348E-2</v>
      </c>
      <c r="O916" s="106">
        <f t="shared" si="532"/>
        <v>1.3062600755642485E-2</v>
      </c>
      <c r="P916" s="106">
        <f t="shared" si="532"/>
        <v>8.0634862593417355E-4</v>
      </c>
      <c r="Q916" s="106">
        <f t="shared" si="532"/>
        <v>0</v>
      </c>
      <c r="R916" s="106">
        <f t="shared" si="532"/>
        <v>1.4717256872258126E-4</v>
      </c>
      <c r="S916" s="106">
        <f t="shared" si="532"/>
        <v>1.8137656386088491E-3</v>
      </c>
      <c r="T916" s="106">
        <f t="shared" si="532"/>
        <v>6.8504859788812934E-5</v>
      </c>
      <c r="U916" s="106">
        <f t="shared" si="532"/>
        <v>2.2368269981441736E-3</v>
      </c>
      <c r="V916" s="106">
        <f t="shared" si="532"/>
        <v>0</v>
      </c>
      <c r="W916" s="106">
        <f t="shared" si="532"/>
        <v>0</v>
      </c>
      <c r="X916" s="98">
        <f>SUM(G916:W916)</f>
        <v>1</v>
      </c>
      <c r="Y916" s="87" t="str">
        <f t="shared" si="527"/>
        <v>ok</v>
      </c>
      <c r="Z916" s="91" t="str">
        <f t="shared" si="528"/>
        <v/>
      </c>
    </row>
    <row r="917" spans="1:26" ht="12" customHeight="1" x14ac:dyDescent="0.5">
      <c r="F917" s="107"/>
      <c r="G917" s="106"/>
      <c r="H917" s="106"/>
      <c r="I917" s="106"/>
      <c r="J917" s="106"/>
      <c r="K917" s="106"/>
      <c r="L917" s="106"/>
      <c r="M917" s="106"/>
      <c r="N917" s="106"/>
      <c r="O917" s="106"/>
      <c r="P917" s="106"/>
      <c r="Q917" s="106"/>
      <c r="R917" s="106"/>
      <c r="S917" s="106"/>
      <c r="T917" s="106"/>
      <c r="U917" s="106"/>
      <c r="V917" s="106"/>
      <c r="W917" s="106"/>
      <c r="X917" s="98"/>
      <c r="Y917" s="87"/>
      <c r="Z917" s="91"/>
    </row>
    <row r="918" spans="1:26" ht="12" customHeight="1" x14ac:dyDescent="0.5">
      <c r="A918" s="86" t="s">
        <v>2425</v>
      </c>
      <c r="D918" s="86" t="s">
        <v>2433</v>
      </c>
      <c r="F918" s="90">
        <f>Meters!$G$47</f>
        <v>49194750.258011512</v>
      </c>
      <c r="G918" s="90">
        <f>Meters!$G$10</f>
        <v>29676843.635354165</v>
      </c>
      <c r="H918" s="90">
        <f>Meters!$G$12</f>
        <v>43420.514033874999</v>
      </c>
      <c r="I918" s="90">
        <f>Meters!$G$14+Meters!$G$16</f>
        <v>11993012.715613034</v>
      </c>
      <c r="J918" s="90">
        <f>Meters!$G$18+Meters!$G$20</f>
        <v>244802.63237858255</v>
      </c>
      <c r="K918" s="90">
        <f>Meters!$G$22</f>
        <v>3749766.7077880916</v>
      </c>
      <c r="L918" s="90">
        <f>Meters!$G$24</f>
        <v>733308.08051836654</v>
      </c>
      <c r="M918" s="90">
        <f>Meters!$G$26</f>
        <v>670690.66895021172</v>
      </c>
      <c r="N918" s="90">
        <f>Meters!$G$28</f>
        <v>1299034.4739233158</v>
      </c>
      <c r="O918" s="90">
        <f>Meters!$G$30</f>
        <v>644052.01482892304</v>
      </c>
      <c r="P918" s="90">
        <f>Meters!$G$32</f>
        <v>39757.048914100007</v>
      </c>
      <c r="Q918" s="90">
        <f>Meters!$G$34</f>
        <v>0</v>
      </c>
      <c r="R918" s="90">
        <f>Meters!$G$36</f>
        <v>7256.3489603999997</v>
      </c>
      <c r="S918" s="90">
        <f>Meters!$G$38</f>
        <v>89427.782095300005</v>
      </c>
      <c r="T918" s="90">
        <f>Meters!$G$40</f>
        <v>3377.634653152787</v>
      </c>
      <c r="U918" s="90">
        <f>Meters!$G$42</f>
        <v>0</v>
      </c>
      <c r="V918" s="90">
        <f>Meters!$G$44</f>
        <v>0</v>
      </c>
      <c r="W918" s="106">
        <v>0</v>
      </c>
      <c r="X918" s="94">
        <f>SUM(G918:W918)</f>
        <v>49194750.25801152</v>
      </c>
      <c r="Y918" s="87" t="str">
        <f t="shared" ref="Y918:Y923" si="533">IF(ABS(F918-X918)&lt;0.01,"ok","err")</f>
        <v>ok</v>
      </c>
      <c r="Z918" s="91" t="str">
        <f t="shared" ref="Z918:Z923" si="534">IF(Y918="err",X918-F918,"")</f>
        <v/>
      </c>
    </row>
    <row r="919" spans="1:26" ht="12" customHeight="1" x14ac:dyDescent="0.5">
      <c r="A919" s="86" t="s">
        <v>2426</v>
      </c>
      <c r="F919" s="91">
        <f>F160</f>
        <v>45031431.200968683</v>
      </c>
      <c r="G919" s="90"/>
      <c r="H919" s="90"/>
      <c r="I919" s="90"/>
      <c r="J919" s="90"/>
      <c r="K919" s="90"/>
      <c r="L919" s="90"/>
      <c r="M919" s="90"/>
      <c r="N919" s="90"/>
      <c r="O919" s="90"/>
      <c r="P919" s="90"/>
      <c r="Q919" s="90"/>
      <c r="R919" s="90"/>
      <c r="S919" s="90"/>
      <c r="T919" s="90"/>
      <c r="U919" s="90"/>
      <c r="V919" s="90"/>
      <c r="W919" s="90">
        <f>W915</f>
        <v>0</v>
      </c>
      <c r="X919" s="94">
        <f>F919</f>
        <v>45031431.200968683</v>
      </c>
      <c r="Y919" s="87" t="str">
        <f t="shared" si="533"/>
        <v>ok</v>
      </c>
      <c r="Z919" s="91" t="str">
        <f t="shared" si="534"/>
        <v/>
      </c>
    </row>
    <row r="920" spans="1:26" ht="12" customHeight="1" x14ac:dyDescent="0.5">
      <c r="A920" s="86" t="s">
        <v>848</v>
      </c>
      <c r="F920" s="91">
        <v>89398.82</v>
      </c>
      <c r="G920" s="91"/>
      <c r="H920" s="91"/>
      <c r="I920" s="91"/>
      <c r="J920" s="91"/>
      <c r="K920" s="91"/>
      <c r="L920" s="91"/>
      <c r="M920" s="91"/>
      <c r="N920" s="91"/>
      <c r="O920" s="91"/>
      <c r="P920" s="91"/>
      <c r="Q920" s="91"/>
      <c r="R920" s="91"/>
      <c r="S920" s="91"/>
      <c r="T920" s="91"/>
      <c r="U920" s="91">
        <f>U913-30614</f>
        <v>89398.82</v>
      </c>
      <c r="V920" s="91">
        <v>0</v>
      </c>
      <c r="W920" s="91"/>
      <c r="X920" s="94">
        <f>SUM(G920:W920)</f>
        <v>89398.82</v>
      </c>
      <c r="Y920" s="87" t="str">
        <f t="shared" si="533"/>
        <v>ok</v>
      </c>
      <c r="Z920" s="91" t="str">
        <f t="shared" si="534"/>
        <v/>
      </c>
    </row>
    <row r="921" spans="1:26" ht="12" customHeight="1" x14ac:dyDescent="0.5">
      <c r="A921" s="86" t="s">
        <v>2427</v>
      </c>
      <c r="E921" s="86" t="s">
        <v>2433</v>
      </c>
      <c r="F921" s="91">
        <f>F919-F920</f>
        <v>44942032.380968682</v>
      </c>
      <c r="G921" s="89">
        <f t="shared" ref="G921:W921" si="535">IF(VLOOKUP($E921,$D$5:$AK$998,3,)=0,0,(VLOOKUP($E921,$D$5:$AK$998,G$1,)/VLOOKUP($E921,$D$5:$AK$998,3,))*$F921)</f>
        <v>27111382.020032272</v>
      </c>
      <c r="H921" s="89">
        <f t="shared" si="535"/>
        <v>39666.959126211295</v>
      </c>
      <c r="I921" s="89">
        <f t="shared" si="535"/>
        <v>10956257.791402729</v>
      </c>
      <c r="J921" s="89">
        <f t="shared" si="535"/>
        <v>223640.28221716467</v>
      </c>
      <c r="K921" s="89">
        <f t="shared" si="535"/>
        <v>3425612.2029005811</v>
      </c>
      <c r="L921" s="89">
        <f t="shared" si="535"/>
        <v>669916.10541849176</v>
      </c>
      <c r="M921" s="89">
        <f t="shared" si="535"/>
        <v>612711.75488212204</v>
      </c>
      <c r="N921" s="89">
        <f t="shared" si="535"/>
        <v>1186737.387320077</v>
      </c>
      <c r="O921" s="89">
        <f t="shared" si="535"/>
        <v>588375.92128553998</v>
      </c>
      <c r="P921" s="89">
        <f t="shared" si="535"/>
        <v>36320.188034255923</v>
      </c>
      <c r="Q921" s="89">
        <f t="shared" si="535"/>
        <v>0</v>
      </c>
      <c r="R921" s="89">
        <f t="shared" si="535"/>
        <v>6629.0624149026235</v>
      </c>
      <c r="S921" s="89">
        <f t="shared" si="535"/>
        <v>81697.056242920298</v>
      </c>
      <c r="T921" s="89">
        <f t="shared" si="535"/>
        <v>3085.6496914191316</v>
      </c>
      <c r="U921" s="89">
        <f t="shared" si="535"/>
        <v>0</v>
      </c>
      <c r="V921" s="89">
        <f t="shared" si="535"/>
        <v>0</v>
      </c>
      <c r="W921" s="89">
        <f t="shared" si="535"/>
        <v>0</v>
      </c>
      <c r="X921" s="94">
        <f>SUM(G921:W921)</f>
        <v>44942032.380968682</v>
      </c>
      <c r="Y921" s="87" t="str">
        <f t="shared" si="533"/>
        <v>ok</v>
      </c>
      <c r="Z921" s="91" t="str">
        <f t="shared" si="534"/>
        <v/>
      </c>
    </row>
    <row r="922" spans="1:26" ht="12" customHeight="1" x14ac:dyDescent="0.5">
      <c r="A922" s="86" t="s">
        <v>2428</v>
      </c>
      <c r="D922" s="86" t="s">
        <v>2434</v>
      </c>
      <c r="F922" s="91">
        <f t="shared" ref="F922:W922" si="536">F920+F921</f>
        <v>45031431.200968683</v>
      </c>
      <c r="G922" s="91">
        <f t="shared" si="536"/>
        <v>27111382.020032272</v>
      </c>
      <c r="H922" s="91">
        <f t="shared" ref="H922" si="537">H920+H921</f>
        <v>39666.959126211295</v>
      </c>
      <c r="I922" s="91">
        <f t="shared" si="536"/>
        <v>10956257.791402729</v>
      </c>
      <c r="J922" s="91">
        <f t="shared" si="536"/>
        <v>223640.28221716467</v>
      </c>
      <c r="K922" s="91">
        <f t="shared" si="536"/>
        <v>3425612.2029005811</v>
      </c>
      <c r="L922" s="91">
        <f t="shared" si="536"/>
        <v>669916.10541849176</v>
      </c>
      <c r="M922" s="91">
        <f t="shared" si="536"/>
        <v>612711.75488212204</v>
      </c>
      <c r="N922" s="91">
        <f t="shared" si="536"/>
        <v>1186737.387320077</v>
      </c>
      <c r="O922" s="91">
        <f t="shared" si="536"/>
        <v>588375.92128553998</v>
      </c>
      <c r="P922" s="91">
        <f t="shared" si="536"/>
        <v>36320.188034255923</v>
      </c>
      <c r="Q922" s="91">
        <f t="shared" si="536"/>
        <v>0</v>
      </c>
      <c r="R922" s="91">
        <f t="shared" si="536"/>
        <v>6629.0624149026235</v>
      </c>
      <c r="S922" s="91">
        <f t="shared" si="536"/>
        <v>81697.056242920298</v>
      </c>
      <c r="T922" s="91">
        <f t="shared" si="536"/>
        <v>3085.6496914191316</v>
      </c>
      <c r="U922" s="91">
        <f t="shared" si="536"/>
        <v>89398.82</v>
      </c>
      <c r="V922" s="91">
        <f t="shared" si="536"/>
        <v>0</v>
      </c>
      <c r="W922" s="91">
        <f t="shared" si="536"/>
        <v>0</v>
      </c>
      <c r="X922" s="94">
        <f>SUM(G922:W922)</f>
        <v>45031431.200968683</v>
      </c>
      <c r="Y922" s="87" t="str">
        <f t="shared" si="533"/>
        <v>ok</v>
      </c>
      <c r="Z922" s="91" t="str">
        <f t="shared" si="534"/>
        <v/>
      </c>
    </row>
    <row r="923" spans="1:26" ht="12" customHeight="1" x14ac:dyDescent="0.5">
      <c r="A923" s="86" t="s">
        <v>2429</v>
      </c>
      <c r="D923" s="86" t="s">
        <v>2435</v>
      </c>
      <c r="E923" s="86" t="s">
        <v>2434</v>
      </c>
      <c r="F923" s="107">
        <v>1</v>
      </c>
      <c r="G923" s="106">
        <f t="shared" ref="G923:W923" si="538">IF(VLOOKUP($E923,$D$5:$AK$998,3,)=0,0,(VLOOKUP($E923,$D$5:$AK$998,G$1,)/VLOOKUP($E923,$D$5:$AK$998,3,))*$F923)</f>
        <v>0.60205463821565308</v>
      </c>
      <c r="H923" s="106">
        <f t="shared" si="538"/>
        <v>8.8087271641852703E-4</v>
      </c>
      <c r="I923" s="106">
        <f t="shared" si="538"/>
        <v>0.24330245562275282</v>
      </c>
      <c r="J923" s="106">
        <f t="shared" si="538"/>
        <v>4.9663152214525635E-3</v>
      </c>
      <c r="K923" s="106">
        <f t="shared" si="538"/>
        <v>7.6071581816100298E-2</v>
      </c>
      <c r="L923" s="106">
        <f t="shared" si="538"/>
        <v>1.4876633665689067E-2</v>
      </c>
      <c r="M923" s="106">
        <f t="shared" si="538"/>
        <v>1.3606313158195644E-2</v>
      </c>
      <c r="N923" s="106">
        <f t="shared" si="538"/>
        <v>2.6353534757175313E-2</v>
      </c>
      <c r="O923" s="106">
        <f t="shared" si="538"/>
        <v>1.3065894323005289E-2</v>
      </c>
      <c r="P923" s="106">
        <f t="shared" si="538"/>
        <v>8.0655193640557957E-4</v>
      </c>
      <c r="Q923" s="106">
        <f t="shared" si="538"/>
        <v>0</v>
      </c>
      <c r="R923" s="106">
        <f t="shared" si="538"/>
        <v>1.4720967639953722E-4</v>
      </c>
      <c r="S923" s="106">
        <f t="shared" si="538"/>
        <v>1.8142229563683709E-3</v>
      </c>
      <c r="T923" s="106">
        <f t="shared" si="538"/>
        <v>6.8522132411211382E-5</v>
      </c>
      <c r="U923" s="106">
        <f t="shared" si="538"/>
        <v>1.9852538019728078E-3</v>
      </c>
      <c r="V923" s="106">
        <f t="shared" si="538"/>
        <v>0</v>
      </c>
      <c r="W923" s="106">
        <f t="shared" si="538"/>
        <v>0</v>
      </c>
      <c r="X923" s="98">
        <f>SUM(G923:W923)</f>
        <v>1.0000000000000002</v>
      </c>
      <c r="Y923" s="87" t="str">
        <f t="shared" si="533"/>
        <v>ok</v>
      </c>
      <c r="Z923" s="91" t="str">
        <f t="shared" si="534"/>
        <v/>
      </c>
    </row>
    <row r="924" spans="1:26" ht="12" customHeight="1" x14ac:dyDescent="0.5">
      <c r="F924" s="107"/>
      <c r="G924" s="106"/>
      <c r="H924" s="106"/>
      <c r="I924" s="106"/>
      <c r="J924" s="106"/>
      <c r="K924" s="106"/>
      <c r="L924" s="106"/>
      <c r="M924" s="106"/>
      <c r="N924" s="106"/>
      <c r="O924" s="106"/>
      <c r="P924" s="106"/>
      <c r="Q924" s="106"/>
      <c r="R924" s="106"/>
      <c r="S924" s="106"/>
      <c r="T924" s="106"/>
      <c r="U924" s="106"/>
      <c r="V924" s="106"/>
      <c r="W924" s="106"/>
      <c r="X924" s="98"/>
      <c r="Y924" s="87"/>
      <c r="Z924" s="91"/>
    </row>
    <row r="925" spans="1:26" ht="12" customHeight="1" x14ac:dyDescent="0.5">
      <c r="A925" s="86" t="s">
        <v>2436</v>
      </c>
      <c r="D925" s="86" t="s">
        <v>2454</v>
      </c>
      <c r="F925" s="90">
        <f>Meters!$G$47</f>
        <v>49194750.258011512</v>
      </c>
      <c r="G925" s="90">
        <f>Meters!$G$10</f>
        <v>29676843.635354165</v>
      </c>
      <c r="H925" s="90">
        <f>Meters!$G$12</f>
        <v>43420.514033874999</v>
      </c>
      <c r="I925" s="90">
        <f>Meters!$G$14+Meters!$G$16</f>
        <v>11993012.715613034</v>
      </c>
      <c r="J925" s="90">
        <f>Meters!$G$18+Meters!$G$20</f>
        <v>244802.63237858255</v>
      </c>
      <c r="K925" s="90">
        <f>Meters!$G$22</f>
        <v>3749766.7077880916</v>
      </c>
      <c r="L925" s="90">
        <f>Meters!$G$24</f>
        <v>733308.08051836654</v>
      </c>
      <c r="M925" s="90">
        <f>Meters!$G$26</f>
        <v>670690.66895021172</v>
      </c>
      <c r="N925" s="90">
        <f>Meters!$G$28</f>
        <v>1299034.4739233158</v>
      </c>
      <c r="O925" s="90">
        <f>Meters!$G$30</f>
        <v>644052.01482892304</v>
      </c>
      <c r="P925" s="90">
        <f>Meters!$G$32</f>
        <v>39757.048914100007</v>
      </c>
      <c r="Q925" s="90">
        <f>Meters!$G$34</f>
        <v>0</v>
      </c>
      <c r="R925" s="90">
        <f>Meters!$G$36</f>
        <v>7256.3489603999997</v>
      </c>
      <c r="S925" s="90">
        <f>Meters!$G$38</f>
        <v>89427.782095300005</v>
      </c>
      <c r="T925" s="90">
        <f>Meters!$G$40</f>
        <v>3377.634653152787</v>
      </c>
      <c r="U925" s="90">
        <f>Meters!$G$42</f>
        <v>0</v>
      </c>
      <c r="V925" s="90">
        <f>Meters!$G$44</f>
        <v>0</v>
      </c>
      <c r="W925" s="106">
        <v>0</v>
      </c>
      <c r="X925" s="94">
        <f>SUM(G925:W925)</f>
        <v>49194750.25801152</v>
      </c>
      <c r="Y925" s="87" t="str">
        <f t="shared" ref="Y925:Y930" si="539">IF(ABS(F925-X925)&lt;0.01,"ok","err")</f>
        <v>ok</v>
      </c>
      <c r="Z925" s="91" t="str">
        <f t="shared" ref="Z925:Z930" si="540">IF(Y925="err",X925-F925,"")</f>
        <v/>
      </c>
    </row>
    <row r="926" spans="1:26" ht="12" customHeight="1" x14ac:dyDescent="0.5">
      <c r="A926" s="86" t="s">
        <v>2437</v>
      </c>
      <c r="F926" s="91">
        <f>F217</f>
        <v>11537187.7496015</v>
      </c>
      <c r="G926" s="90"/>
      <c r="H926" s="90"/>
      <c r="I926" s="90"/>
      <c r="J926" s="90"/>
      <c r="K926" s="90"/>
      <c r="L926" s="90"/>
      <c r="M926" s="90"/>
      <c r="N926" s="90"/>
      <c r="O926" s="90"/>
      <c r="P926" s="90"/>
      <c r="Q926" s="90"/>
      <c r="R926" s="90"/>
      <c r="S926" s="90"/>
      <c r="T926" s="90"/>
      <c r="U926" s="90"/>
      <c r="V926" s="90"/>
      <c r="W926" s="90">
        <f>W922</f>
        <v>0</v>
      </c>
      <c r="X926" s="94">
        <f>F926</f>
        <v>11537187.7496015</v>
      </c>
      <c r="Y926" s="87" t="str">
        <f t="shared" si="539"/>
        <v>ok</v>
      </c>
      <c r="Z926" s="91" t="str">
        <f t="shared" si="540"/>
        <v/>
      </c>
    </row>
    <row r="927" spans="1:26" ht="12" customHeight="1" x14ac:dyDescent="0.5">
      <c r="A927" s="86" t="s">
        <v>848</v>
      </c>
      <c r="F927" s="91">
        <v>0</v>
      </c>
      <c r="G927" s="91"/>
      <c r="H927" s="91"/>
      <c r="I927" s="91"/>
      <c r="J927" s="91"/>
      <c r="K927" s="91"/>
      <c r="L927" s="91"/>
      <c r="M927" s="91"/>
      <c r="N927" s="91"/>
      <c r="O927" s="91"/>
      <c r="P927" s="91"/>
      <c r="Q927" s="91"/>
      <c r="R927" s="91"/>
      <c r="S927" s="91"/>
      <c r="T927" s="91"/>
      <c r="U927" s="91">
        <v>0</v>
      </c>
      <c r="V927" s="91">
        <v>0</v>
      </c>
      <c r="W927" s="91"/>
      <c r="X927" s="94">
        <f>SUM(G927:W927)</f>
        <v>0</v>
      </c>
      <c r="Y927" s="87" t="str">
        <f t="shared" si="539"/>
        <v>ok</v>
      </c>
      <c r="Z927" s="91" t="str">
        <f t="shared" si="540"/>
        <v/>
      </c>
    </row>
    <row r="928" spans="1:26" ht="12" customHeight="1" x14ac:dyDescent="0.5">
      <c r="A928" s="86" t="s">
        <v>2438</v>
      </c>
      <c r="E928" s="86" t="s">
        <v>2454</v>
      </c>
      <c r="F928" s="91">
        <f>F926-F927</f>
        <v>11537187.7496015</v>
      </c>
      <c r="G928" s="89">
        <f t="shared" ref="G928:W928" si="541">IF(VLOOKUP($E928,$D$5:$AK$998,3,)=0,0,(VLOOKUP($E928,$D$5:$AK$998,G$1,)/VLOOKUP($E928,$D$5:$AK$998,3,))*$F928)</f>
        <v>6959834.434384359</v>
      </c>
      <c r="H928" s="89">
        <f t="shared" si="541"/>
        <v>10183.009771686793</v>
      </c>
      <c r="I928" s="89">
        <f t="shared" si="541"/>
        <v>2812609.8548666267</v>
      </c>
      <c r="J928" s="89">
        <f t="shared" si="541"/>
        <v>57411.287109612495</v>
      </c>
      <c r="K928" s="89">
        <f t="shared" si="541"/>
        <v>879397.94994509628</v>
      </c>
      <c r="L928" s="89">
        <f t="shared" si="541"/>
        <v>171975.93155506469</v>
      </c>
      <c r="M928" s="89">
        <f t="shared" si="541"/>
        <v>157290.85174742359</v>
      </c>
      <c r="N928" s="89">
        <f t="shared" si="541"/>
        <v>304650.48689656466</v>
      </c>
      <c r="O928" s="89">
        <f t="shared" si="541"/>
        <v>151043.53567442548</v>
      </c>
      <c r="P928" s="89">
        <f t="shared" si="541"/>
        <v>9323.8513314205538</v>
      </c>
      <c r="Q928" s="89">
        <f t="shared" si="541"/>
        <v>0</v>
      </c>
      <c r="R928" s="89">
        <f t="shared" si="541"/>
        <v>1701.7641088466905</v>
      </c>
      <c r="S928" s="89">
        <f t="shared" si="541"/>
        <v>20972.666934027271</v>
      </c>
      <c r="T928" s="89">
        <f t="shared" si="541"/>
        <v>792.12527634770788</v>
      </c>
      <c r="U928" s="89">
        <f t="shared" si="541"/>
        <v>0</v>
      </c>
      <c r="V928" s="89">
        <f t="shared" si="541"/>
        <v>0</v>
      </c>
      <c r="W928" s="89">
        <f t="shared" si="541"/>
        <v>0</v>
      </c>
      <c r="X928" s="94">
        <f>SUM(G928:W928)</f>
        <v>11537187.7496015</v>
      </c>
      <c r="Y928" s="87" t="str">
        <f t="shared" si="539"/>
        <v>ok</v>
      </c>
      <c r="Z928" s="91" t="str">
        <f t="shared" si="540"/>
        <v/>
      </c>
    </row>
    <row r="929" spans="1:26" ht="12" customHeight="1" x14ac:dyDescent="0.5">
      <c r="A929" s="86" t="s">
        <v>2439</v>
      </c>
      <c r="D929" s="86" t="s">
        <v>2455</v>
      </c>
      <c r="F929" s="91">
        <f t="shared" ref="F929:W929" si="542">F927+F928</f>
        <v>11537187.7496015</v>
      </c>
      <c r="G929" s="91">
        <f t="shared" si="542"/>
        <v>6959834.434384359</v>
      </c>
      <c r="H929" s="91">
        <f t="shared" ref="H929" si="543">H927+H928</f>
        <v>10183.009771686793</v>
      </c>
      <c r="I929" s="91">
        <f t="shared" si="542"/>
        <v>2812609.8548666267</v>
      </c>
      <c r="J929" s="91">
        <f t="shared" si="542"/>
        <v>57411.287109612495</v>
      </c>
      <c r="K929" s="91">
        <f t="shared" si="542"/>
        <v>879397.94994509628</v>
      </c>
      <c r="L929" s="91">
        <f t="shared" si="542"/>
        <v>171975.93155506469</v>
      </c>
      <c r="M929" s="91">
        <f t="shared" si="542"/>
        <v>157290.85174742359</v>
      </c>
      <c r="N929" s="91">
        <f t="shared" si="542"/>
        <v>304650.48689656466</v>
      </c>
      <c r="O929" s="91">
        <f t="shared" si="542"/>
        <v>151043.53567442548</v>
      </c>
      <c r="P929" s="91">
        <f t="shared" si="542"/>
        <v>9323.8513314205538</v>
      </c>
      <c r="Q929" s="91">
        <f t="shared" si="542"/>
        <v>0</v>
      </c>
      <c r="R929" s="91">
        <f t="shared" si="542"/>
        <v>1701.7641088466905</v>
      </c>
      <c r="S929" s="91">
        <f t="shared" si="542"/>
        <v>20972.666934027271</v>
      </c>
      <c r="T929" s="91">
        <f t="shared" si="542"/>
        <v>792.12527634770788</v>
      </c>
      <c r="U929" s="91">
        <f t="shared" si="542"/>
        <v>0</v>
      </c>
      <c r="V929" s="91">
        <f t="shared" si="542"/>
        <v>0</v>
      </c>
      <c r="W929" s="91">
        <f t="shared" si="542"/>
        <v>0</v>
      </c>
      <c r="X929" s="94">
        <f>SUM(G929:W929)</f>
        <v>11537187.7496015</v>
      </c>
      <c r="Y929" s="87" t="str">
        <f t="shared" si="539"/>
        <v>ok</v>
      </c>
      <c r="Z929" s="91" t="str">
        <f t="shared" si="540"/>
        <v/>
      </c>
    </row>
    <row r="930" spans="1:26" ht="12" customHeight="1" x14ac:dyDescent="0.5">
      <c r="A930" s="86" t="s">
        <v>2440</v>
      </c>
      <c r="D930" s="86" t="s">
        <v>2456</v>
      </c>
      <c r="E930" s="86" t="s">
        <v>2455</v>
      </c>
      <c r="F930" s="107">
        <v>1</v>
      </c>
      <c r="G930" s="106">
        <f t="shared" ref="G930:W930" si="544">IF(VLOOKUP($E930,$D$5:$AK$998,3,)=0,0,(VLOOKUP($E930,$D$5:$AK$998,G$1,)/VLOOKUP($E930,$D$5:$AK$998,3,))*$F930)</f>
        <v>0.60325224703262326</v>
      </c>
      <c r="H930" s="106">
        <f t="shared" si="544"/>
        <v>8.826249509581327E-4</v>
      </c>
      <c r="I930" s="106">
        <f t="shared" si="544"/>
        <v>0.24378643356686083</v>
      </c>
      <c r="J930" s="106">
        <f t="shared" si="544"/>
        <v>4.976194229966961E-3</v>
      </c>
      <c r="K930" s="106">
        <f t="shared" si="544"/>
        <v>7.6222903625319874E-2</v>
      </c>
      <c r="L930" s="106">
        <f t="shared" si="544"/>
        <v>1.4906226308140371E-2</v>
      </c>
      <c r="M930" s="106">
        <f t="shared" si="544"/>
        <v>1.3633378875441849E-2</v>
      </c>
      <c r="N930" s="106">
        <f t="shared" si="544"/>
        <v>2.6405957284268641E-2</v>
      </c>
      <c r="O930" s="106">
        <f t="shared" si="544"/>
        <v>1.309188503755108E-2</v>
      </c>
      <c r="P930" s="106">
        <f t="shared" si="544"/>
        <v>8.0815633183594542E-4</v>
      </c>
      <c r="Q930" s="106">
        <f t="shared" si="544"/>
        <v>0</v>
      </c>
      <c r="R930" s="106">
        <f t="shared" si="544"/>
        <v>1.4750250631099163E-4</v>
      </c>
      <c r="S930" s="106">
        <f t="shared" si="544"/>
        <v>1.8178318138882396E-3</v>
      </c>
      <c r="T930" s="106">
        <f t="shared" si="544"/>
        <v>6.8658436833973541E-5</v>
      </c>
      <c r="U930" s="106">
        <f t="shared" si="544"/>
        <v>0</v>
      </c>
      <c r="V930" s="106">
        <f t="shared" si="544"/>
        <v>0</v>
      </c>
      <c r="W930" s="106">
        <f t="shared" si="544"/>
        <v>0</v>
      </c>
      <c r="X930" s="98">
        <f>SUM(G930:W930)</f>
        <v>1.0000000000000002</v>
      </c>
      <c r="Y930" s="87" t="str">
        <f t="shared" si="539"/>
        <v>ok</v>
      </c>
      <c r="Z930" s="91" t="str">
        <f t="shared" si="540"/>
        <v/>
      </c>
    </row>
    <row r="931" spans="1:26" ht="12" customHeight="1" x14ac:dyDescent="0.5">
      <c r="F931" s="107"/>
      <c r="G931" s="106"/>
      <c r="H931" s="106"/>
      <c r="I931" s="106"/>
      <c r="J931" s="106"/>
      <c r="K931" s="106"/>
      <c r="L931" s="106"/>
      <c r="M931" s="106"/>
      <c r="N931" s="106"/>
      <c r="O931" s="106"/>
      <c r="P931" s="106"/>
      <c r="Q931" s="106"/>
      <c r="R931" s="106"/>
      <c r="S931" s="106"/>
      <c r="T931" s="106"/>
      <c r="U931" s="106"/>
      <c r="V931" s="106"/>
      <c r="W931" s="106"/>
      <c r="X931" s="98"/>
      <c r="Y931" s="87"/>
      <c r="Z931" s="91"/>
    </row>
    <row r="932" spans="1:26" ht="12" customHeight="1" x14ac:dyDescent="0.5">
      <c r="A932" s="86" t="s">
        <v>2441</v>
      </c>
      <c r="D932" s="86" t="s">
        <v>2457</v>
      </c>
      <c r="F932" s="90">
        <f>Meters!$G$47</f>
        <v>49194750.258011512</v>
      </c>
      <c r="G932" s="90">
        <f>Meters!$G$10</f>
        <v>29676843.635354165</v>
      </c>
      <c r="H932" s="90">
        <f>Meters!$G$12</f>
        <v>43420.514033874999</v>
      </c>
      <c r="I932" s="90">
        <f>Meters!$G$14+Meters!$G$16</f>
        <v>11993012.715613034</v>
      </c>
      <c r="J932" s="90">
        <f>Meters!$G$18+Meters!$G$20</f>
        <v>244802.63237858255</v>
      </c>
      <c r="K932" s="90">
        <f>Meters!$G$22</f>
        <v>3749766.7077880916</v>
      </c>
      <c r="L932" s="90">
        <f>Meters!$G$24</f>
        <v>733308.08051836654</v>
      </c>
      <c r="M932" s="90">
        <f>Meters!$G$26</f>
        <v>670690.66895021172</v>
      </c>
      <c r="N932" s="90">
        <f>Meters!$G$28</f>
        <v>1299034.4739233158</v>
      </c>
      <c r="O932" s="90">
        <f>Meters!$G$30</f>
        <v>644052.01482892304</v>
      </c>
      <c r="P932" s="90">
        <f>Meters!$G$32</f>
        <v>39757.048914100007</v>
      </c>
      <c r="Q932" s="90">
        <f>Meters!$G$34</f>
        <v>0</v>
      </c>
      <c r="R932" s="90">
        <f>Meters!$G$36</f>
        <v>7256.3489603999997</v>
      </c>
      <c r="S932" s="90">
        <f>Meters!$G$38</f>
        <v>89427.782095300005</v>
      </c>
      <c r="T932" s="90">
        <f>Meters!$G$40</f>
        <v>3377.634653152787</v>
      </c>
      <c r="U932" s="90">
        <f>Meters!$G$42</f>
        <v>0</v>
      </c>
      <c r="V932" s="90">
        <f>Meters!$G$44</f>
        <v>0</v>
      </c>
      <c r="W932" s="106">
        <v>0</v>
      </c>
      <c r="X932" s="94">
        <f>SUM(G932:W932)</f>
        <v>49194750.25801152</v>
      </c>
      <c r="Y932" s="87" t="str">
        <f t="shared" ref="Y932:Y937" si="545">IF(ABS(F932-X932)&lt;0.01,"ok","err")</f>
        <v>ok</v>
      </c>
      <c r="Z932" s="91" t="str">
        <f t="shared" ref="Z932:Z937" si="546">IF(Y932="err",X932-F932,"")</f>
        <v/>
      </c>
    </row>
    <row r="933" spans="1:26" ht="12" customHeight="1" x14ac:dyDescent="0.5">
      <c r="A933" s="86" t="s">
        <v>2442</v>
      </c>
      <c r="F933" s="91">
        <f>F331</f>
        <v>1599033.2051107571</v>
      </c>
      <c r="G933" s="90"/>
      <c r="H933" s="90"/>
      <c r="I933" s="90"/>
      <c r="J933" s="90"/>
      <c r="K933" s="90"/>
      <c r="L933" s="90"/>
      <c r="M933" s="90"/>
      <c r="N933" s="90"/>
      <c r="O933" s="90"/>
      <c r="P933" s="90"/>
      <c r="Q933" s="90"/>
      <c r="R933" s="90"/>
      <c r="S933" s="90"/>
      <c r="T933" s="90"/>
      <c r="U933" s="90"/>
      <c r="V933" s="90"/>
      <c r="W933" s="90">
        <f>W929</f>
        <v>0</v>
      </c>
      <c r="X933" s="94">
        <f>F933</f>
        <v>1599033.2051107571</v>
      </c>
      <c r="Y933" s="87" t="str">
        <f t="shared" si="545"/>
        <v>ok</v>
      </c>
      <c r="Z933" s="91" t="str">
        <f t="shared" si="546"/>
        <v/>
      </c>
    </row>
    <row r="934" spans="1:26" ht="12" customHeight="1" x14ac:dyDescent="0.5">
      <c r="A934" s="86" t="s">
        <v>848</v>
      </c>
      <c r="F934" s="91">
        <v>15923.380999999999</v>
      </c>
      <c r="G934" s="91"/>
      <c r="H934" s="91"/>
      <c r="I934" s="91"/>
      <c r="J934" s="91"/>
      <c r="K934" s="91"/>
      <c r="L934" s="91"/>
      <c r="M934" s="91"/>
      <c r="N934" s="91"/>
      <c r="O934" s="91"/>
      <c r="P934" s="91"/>
      <c r="Q934" s="91"/>
      <c r="R934" s="91"/>
      <c r="S934" s="91"/>
      <c r="T934" s="91"/>
      <c r="U934" s="91">
        <v>15923.380999999999</v>
      </c>
      <c r="V934" s="91">
        <v>0</v>
      </c>
      <c r="W934" s="91"/>
      <c r="X934" s="94">
        <f>SUM(G934:W934)</f>
        <v>15923.380999999999</v>
      </c>
      <c r="Y934" s="87" t="str">
        <f t="shared" si="545"/>
        <v>ok</v>
      </c>
      <c r="Z934" s="91" t="str">
        <f t="shared" si="546"/>
        <v/>
      </c>
    </row>
    <row r="935" spans="1:26" ht="12" customHeight="1" x14ac:dyDescent="0.5">
      <c r="A935" s="86" t="s">
        <v>2443</v>
      </c>
      <c r="E935" s="86" t="s">
        <v>2457</v>
      </c>
      <c r="F935" s="91">
        <f>F933-F934</f>
        <v>1583109.8241107571</v>
      </c>
      <c r="G935" s="89">
        <f t="shared" ref="G935:W935" si="547">IF(VLOOKUP($E935,$D$5:$AK$998,3,)=0,0,(VLOOKUP($E935,$D$5:$AK$998,G$1,)/VLOOKUP($E935,$D$5:$AK$998,3,))*$F935)</f>
        <v>955014.55869423517</v>
      </c>
      <c r="H935" s="89">
        <f t="shared" si="547"/>
        <v>1397.292230867095</v>
      </c>
      <c r="I935" s="89">
        <f t="shared" si="547"/>
        <v>385940.69796462182</v>
      </c>
      <c r="J935" s="89">
        <f t="shared" si="547"/>
        <v>7877.86197214396</v>
      </c>
      <c r="K935" s="89">
        <f t="shared" si="547"/>
        <v>120669.22755149133</v>
      </c>
      <c r="L935" s="89">
        <f t="shared" si="547"/>
        <v>23598.193308835242</v>
      </c>
      <c r="M935" s="89">
        <f t="shared" si="547"/>
        <v>21583.136033536059</v>
      </c>
      <c r="N935" s="89">
        <f t="shared" si="547"/>
        <v>41803.530391774693</v>
      </c>
      <c r="O935" s="89">
        <f t="shared" si="547"/>
        <v>20725.891819075743</v>
      </c>
      <c r="P935" s="89">
        <f t="shared" si="547"/>
        <v>1279.400228346798</v>
      </c>
      <c r="Q935" s="89">
        <f t="shared" si="547"/>
        <v>0</v>
      </c>
      <c r="R935" s="89">
        <f t="shared" si="547"/>
        <v>233.51266682188978</v>
      </c>
      <c r="S935" s="89">
        <f t="shared" si="547"/>
        <v>2877.8274031475494</v>
      </c>
      <c r="T935" s="89">
        <f t="shared" si="547"/>
        <v>108.69384585995138</v>
      </c>
      <c r="U935" s="89">
        <f t="shared" si="547"/>
        <v>0</v>
      </c>
      <c r="V935" s="89">
        <f t="shared" si="547"/>
        <v>0</v>
      </c>
      <c r="W935" s="89">
        <f t="shared" si="547"/>
        <v>0</v>
      </c>
      <c r="X935" s="94">
        <f>SUM(G935:W935)</f>
        <v>1583109.8241107569</v>
      </c>
      <c r="Y935" s="87" t="str">
        <f t="shared" si="545"/>
        <v>ok</v>
      </c>
      <c r="Z935" s="91" t="str">
        <f t="shared" si="546"/>
        <v/>
      </c>
    </row>
    <row r="936" spans="1:26" ht="12" customHeight="1" x14ac:dyDescent="0.5">
      <c r="A936" s="86" t="s">
        <v>2444</v>
      </c>
      <c r="D936" s="86" t="s">
        <v>2458</v>
      </c>
      <c r="F936" s="91">
        <f t="shared" ref="F936:W936" si="548">F934+F935</f>
        <v>1599033.2051107571</v>
      </c>
      <c r="G936" s="91">
        <f t="shared" si="548"/>
        <v>955014.55869423517</v>
      </c>
      <c r="H936" s="91">
        <f t="shared" ref="H936" si="549">H934+H935</f>
        <v>1397.292230867095</v>
      </c>
      <c r="I936" s="91">
        <f t="shared" si="548"/>
        <v>385940.69796462182</v>
      </c>
      <c r="J936" s="91">
        <f t="shared" si="548"/>
        <v>7877.86197214396</v>
      </c>
      <c r="K936" s="91">
        <f t="shared" si="548"/>
        <v>120669.22755149133</v>
      </c>
      <c r="L936" s="91">
        <f t="shared" si="548"/>
        <v>23598.193308835242</v>
      </c>
      <c r="M936" s="91">
        <f t="shared" si="548"/>
        <v>21583.136033536059</v>
      </c>
      <c r="N936" s="91">
        <f t="shared" si="548"/>
        <v>41803.530391774693</v>
      </c>
      <c r="O936" s="91">
        <f t="shared" si="548"/>
        <v>20725.891819075743</v>
      </c>
      <c r="P936" s="91">
        <f t="shared" si="548"/>
        <v>1279.400228346798</v>
      </c>
      <c r="Q936" s="91">
        <f t="shared" si="548"/>
        <v>0</v>
      </c>
      <c r="R936" s="91">
        <f t="shared" si="548"/>
        <v>233.51266682188978</v>
      </c>
      <c r="S936" s="91">
        <f t="shared" si="548"/>
        <v>2877.8274031475494</v>
      </c>
      <c r="T936" s="91">
        <f t="shared" si="548"/>
        <v>108.69384585995138</v>
      </c>
      <c r="U936" s="91">
        <f t="shared" si="548"/>
        <v>15923.380999999999</v>
      </c>
      <c r="V936" s="91">
        <f t="shared" si="548"/>
        <v>0</v>
      </c>
      <c r="W936" s="91">
        <f t="shared" si="548"/>
        <v>0</v>
      </c>
      <c r="X936" s="94">
        <f>SUM(G936:W936)</f>
        <v>1599033.2051107569</v>
      </c>
      <c r="Y936" s="87" t="str">
        <f t="shared" si="545"/>
        <v>ok</v>
      </c>
      <c r="Z936" s="91" t="str">
        <f t="shared" si="546"/>
        <v/>
      </c>
    </row>
    <row r="937" spans="1:26" ht="12" customHeight="1" x14ac:dyDescent="0.5">
      <c r="A937" s="86" t="s">
        <v>2445</v>
      </c>
      <c r="D937" s="86" t="s">
        <v>2459</v>
      </c>
      <c r="E937" s="86" t="s">
        <v>2458</v>
      </c>
      <c r="F937" s="107">
        <v>1</v>
      </c>
      <c r="G937" s="106">
        <f t="shared" ref="G937:W937" si="550">IF(VLOOKUP($E937,$D$5:$AK$998,3,)=0,0,(VLOOKUP($E937,$D$5:$AK$998,G$1,)/VLOOKUP($E937,$D$5:$AK$998,3,))*$F937)</f>
        <v>0.59724498255687319</v>
      </c>
      <c r="H937" s="106">
        <f t="shared" si="550"/>
        <v>8.7383565669626692E-4</v>
      </c>
      <c r="I937" s="106">
        <f t="shared" si="550"/>
        <v>0.24135877649763351</v>
      </c>
      <c r="J937" s="106">
        <f t="shared" si="550"/>
        <v>4.9266406394595785E-3</v>
      </c>
      <c r="K937" s="106">
        <f t="shared" si="550"/>
        <v>7.5463866019676043E-2</v>
      </c>
      <c r="L937" s="106">
        <f t="shared" si="550"/>
        <v>1.4757788164380684E-2</v>
      </c>
      <c r="M937" s="106">
        <f t="shared" si="550"/>
        <v>1.3497615912260622E-2</v>
      </c>
      <c r="N937" s="106">
        <f t="shared" si="550"/>
        <v>2.6143003321109377E-2</v>
      </c>
      <c r="O937" s="106">
        <f t="shared" si="550"/>
        <v>1.2961514340560653E-2</v>
      </c>
      <c r="P937" s="106">
        <f t="shared" si="550"/>
        <v>8.0010860578606953E-4</v>
      </c>
      <c r="Q937" s="106">
        <f t="shared" si="550"/>
        <v>0</v>
      </c>
      <c r="R937" s="106">
        <f t="shared" si="550"/>
        <v>1.4603365713454055E-4</v>
      </c>
      <c r="S937" s="106">
        <f t="shared" si="550"/>
        <v>1.7997296078340139E-3</v>
      </c>
      <c r="T937" s="106">
        <f t="shared" si="550"/>
        <v>6.7974727174238193E-5</v>
      </c>
      <c r="U937" s="106">
        <f t="shared" si="550"/>
        <v>9.9581302934213089E-3</v>
      </c>
      <c r="V937" s="106">
        <f t="shared" si="550"/>
        <v>0</v>
      </c>
      <c r="W937" s="106">
        <f t="shared" si="550"/>
        <v>0</v>
      </c>
      <c r="X937" s="98">
        <f>SUM(G937:W937)</f>
        <v>1.0000000000000002</v>
      </c>
      <c r="Y937" s="87" t="str">
        <f t="shared" si="545"/>
        <v>ok</v>
      </c>
      <c r="Z937" s="91" t="str">
        <f t="shared" si="546"/>
        <v/>
      </c>
    </row>
    <row r="938" spans="1:26" ht="12.6" customHeight="1" x14ac:dyDescent="0.5">
      <c r="F938" s="107"/>
      <c r="G938" s="106"/>
      <c r="H938" s="106"/>
      <c r="I938" s="106"/>
      <c r="J938" s="106"/>
      <c r="K938" s="106"/>
      <c r="L938" s="106"/>
      <c r="M938" s="106"/>
      <c r="N938" s="106"/>
      <c r="O938" s="106"/>
      <c r="P938" s="106"/>
      <c r="Q938" s="106"/>
      <c r="R938" s="106"/>
      <c r="S938" s="106"/>
      <c r="T938" s="106"/>
      <c r="U938" s="106"/>
      <c r="V938" s="106"/>
      <c r="W938" s="106"/>
      <c r="X938" s="98"/>
      <c r="Y938" s="87"/>
      <c r="Z938" s="91"/>
    </row>
    <row r="939" spans="1:26" ht="12" customHeight="1" x14ac:dyDescent="0.5">
      <c r="A939" s="86" t="s">
        <v>2460</v>
      </c>
      <c r="D939" s="86" t="s">
        <v>2465</v>
      </c>
      <c r="F939" s="90">
        <f>Meters!$G$47</f>
        <v>49194750.258011512</v>
      </c>
      <c r="G939" s="90">
        <f>Meters!$G$10</f>
        <v>29676843.635354165</v>
      </c>
      <c r="H939" s="90">
        <f>Meters!$G$12</f>
        <v>43420.514033874999</v>
      </c>
      <c r="I939" s="90">
        <f>Meters!$G$14+Meters!$G$16</f>
        <v>11993012.715613034</v>
      </c>
      <c r="J939" s="90">
        <f>Meters!$G$18+Meters!$G$20</f>
        <v>244802.63237858255</v>
      </c>
      <c r="K939" s="90">
        <f>Meters!$G$22</f>
        <v>3749766.7077880916</v>
      </c>
      <c r="L939" s="90">
        <f>Meters!$G$24</f>
        <v>733308.08051836654</v>
      </c>
      <c r="M939" s="90">
        <f>Meters!$G$26</f>
        <v>670690.66895021172</v>
      </c>
      <c r="N939" s="90">
        <f>Meters!$G$28</f>
        <v>1299034.4739233158</v>
      </c>
      <c r="O939" s="90">
        <f>Meters!$G$30</f>
        <v>644052.01482892304</v>
      </c>
      <c r="P939" s="90">
        <f>Meters!$G$32</f>
        <v>39757.048914100007</v>
      </c>
      <c r="Q939" s="90">
        <f>Meters!$G$34</f>
        <v>0</v>
      </c>
      <c r="R939" s="90">
        <f>Meters!$G$36</f>
        <v>7256.3489603999997</v>
      </c>
      <c r="S939" s="90">
        <f>Meters!$G$38</f>
        <v>89427.782095300005</v>
      </c>
      <c r="T939" s="90">
        <f>Meters!$G$40</f>
        <v>3377.634653152787</v>
      </c>
      <c r="U939" s="90">
        <f>Meters!$G$42</f>
        <v>0</v>
      </c>
      <c r="V939" s="90">
        <f>Meters!$G$44</f>
        <v>0</v>
      </c>
      <c r="W939" s="106">
        <v>0</v>
      </c>
      <c r="X939" s="94">
        <f>SUM(G939:W939)</f>
        <v>49194750.25801152</v>
      </c>
      <c r="Y939" s="87" t="str">
        <f t="shared" ref="Y939:Y944" si="551">IF(ABS(F939-X939)&lt;0.01,"ok","err")</f>
        <v>ok</v>
      </c>
      <c r="Z939" s="91" t="str">
        <f t="shared" ref="Z939:Z944" si="552">IF(Y939="err",X939-F939,"")</f>
        <v/>
      </c>
    </row>
    <row r="940" spans="1:26" ht="12" customHeight="1" x14ac:dyDescent="0.5">
      <c r="A940" s="86" t="s">
        <v>2461</v>
      </c>
      <c r="F940" s="91">
        <f>F445</f>
        <v>286653.15873077803</v>
      </c>
      <c r="G940" s="90"/>
      <c r="H940" s="90"/>
      <c r="I940" s="90"/>
      <c r="J940" s="90"/>
      <c r="K940" s="90"/>
      <c r="L940" s="90"/>
      <c r="M940" s="90"/>
      <c r="N940" s="90"/>
      <c r="O940" s="90"/>
      <c r="P940" s="90"/>
      <c r="Q940" s="90"/>
      <c r="R940" s="90"/>
      <c r="S940" s="90"/>
      <c r="T940" s="90"/>
      <c r="U940" s="90"/>
      <c r="V940" s="90"/>
      <c r="W940" s="90">
        <f>W936</f>
        <v>0</v>
      </c>
      <c r="X940" s="94">
        <f>F940</f>
        <v>286653.15873077803</v>
      </c>
      <c r="Y940" s="87" t="str">
        <f t="shared" si="551"/>
        <v>ok</v>
      </c>
      <c r="Z940" s="91" t="str">
        <f t="shared" si="552"/>
        <v/>
      </c>
    </row>
    <row r="941" spans="1:26" ht="12" customHeight="1" x14ac:dyDescent="0.5">
      <c r="A941" s="86" t="s">
        <v>848</v>
      </c>
      <c r="F941" s="91">
        <v>1987.4133771948207</v>
      </c>
      <c r="G941" s="91"/>
      <c r="H941" s="91"/>
      <c r="I941" s="91"/>
      <c r="J941" s="91"/>
      <c r="K941" s="91"/>
      <c r="L941" s="91"/>
      <c r="M941" s="91"/>
      <c r="N941" s="91"/>
      <c r="O941" s="91"/>
      <c r="P941" s="91"/>
      <c r="Q941" s="91"/>
      <c r="R941" s="91"/>
      <c r="S941" s="91"/>
      <c r="T941" s="91"/>
      <c r="U941" s="91">
        <f>F941</f>
        <v>1987.4133771948207</v>
      </c>
      <c r="V941" s="91">
        <v>0</v>
      </c>
      <c r="W941" s="91"/>
      <c r="X941" s="94">
        <f>SUM(G941:W941)</f>
        <v>1987.4133771948207</v>
      </c>
      <c r="Y941" s="87" t="str">
        <f t="shared" si="551"/>
        <v>ok</v>
      </c>
      <c r="Z941" s="91" t="str">
        <f t="shared" si="552"/>
        <v/>
      </c>
    </row>
    <row r="942" spans="1:26" ht="12" customHeight="1" x14ac:dyDescent="0.5">
      <c r="A942" s="86" t="s">
        <v>2462</v>
      </c>
      <c r="E942" s="86" t="s">
        <v>2465</v>
      </c>
      <c r="F942" s="91">
        <f>F940-F941</f>
        <v>284665.74535358319</v>
      </c>
      <c r="G942" s="89">
        <f t="shared" ref="G942:W942" si="553">IF(VLOOKUP($E942,$D$5:$AK$998,3,)=0,0,(VLOOKUP($E942,$D$5:$AK$998,G$1,)/VLOOKUP($E942,$D$5:$AK$998,3,))*$F942)</f>
        <v>171725.25053776559</v>
      </c>
      <c r="H942" s="89">
        <f t="shared" si="553"/>
        <v>251.25308953216665</v>
      </c>
      <c r="I942" s="89">
        <f t="shared" si="553"/>
        <v>69397.646818402238</v>
      </c>
      <c r="J942" s="89">
        <f t="shared" si="553"/>
        <v>1416.552039497745</v>
      </c>
      <c r="K942" s="89">
        <f t="shared" si="553"/>
        <v>21698.04967351602</v>
      </c>
      <c r="L942" s="89">
        <f t="shared" si="553"/>
        <v>4243.2920224159689</v>
      </c>
      <c r="M942" s="89">
        <f t="shared" si="553"/>
        <v>3880.95595926545</v>
      </c>
      <c r="N942" s="89">
        <f t="shared" si="553"/>
        <v>7516.8715121012119</v>
      </c>
      <c r="O942" s="89">
        <f t="shared" si="553"/>
        <v>3726.8112122979014</v>
      </c>
      <c r="P942" s="89">
        <f t="shared" si="553"/>
        <v>230.05442456429708</v>
      </c>
      <c r="Q942" s="89">
        <f t="shared" si="553"/>
        <v>0</v>
      </c>
      <c r="R942" s="89">
        <f t="shared" si="553"/>
        <v>41.988910900540041</v>
      </c>
      <c r="S942" s="89">
        <f t="shared" si="553"/>
        <v>517.47444822795183</v>
      </c>
      <c r="T942" s="89">
        <f t="shared" si="553"/>
        <v>19.544705096154988</v>
      </c>
      <c r="U942" s="89">
        <f t="shared" si="553"/>
        <v>0</v>
      </c>
      <c r="V942" s="89">
        <f t="shared" si="553"/>
        <v>0</v>
      </c>
      <c r="W942" s="89">
        <f t="shared" si="553"/>
        <v>0</v>
      </c>
      <c r="X942" s="94">
        <f>SUM(G942:W942)</f>
        <v>284665.74535358325</v>
      </c>
      <c r="Y942" s="87" t="str">
        <f t="shared" si="551"/>
        <v>ok</v>
      </c>
      <c r="Z942" s="91" t="str">
        <f t="shared" si="552"/>
        <v/>
      </c>
    </row>
    <row r="943" spans="1:26" ht="12" customHeight="1" x14ac:dyDescent="0.5">
      <c r="A943" s="86" t="s">
        <v>2463</v>
      </c>
      <c r="D943" s="86" t="s">
        <v>2466</v>
      </c>
      <c r="F943" s="91">
        <f>F941+F942</f>
        <v>286653.15873077803</v>
      </c>
      <c r="G943" s="91">
        <f>G941+G942</f>
        <v>171725.25053776559</v>
      </c>
      <c r="H943" s="91">
        <f>H941+H942</f>
        <v>251.25308953216665</v>
      </c>
      <c r="I943" s="91">
        <f t="shared" ref="I943:W943" si="554">I941+I942</f>
        <v>69397.646818402238</v>
      </c>
      <c r="J943" s="91">
        <f t="shared" si="554"/>
        <v>1416.552039497745</v>
      </c>
      <c r="K943" s="91">
        <f t="shared" si="554"/>
        <v>21698.04967351602</v>
      </c>
      <c r="L943" s="91">
        <f t="shared" si="554"/>
        <v>4243.2920224159689</v>
      </c>
      <c r="M943" s="91">
        <f t="shared" si="554"/>
        <v>3880.95595926545</v>
      </c>
      <c r="N943" s="91">
        <f t="shared" si="554"/>
        <v>7516.8715121012119</v>
      </c>
      <c r="O943" s="91">
        <f t="shared" si="554"/>
        <v>3726.8112122979014</v>
      </c>
      <c r="P943" s="91">
        <f t="shared" si="554"/>
        <v>230.05442456429708</v>
      </c>
      <c r="Q943" s="91">
        <f t="shared" si="554"/>
        <v>0</v>
      </c>
      <c r="R943" s="91">
        <f t="shared" si="554"/>
        <v>41.988910900540041</v>
      </c>
      <c r="S943" s="91">
        <f t="shared" si="554"/>
        <v>517.47444822795183</v>
      </c>
      <c r="T943" s="91">
        <f t="shared" si="554"/>
        <v>19.544705096154988</v>
      </c>
      <c r="U943" s="91">
        <f t="shared" si="554"/>
        <v>1987.4133771948207</v>
      </c>
      <c r="V943" s="91">
        <f t="shared" si="554"/>
        <v>0</v>
      </c>
      <c r="W943" s="91">
        <f t="shared" si="554"/>
        <v>0</v>
      </c>
      <c r="X943" s="94">
        <f>SUM(G943:W943)</f>
        <v>286653.15873077809</v>
      </c>
      <c r="Y943" s="87" t="str">
        <f t="shared" si="551"/>
        <v>ok</v>
      </c>
      <c r="Z943" s="91" t="str">
        <f t="shared" si="552"/>
        <v/>
      </c>
    </row>
    <row r="944" spans="1:26" ht="12" customHeight="1" x14ac:dyDescent="0.5">
      <c r="A944" s="86" t="s">
        <v>2464</v>
      </c>
      <c r="D944" s="86" t="s">
        <v>2467</v>
      </c>
      <c r="E944" s="86" t="s">
        <v>2466</v>
      </c>
      <c r="F944" s="107">
        <v>1</v>
      </c>
      <c r="G944" s="106">
        <f t="shared" ref="G944:W944" si="555">IF(VLOOKUP($E944,$D$5:$AK$998,3,)=0,0,(VLOOKUP($E944,$D$5:$AK$998,G$1,)/VLOOKUP($E944,$D$5:$AK$998,3,))*$F944)</f>
        <v>0.59906980023565115</v>
      </c>
      <c r="H944" s="106">
        <f t="shared" si="555"/>
        <v>8.7650556737154674E-4</v>
      </c>
      <c r="I944" s="106">
        <f t="shared" si="555"/>
        <v>0.24209622222785224</v>
      </c>
      <c r="J944" s="106">
        <f t="shared" si="555"/>
        <v>4.9416934589866408E-3</v>
      </c>
      <c r="K944" s="106">
        <f t="shared" si="555"/>
        <v>7.569443772951627E-2</v>
      </c>
      <c r="L944" s="106">
        <f t="shared" si="555"/>
        <v>1.4802878995661893E-2</v>
      </c>
      <c r="M944" s="106">
        <f t="shared" si="555"/>
        <v>1.3538856423034946E-2</v>
      </c>
      <c r="N944" s="106">
        <f t="shared" si="555"/>
        <v>2.622288045031099E-2</v>
      </c>
      <c r="O944" s="106">
        <f t="shared" si="555"/>
        <v>1.3001116850758613E-2</v>
      </c>
      <c r="P944" s="106">
        <f t="shared" si="555"/>
        <v>8.0255325140289851E-4</v>
      </c>
      <c r="Q944" s="106">
        <f t="shared" si="555"/>
        <v>0</v>
      </c>
      <c r="R944" s="106">
        <f t="shared" si="555"/>
        <v>1.4647984723578655E-4</v>
      </c>
      <c r="S944" s="106">
        <f t="shared" si="555"/>
        <v>1.8052284876928881E-3</v>
      </c>
      <c r="T944" s="106">
        <f t="shared" si="555"/>
        <v>6.8182416627444857E-5</v>
      </c>
      <c r="U944" s="106">
        <f t="shared" si="555"/>
        <v>6.9331640578968144E-3</v>
      </c>
      <c r="V944" s="106">
        <f t="shared" si="555"/>
        <v>0</v>
      </c>
      <c r="W944" s="106">
        <f t="shared" si="555"/>
        <v>0</v>
      </c>
      <c r="X944" s="98">
        <f>SUM(G944:W944)</f>
        <v>1.0000000000000002</v>
      </c>
      <c r="Y944" s="87" t="str">
        <f t="shared" si="551"/>
        <v>ok</v>
      </c>
      <c r="Z944" s="91" t="str">
        <f t="shared" si="552"/>
        <v/>
      </c>
    </row>
    <row r="945" spans="1:33" ht="12" customHeight="1" x14ac:dyDescent="0.5">
      <c r="F945" s="107"/>
      <c r="G945" s="106"/>
      <c r="H945" s="106"/>
      <c r="I945" s="106"/>
      <c r="J945" s="106"/>
      <c r="K945" s="106"/>
      <c r="L945" s="106"/>
      <c r="M945" s="106"/>
      <c r="N945" s="106"/>
      <c r="O945" s="106"/>
      <c r="P945" s="106"/>
      <c r="Q945" s="106"/>
      <c r="R945" s="106"/>
      <c r="S945" s="106"/>
      <c r="T945" s="106"/>
      <c r="U945" s="106"/>
      <c r="V945" s="106"/>
      <c r="W945" s="106"/>
      <c r="X945" s="98"/>
      <c r="Y945" s="87"/>
      <c r="Z945" s="91"/>
    </row>
    <row r="946" spans="1:33" ht="12" customHeight="1" x14ac:dyDescent="0.5">
      <c r="A946" s="22" t="s">
        <v>2554</v>
      </c>
      <c r="F946" s="107"/>
      <c r="G946" s="106"/>
      <c r="H946" s="106"/>
      <c r="I946" s="106"/>
      <c r="J946" s="106"/>
      <c r="K946" s="106"/>
      <c r="L946" s="106"/>
      <c r="M946" s="106"/>
      <c r="N946" s="106"/>
      <c r="O946" s="106"/>
      <c r="P946" s="106"/>
      <c r="Q946" s="106"/>
      <c r="R946" s="106"/>
      <c r="S946" s="106"/>
      <c r="T946" s="106"/>
      <c r="U946" s="106"/>
      <c r="V946" s="106"/>
      <c r="W946" s="106"/>
      <c r="X946" s="98"/>
      <c r="Y946" s="87"/>
      <c r="Z946" s="91"/>
    </row>
    <row r="947" spans="1:33" ht="12" customHeight="1" x14ac:dyDescent="0.5">
      <c r="A947" s="86" t="s">
        <v>2555</v>
      </c>
      <c r="D947" s="86" t="s">
        <v>2557</v>
      </c>
      <c r="F947" s="90">
        <v>550667</v>
      </c>
      <c r="G947" s="90">
        <f>G837</f>
        <v>441696</v>
      </c>
      <c r="H947" s="90">
        <f>H837</f>
        <v>646</v>
      </c>
      <c r="I947" s="90">
        <f t="shared" ref="I947:W947" si="556">I837</f>
        <v>82784</v>
      </c>
      <c r="J947" s="90">
        <f t="shared" si="556"/>
        <v>424</v>
      </c>
      <c r="K947" s="90">
        <f t="shared" si="556"/>
        <v>4441</v>
      </c>
      <c r="L947" s="90">
        <f t="shared" si="556"/>
        <v>204</v>
      </c>
      <c r="M947" s="90">
        <f t="shared" si="556"/>
        <v>766</v>
      </c>
      <c r="N947" s="90">
        <f t="shared" si="556"/>
        <v>256</v>
      </c>
      <c r="O947" s="90">
        <f t="shared" si="556"/>
        <v>20</v>
      </c>
      <c r="P947" s="90">
        <f t="shared" si="556"/>
        <v>1</v>
      </c>
      <c r="Q947" s="90">
        <f t="shared" si="556"/>
        <v>19255</v>
      </c>
      <c r="R947" s="90">
        <f t="shared" si="556"/>
        <v>12</v>
      </c>
      <c r="S947" s="90">
        <f t="shared" si="556"/>
        <v>148</v>
      </c>
      <c r="T947" s="90">
        <f t="shared" si="556"/>
        <v>4</v>
      </c>
      <c r="U947" s="90">
        <f t="shared" si="556"/>
        <v>10</v>
      </c>
      <c r="V947" s="90">
        <f t="shared" si="556"/>
        <v>0</v>
      </c>
      <c r="W947" s="90">
        <f t="shared" si="556"/>
        <v>0</v>
      </c>
      <c r="X947" s="94">
        <f>SUM(G947:W947)</f>
        <v>550667</v>
      </c>
      <c r="Y947" s="87" t="str">
        <f t="shared" ref="Y947:Y952" si="557">IF(ABS(F947-X947)&lt;0.01,"ok","err")</f>
        <v>ok</v>
      </c>
      <c r="Z947" s="91" t="str">
        <f t="shared" ref="Z947:Z952" si="558">IF(Y947="err",X947-F947,"")</f>
        <v/>
      </c>
    </row>
    <row r="948" spans="1:33" ht="12" customHeight="1" x14ac:dyDescent="0.5">
      <c r="A948" s="86" t="s">
        <v>2556</v>
      </c>
      <c r="F948" s="91">
        <f>F226</f>
        <v>7173759.7602191055</v>
      </c>
      <c r="G948" s="90"/>
      <c r="H948" s="90"/>
      <c r="I948" s="90"/>
      <c r="J948" s="90"/>
      <c r="K948" s="90"/>
      <c r="L948" s="90"/>
      <c r="M948" s="90"/>
      <c r="N948" s="90"/>
      <c r="O948" s="90"/>
      <c r="P948" s="90"/>
      <c r="Q948" s="90"/>
      <c r="R948" s="90"/>
      <c r="S948" s="90"/>
      <c r="T948" s="90"/>
      <c r="U948" s="90"/>
      <c r="V948" s="90"/>
      <c r="W948" s="90">
        <f>W944</f>
        <v>0</v>
      </c>
      <c r="X948" s="94">
        <f>F948</f>
        <v>7173759.7602191055</v>
      </c>
      <c r="Y948" s="87" t="str">
        <f t="shared" si="557"/>
        <v>ok</v>
      </c>
      <c r="Z948" s="91" t="str">
        <f t="shared" si="558"/>
        <v/>
      </c>
    </row>
    <row r="949" spans="1:33" ht="12" customHeight="1" x14ac:dyDescent="0.5">
      <c r="A949" s="86" t="s">
        <v>848</v>
      </c>
      <c r="F949" s="91">
        <v>25500</v>
      </c>
      <c r="G949" s="91"/>
      <c r="H949" s="91"/>
      <c r="I949" s="91"/>
      <c r="J949" s="91"/>
      <c r="K949" s="91"/>
      <c r="L949" s="91"/>
      <c r="M949" s="91"/>
      <c r="N949" s="91"/>
      <c r="O949" s="91"/>
      <c r="P949" s="91"/>
      <c r="Q949" s="91"/>
      <c r="R949" s="91"/>
      <c r="S949" s="91"/>
      <c r="T949" s="91"/>
      <c r="U949" s="91">
        <f>18500</f>
        <v>18500</v>
      </c>
      <c r="V949" s="91">
        <v>0</v>
      </c>
      <c r="W949" s="91">
        <v>7000</v>
      </c>
      <c r="X949" s="94">
        <f>SUM(G949:W949)</f>
        <v>25500</v>
      </c>
      <c r="Y949" s="87" t="str">
        <f t="shared" si="557"/>
        <v>ok</v>
      </c>
      <c r="Z949" s="91" t="str">
        <f t="shared" si="558"/>
        <v/>
      </c>
    </row>
    <row r="950" spans="1:33" ht="12" customHeight="1" x14ac:dyDescent="0.5">
      <c r="A950" s="86" t="s">
        <v>2558</v>
      </c>
      <c r="E950" s="86" t="s">
        <v>2557</v>
      </c>
      <c r="F950" s="91">
        <f>F948-F949</f>
        <v>7148259.7602191055</v>
      </c>
      <c r="G950" s="89">
        <f t="shared" ref="G950:W950" si="559">IF(VLOOKUP($E950,$D$5:$AK$998,3,)=0,0,(VLOOKUP($E950,$D$5:$AK$998,G$1,)/VLOOKUP($E950,$D$5:$AK$998,3,))*$F950)</f>
        <v>5733697.0311453892</v>
      </c>
      <c r="H950" s="89">
        <f t="shared" si="559"/>
        <v>8385.7863374808039</v>
      </c>
      <c r="I950" s="89">
        <f t="shared" si="559"/>
        <v>1074626.8361641036</v>
      </c>
      <c r="J950" s="89">
        <f t="shared" si="559"/>
        <v>5503.9836023093821</v>
      </c>
      <c r="K950" s="89">
        <f t="shared" si="559"/>
        <v>57649.035796830118</v>
      </c>
      <c r="L950" s="89">
        <f t="shared" si="559"/>
        <v>2648.1430539413063</v>
      </c>
      <c r="M950" s="89">
        <f t="shared" si="559"/>
        <v>9943.5175456815741</v>
      </c>
      <c r="N950" s="89">
        <f t="shared" si="559"/>
        <v>3323.1599108283067</v>
      </c>
      <c r="O950" s="89">
        <f t="shared" si="559"/>
        <v>259.62186803346145</v>
      </c>
      <c r="P950" s="89">
        <f t="shared" si="559"/>
        <v>12.981093401673073</v>
      </c>
      <c r="Q950" s="89">
        <f t="shared" si="559"/>
        <v>249950.95344921501</v>
      </c>
      <c r="R950" s="89">
        <f t="shared" si="559"/>
        <v>155.77312082007685</v>
      </c>
      <c r="S950" s="89">
        <f t="shared" si="559"/>
        <v>1921.2018234476145</v>
      </c>
      <c r="T950" s="89">
        <f t="shared" si="559"/>
        <v>51.924373606692292</v>
      </c>
      <c r="U950" s="89">
        <f t="shared" si="559"/>
        <v>129.81093401673073</v>
      </c>
      <c r="V950" s="89">
        <f t="shared" si="559"/>
        <v>0</v>
      </c>
      <c r="W950" s="89">
        <f t="shared" si="559"/>
        <v>0</v>
      </c>
      <c r="X950" s="94">
        <f>SUM(G950:W950)</f>
        <v>7148259.7602191074</v>
      </c>
      <c r="Y950" s="87" t="str">
        <f t="shared" si="557"/>
        <v>ok</v>
      </c>
      <c r="Z950" s="91" t="str">
        <f t="shared" si="558"/>
        <v/>
      </c>
    </row>
    <row r="951" spans="1:33" ht="12" customHeight="1" x14ac:dyDescent="0.5">
      <c r="A951" s="86" t="s">
        <v>2559</v>
      </c>
      <c r="D951" s="86" t="s">
        <v>2561</v>
      </c>
      <c r="F951" s="91">
        <f>F949+F950</f>
        <v>7173759.7602191055</v>
      </c>
      <c r="G951" s="91">
        <f>G949+G950</f>
        <v>5733697.0311453892</v>
      </c>
      <c r="H951" s="91">
        <f>H949+H950</f>
        <v>8385.7863374808039</v>
      </c>
      <c r="I951" s="91">
        <f t="shared" ref="I951:W951" si="560">I949+I950</f>
        <v>1074626.8361641036</v>
      </c>
      <c r="J951" s="91">
        <f t="shared" si="560"/>
        <v>5503.9836023093821</v>
      </c>
      <c r="K951" s="91">
        <f t="shared" si="560"/>
        <v>57649.035796830118</v>
      </c>
      <c r="L951" s="91">
        <f t="shared" si="560"/>
        <v>2648.1430539413063</v>
      </c>
      <c r="M951" s="91">
        <f t="shared" si="560"/>
        <v>9943.5175456815741</v>
      </c>
      <c r="N951" s="91">
        <f t="shared" si="560"/>
        <v>3323.1599108283067</v>
      </c>
      <c r="O951" s="91">
        <f t="shared" si="560"/>
        <v>259.62186803346145</v>
      </c>
      <c r="P951" s="91">
        <f t="shared" si="560"/>
        <v>12.981093401673073</v>
      </c>
      <c r="Q951" s="91">
        <f t="shared" si="560"/>
        <v>249950.95344921501</v>
      </c>
      <c r="R951" s="91">
        <f t="shared" si="560"/>
        <v>155.77312082007685</v>
      </c>
      <c r="S951" s="91">
        <f t="shared" si="560"/>
        <v>1921.2018234476145</v>
      </c>
      <c r="T951" s="91">
        <f t="shared" si="560"/>
        <v>51.924373606692292</v>
      </c>
      <c r="U951" s="91">
        <f t="shared" si="560"/>
        <v>18629.810934016732</v>
      </c>
      <c r="V951" s="91">
        <f t="shared" si="560"/>
        <v>0</v>
      </c>
      <c r="W951" s="91">
        <f t="shared" si="560"/>
        <v>7000</v>
      </c>
      <c r="X951" s="94">
        <f>SUM(G951:W951)</f>
        <v>7173759.7602191074</v>
      </c>
      <c r="Y951" s="87" t="str">
        <f t="shared" si="557"/>
        <v>ok</v>
      </c>
      <c r="Z951" s="91" t="str">
        <f t="shared" si="558"/>
        <v/>
      </c>
    </row>
    <row r="952" spans="1:33" ht="12" customHeight="1" x14ac:dyDescent="0.5">
      <c r="A952" s="86" t="s">
        <v>2560</v>
      </c>
      <c r="D952" s="86" t="s">
        <v>2562</v>
      </c>
      <c r="E952" s="86" t="s">
        <v>2561</v>
      </c>
      <c r="F952" s="107">
        <v>1</v>
      </c>
      <c r="G952" s="106">
        <f t="shared" ref="G952:W952" si="561">IF(VLOOKUP($E952,$D$5:$AK$998,3,)=0,0,(VLOOKUP($E952,$D$5:$AK$998,G$1,)/VLOOKUP($E952,$D$5:$AK$998,3,))*$F952)</f>
        <v>0.79925969405062247</v>
      </c>
      <c r="H952" s="106">
        <f t="shared" si="561"/>
        <v>1.1689527692274825E-3</v>
      </c>
      <c r="I952" s="106">
        <f t="shared" si="561"/>
        <v>0.14979966880453238</v>
      </c>
      <c r="J952" s="106">
        <f t="shared" si="561"/>
        <v>7.6723835008119597E-4</v>
      </c>
      <c r="K952" s="106">
        <f t="shared" si="561"/>
        <v>8.0360979073363006E-3</v>
      </c>
      <c r="L952" s="106">
        <f t="shared" si="561"/>
        <v>3.6914297975604706E-4</v>
      </c>
      <c r="M952" s="106">
        <f t="shared" si="561"/>
        <v>1.3860956984957458E-3</v>
      </c>
      <c r="N952" s="106">
        <f t="shared" si="561"/>
        <v>4.6323824910562777E-4</v>
      </c>
      <c r="O952" s="106">
        <f t="shared" si="561"/>
        <v>3.6190488211377173E-5</v>
      </c>
      <c r="P952" s="106">
        <f t="shared" si="561"/>
        <v>1.8095244105688585E-6</v>
      </c>
      <c r="Q952" s="106">
        <f t="shared" si="561"/>
        <v>3.484239252550337E-2</v>
      </c>
      <c r="R952" s="106">
        <f t="shared" si="561"/>
        <v>2.1714292926826298E-5</v>
      </c>
      <c r="S952" s="106">
        <f t="shared" si="561"/>
        <v>2.6780961276419104E-4</v>
      </c>
      <c r="T952" s="106">
        <f t="shared" si="561"/>
        <v>7.2380976422754339E-6</v>
      </c>
      <c r="U952" s="106">
        <f t="shared" si="561"/>
        <v>2.5969382244057375E-3</v>
      </c>
      <c r="V952" s="106">
        <f t="shared" si="561"/>
        <v>0</v>
      </c>
      <c r="W952" s="106">
        <f t="shared" si="561"/>
        <v>9.7577842497839672E-4</v>
      </c>
      <c r="X952" s="98">
        <f>SUM(G952:W952)</f>
        <v>1</v>
      </c>
      <c r="Y952" s="87" t="str">
        <f t="shared" si="557"/>
        <v>ok</v>
      </c>
      <c r="Z952" s="91" t="str">
        <f t="shared" si="558"/>
        <v/>
      </c>
    </row>
    <row r="953" spans="1:33" ht="12" customHeight="1" x14ac:dyDescent="0.5">
      <c r="F953" s="107"/>
      <c r="G953" s="106"/>
      <c r="H953" s="106"/>
      <c r="I953" s="106"/>
      <c r="J953" s="106"/>
      <c r="K953" s="106"/>
      <c r="L953" s="106"/>
      <c r="M953" s="106"/>
      <c r="N953" s="106"/>
      <c r="O953" s="106"/>
      <c r="P953" s="106"/>
      <c r="Q953" s="106"/>
      <c r="R953" s="106"/>
      <c r="S953" s="106"/>
      <c r="T953" s="106"/>
      <c r="U953" s="106"/>
      <c r="V953" s="106"/>
      <c r="W953" s="106"/>
      <c r="Y953" s="87"/>
    </row>
    <row r="954" spans="1:33" ht="12" customHeight="1" x14ac:dyDescent="0.5">
      <c r="A954" s="288" t="s">
        <v>906</v>
      </c>
      <c r="F954" s="107"/>
      <c r="G954" s="106"/>
      <c r="H954" s="106"/>
      <c r="I954" s="106"/>
      <c r="J954" s="106"/>
      <c r="K954" s="106"/>
      <c r="L954" s="106"/>
      <c r="M954" s="106"/>
      <c r="N954" s="106"/>
      <c r="O954" s="106"/>
      <c r="P954" s="106"/>
      <c r="Q954" s="106"/>
      <c r="R954" s="106"/>
      <c r="S954" s="106"/>
      <c r="T954" s="106"/>
      <c r="U954" s="106"/>
      <c r="V954" s="106"/>
      <c r="W954" s="106"/>
      <c r="Y954" s="87"/>
      <c r="AB954" s="94"/>
      <c r="AC954" s="94"/>
      <c r="AD954" s="94"/>
      <c r="AE954" s="94"/>
      <c r="AF954" s="94"/>
      <c r="AG954" s="94"/>
    </row>
    <row r="955" spans="1:33" ht="12" customHeight="1" x14ac:dyDescent="0.5">
      <c r="A955" s="288"/>
      <c r="F955" s="107"/>
      <c r="G955" s="106"/>
      <c r="H955" s="106"/>
      <c r="I955" s="106"/>
      <c r="J955" s="106"/>
      <c r="K955" s="106"/>
      <c r="L955" s="106"/>
      <c r="M955" s="106"/>
      <c r="N955" s="106"/>
      <c r="O955" s="106"/>
      <c r="P955" s="106"/>
      <c r="Q955" s="106"/>
      <c r="R955" s="106"/>
      <c r="S955" s="106"/>
      <c r="T955" s="106"/>
      <c r="U955" s="106"/>
      <c r="V955" s="106"/>
      <c r="W955" s="106"/>
      <c r="Y955" s="87"/>
      <c r="AB955" s="94"/>
      <c r="AC955" s="94"/>
      <c r="AD955" s="94"/>
      <c r="AE955" s="94"/>
      <c r="AF955" s="94"/>
      <c r="AG955" s="94"/>
    </row>
    <row r="956" spans="1:33" ht="12" customHeight="1" x14ac:dyDescent="0.5">
      <c r="A956" s="86" t="s">
        <v>1839</v>
      </c>
      <c r="D956" s="86" t="s">
        <v>1838</v>
      </c>
      <c r="F956" s="90">
        <v>3985851.6299999994</v>
      </c>
      <c r="G956" s="90">
        <f>(G831/($G$831+$H$831))*3094550.59</f>
        <v>3090029.5340414713</v>
      </c>
      <c r="H956" s="90">
        <f>(H831/($G$831+$H$831))*3094550.59</f>
        <v>4521.0559585284791</v>
      </c>
      <c r="I956" s="90">
        <v>620985.72</v>
      </c>
      <c r="J956" s="90">
        <f t="shared" ref="J956:P956" si="562">(J831/($J$831+$K$831+$L$831+$M$831+$N$831+$O$831+$P$831))*(170333.81+51375.44+2527.79+42719.01)</f>
        <v>18513.642716969542</v>
      </c>
      <c r="K956" s="90">
        <f t="shared" si="562"/>
        <v>193986.39144912362</v>
      </c>
      <c r="L956" s="90">
        <f t="shared" si="562"/>
        <v>8901.6666645296791</v>
      </c>
      <c r="M956" s="90">
        <f t="shared" si="562"/>
        <v>33474.182635577243</v>
      </c>
      <c r="N956" s="90">
        <f t="shared" si="562"/>
        <v>11162.808242589848</v>
      </c>
      <c r="O956" s="90">
        <f t="shared" si="562"/>
        <v>873.67456305717633</v>
      </c>
      <c r="P956" s="90">
        <f t="shared" si="562"/>
        <v>43.683728152858819</v>
      </c>
      <c r="Q956" s="90">
        <v>3359.27</v>
      </c>
      <c r="R956" s="90">
        <v>0</v>
      </c>
      <c r="S956" s="90">
        <v>0</v>
      </c>
      <c r="T956" s="90">
        <v>0</v>
      </c>
      <c r="U956" s="90">
        <v>0</v>
      </c>
      <c r="V956" s="90"/>
      <c r="W956" s="90">
        <v>0</v>
      </c>
      <c r="X956" s="94">
        <f t="shared" ref="X956:X963" si="563">SUM(G956:W956)</f>
        <v>3985851.6299999994</v>
      </c>
      <c r="Y956" s="87" t="str">
        <f t="shared" ref="Y956:Y963" si="564">IF(ABS(F956-X956)&lt;0.01,"ok","err")</f>
        <v>ok</v>
      </c>
      <c r="Z956" s="91" t="str">
        <f t="shared" ref="Z956:Z963" si="565">IF(Y956="err",X956-F956,"")</f>
        <v/>
      </c>
    </row>
    <row r="957" spans="1:33" ht="12" customHeight="1" x14ac:dyDescent="0.5">
      <c r="A957" s="86" t="s">
        <v>1448</v>
      </c>
      <c r="D957" s="86" t="s">
        <v>2107</v>
      </c>
      <c r="F957" s="90">
        <v>1671783.82</v>
      </c>
      <c r="G957" s="90">
        <f>(G831/($G$831+$H$831))*174180.44</f>
        <v>173925.96701815061</v>
      </c>
      <c r="H957" s="90">
        <f>(H831/($G$831+$H$831))*174180.44</f>
        <v>254.47298184939751</v>
      </c>
      <c r="I957" s="90">
        <v>326080.78000000003</v>
      </c>
      <c r="J957" s="90">
        <f t="shared" ref="J957:P957" si="566">(J831/($J$831+$K$831+$L$831+$M$831+$N$831+$O$831+$P$831))*(878159.44+82220.79+346.98+202356.51)</f>
        <v>80660.90445226412</v>
      </c>
      <c r="K957" s="90">
        <f t="shared" si="566"/>
        <v>845166.88719368936</v>
      </c>
      <c r="L957" s="90">
        <f t="shared" si="566"/>
        <v>38783.101481989906</v>
      </c>
      <c r="M957" s="90">
        <f t="shared" si="566"/>
        <v>145841.52284148117</v>
      </c>
      <c r="N957" s="90">
        <f t="shared" si="566"/>
        <v>48634.524433658888</v>
      </c>
      <c r="O957" s="90">
        <f t="shared" si="566"/>
        <v>3806.4567589680596</v>
      </c>
      <c r="P957" s="90">
        <f t="shared" si="566"/>
        <v>190.32283794840299</v>
      </c>
      <c r="Q957" s="90">
        <v>8438.8799999999992</v>
      </c>
      <c r="R957" s="95">
        <v>0</v>
      </c>
      <c r="S957" s="90">
        <v>0</v>
      </c>
      <c r="T957" s="95">
        <v>0</v>
      </c>
      <c r="U957" s="95">
        <v>0</v>
      </c>
      <c r="V957" s="90"/>
      <c r="W957" s="90">
        <v>0</v>
      </c>
      <c r="X957" s="94">
        <f t="shared" si="563"/>
        <v>1671783.82</v>
      </c>
      <c r="Y957" s="87" t="str">
        <f t="shared" si="564"/>
        <v>ok</v>
      </c>
      <c r="Z957" s="91" t="str">
        <f t="shared" si="565"/>
        <v/>
      </c>
    </row>
    <row r="958" spans="1:33" ht="12" customHeight="1" x14ac:dyDescent="0.5">
      <c r="A958" s="86" t="s">
        <v>2353</v>
      </c>
      <c r="D958" s="86" t="s">
        <v>2354</v>
      </c>
      <c r="F958" s="90">
        <v>1827840</v>
      </c>
      <c r="G958" s="90">
        <f>(G831/($G$831+$H$831))*1740900</f>
        <v>1738356.5914858086</v>
      </c>
      <c r="H958" s="90">
        <f>(H831/($G$831+$H$831))*1740900</f>
        <v>2543.4085141914679</v>
      </c>
      <c r="I958" s="90">
        <v>83412</v>
      </c>
      <c r="J958" s="90">
        <f t="shared" ref="J958:P958" si="567">(J831/($J$831+$K$831+$L$831+$M$831+$N$831+$O$831+$P$831))*(1148+728+1484)</f>
        <v>233.01902889639575</v>
      </c>
      <c r="K958" s="90">
        <f t="shared" si="567"/>
        <v>2441.578961289903</v>
      </c>
      <c r="L958" s="90">
        <f t="shared" si="567"/>
        <v>112.03941619910739</v>
      </c>
      <c r="M958" s="90">
        <f t="shared" si="567"/>
        <v>421.31749273162961</v>
      </c>
      <c r="N958" s="90">
        <f t="shared" si="567"/>
        <v>140.49891618902024</v>
      </c>
      <c r="O958" s="90">
        <f t="shared" si="567"/>
        <v>10.996366375184651</v>
      </c>
      <c r="P958" s="90">
        <f t="shared" si="567"/>
        <v>0.54981831875923259</v>
      </c>
      <c r="Q958" s="90">
        <v>168</v>
      </c>
      <c r="R958" s="95"/>
      <c r="S958" s="90"/>
      <c r="T958" s="95"/>
      <c r="U958" s="95"/>
      <c r="V958" s="90"/>
      <c r="W958" s="90">
        <v>0</v>
      </c>
      <c r="X958" s="94">
        <f t="shared" si="563"/>
        <v>1827840</v>
      </c>
      <c r="Y958" s="87" t="str">
        <f t="shared" si="564"/>
        <v>ok</v>
      </c>
      <c r="Z958" s="91" t="str">
        <f t="shared" si="565"/>
        <v/>
      </c>
    </row>
    <row r="959" spans="1:33" ht="12" customHeight="1" x14ac:dyDescent="0.5">
      <c r="A959" s="86" t="s">
        <v>2355</v>
      </c>
      <c r="D959" s="86" t="s">
        <v>1052</v>
      </c>
      <c r="F959" s="90">
        <v>86977.999999999985</v>
      </c>
      <c r="G959" s="90">
        <f>(G831/($G$831+$H$831))*81062</f>
        <v>80943.570577875013</v>
      </c>
      <c r="H959" s="90">
        <f>(H831/($G$831+$H$831))*81062</f>
        <v>118.42942212498637</v>
      </c>
      <c r="I959" s="90">
        <v>5025</v>
      </c>
      <c r="J959" s="90">
        <f t="shared" ref="J959:P959" si="568">(J831/($J$831+$K$831+$L$831+$M$831+$N$831+$O$831+$P$831))*(178+686+2)</f>
        <v>60.05788066198771</v>
      </c>
      <c r="K959" s="90">
        <f t="shared" si="568"/>
        <v>629.28791085626665</v>
      </c>
      <c r="L959" s="90">
        <f t="shared" si="568"/>
        <v>28.876825722746133</v>
      </c>
      <c r="M959" s="90">
        <f t="shared" si="568"/>
        <v>108.58956806714025</v>
      </c>
      <c r="N959" s="90">
        <f t="shared" si="568"/>
        <v>36.211923041574856</v>
      </c>
      <c r="O959" s="90">
        <f t="shared" si="568"/>
        <v>2.83418252408033</v>
      </c>
      <c r="P959" s="90">
        <f t="shared" si="568"/>
        <v>0.14170912620401649</v>
      </c>
      <c r="Q959" s="90">
        <v>25</v>
      </c>
      <c r="R959" s="95"/>
      <c r="S959" s="90"/>
      <c r="T959" s="95"/>
      <c r="U959" s="95"/>
      <c r="V959" s="90"/>
      <c r="W959" s="90">
        <v>0</v>
      </c>
      <c r="X959" s="94">
        <f t="shared" si="563"/>
        <v>86977.999999999985</v>
      </c>
      <c r="Y959" s="87" t="str">
        <f t="shared" si="564"/>
        <v>ok</v>
      </c>
      <c r="Z959" s="91" t="str">
        <f t="shared" si="565"/>
        <v/>
      </c>
    </row>
    <row r="960" spans="1:33" ht="12" customHeight="1" x14ac:dyDescent="0.5">
      <c r="A960" s="86" t="s">
        <v>2356</v>
      </c>
      <c r="D960" s="86" t="s">
        <v>2357</v>
      </c>
      <c r="F960" s="90">
        <v>5194858581.1426163</v>
      </c>
      <c r="G960" s="90">
        <f t="shared" ref="G960:T960" si="569">G174</f>
        <v>2446199408.7285142</v>
      </c>
      <c r="H960" s="90">
        <f t="shared" si="569"/>
        <v>11340629.922834281</v>
      </c>
      <c r="I960" s="90">
        <f t="shared" si="569"/>
        <v>610148565.20987535</v>
      </c>
      <c r="J960" s="90">
        <f t="shared" si="569"/>
        <v>38738639.515784226</v>
      </c>
      <c r="K960" s="90">
        <f t="shared" si="569"/>
        <v>458864450.23790866</v>
      </c>
      <c r="L960" s="90">
        <f t="shared" si="569"/>
        <v>19887373.090099089</v>
      </c>
      <c r="M960" s="90">
        <f t="shared" si="569"/>
        <v>424829680.24150598</v>
      </c>
      <c r="N960" s="90">
        <f t="shared" si="569"/>
        <v>740452252.7798897</v>
      </c>
      <c r="O960" s="90">
        <f t="shared" si="569"/>
        <v>225535968.00398141</v>
      </c>
      <c r="P960" s="90">
        <f t="shared" si="569"/>
        <v>104333029.76968977</v>
      </c>
      <c r="Q960" s="90">
        <f t="shared" si="569"/>
        <v>113340011.04474315</v>
      </c>
      <c r="R960" s="90">
        <f t="shared" si="569"/>
        <v>398642.54509885528</v>
      </c>
      <c r="S960" s="90">
        <f t="shared" si="569"/>
        <v>615301.08940570417</v>
      </c>
      <c r="T960" s="90">
        <f t="shared" si="569"/>
        <v>174628.96328485516</v>
      </c>
      <c r="U960" s="95"/>
      <c r="V960" s="90"/>
      <c r="W960" s="90">
        <v>0</v>
      </c>
      <c r="X960" s="94">
        <f t="shared" si="563"/>
        <v>5194858581.1426163</v>
      </c>
      <c r="Y960" s="87" t="str">
        <f t="shared" si="564"/>
        <v>ok</v>
      </c>
      <c r="Z960" s="91" t="str">
        <f t="shared" si="565"/>
        <v/>
      </c>
    </row>
    <row r="961" spans="1:37" ht="12" hidden="1" customHeight="1" x14ac:dyDescent="0.5">
      <c r="A961" s="86" t="s">
        <v>905</v>
      </c>
      <c r="D961" s="86" t="s">
        <v>2254</v>
      </c>
      <c r="F961" s="90">
        <v>0</v>
      </c>
      <c r="G961" s="90"/>
      <c r="H961" s="90"/>
      <c r="I961" s="90"/>
      <c r="J961" s="90"/>
      <c r="K961" s="90"/>
      <c r="L961" s="90"/>
      <c r="M961" s="90"/>
      <c r="N961" s="90"/>
      <c r="O961" s="90"/>
      <c r="P961" s="90"/>
      <c r="Q961" s="90"/>
      <c r="R961" s="90"/>
      <c r="S961" s="90"/>
      <c r="T961" s="90"/>
      <c r="U961" s="90"/>
      <c r="V961" s="90"/>
      <c r="W961" s="90"/>
      <c r="X961" s="94">
        <f t="shared" si="563"/>
        <v>0</v>
      </c>
      <c r="Y961" s="87" t="str">
        <f t="shared" si="564"/>
        <v>ok</v>
      </c>
      <c r="Z961" s="91" t="str">
        <f t="shared" si="565"/>
        <v/>
      </c>
      <c r="AA961" s="94"/>
      <c r="AH961" s="94"/>
      <c r="AI961" s="94"/>
      <c r="AJ961" s="94"/>
      <c r="AK961" s="94"/>
    </row>
    <row r="962" spans="1:37" ht="12" customHeight="1" x14ac:dyDescent="0.5">
      <c r="A962" s="86" t="s">
        <v>554</v>
      </c>
      <c r="D962" s="86" t="s">
        <v>555</v>
      </c>
      <c r="F962" s="90">
        <v>6069280510.3390989</v>
      </c>
      <c r="G962" s="90">
        <f t="shared" ref="G962:T962" si="570">G8</f>
        <v>2488249046.62748</v>
      </c>
      <c r="H962" s="90">
        <f t="shared" si="570"/>
        <v>2541147.8973416761</v>
      </c>
      <c r="I962" s="90">
        <f t="shared" si="570"/>
        <v>670877712.94390798</v>
      </c>
      <c r="J962" s="90">
        <f t="shared" si="570"/>
        <v>43048390.257249579</v>
      </c>
      <c r="K962" s="90">
        <f t="shared" si="570"/>
        <v>625620321.44222236</v>
      </c>
      <c r="L962" s="90">
        <f t="shared" si="570"/>
        <v>27180188.49436672</v>
      </c>
      <c r="M962" s="90">
        <f t="shared" si="570"/>
        <v>601675635.97869003</v>
      </c>
      <c r="N962" s="90">
        <f t="shared" si="570"/>
        <v>1101433841.1647117</v>
      </c>
      <c r="O962" s="90">
        <f t="shared" si="570"/>
        <v>358533296.26049989</v>
      </c>
      <c r="P962" s="90">
        <f t="shared" si="570"/>
        <v>148468144.67818588</v>
      </c>
      <c r="Q962" s="90">
        <f t="shared" si="570"/>
        <v>967723.95561369124</v>
      </c>
      <c r="R962" s="90">
        <f t="shared" si="570"/>
        <v>35208.776281799255</v>
      </c>
      <c r="S962" s="90">
        <f t="shared" si="570"/>
        <v>575743.78932526777</v>
      </c>
      <c r="T962" s="90">
        <f t="shared" si="570"/>
        <v>74108.081357948686</v>
      </c>
      <c r="U962" s="90">
        <v>0</v>
      </c>
      <c r="V962" s="90">
        <v>0</v>
      </c>
      <c r="W962" s="90">
        <v>0</v>
      </c>
      <c r="X962" s="94">
        <f t="shared" si="563"/>
        <v>6069280510.3472347</v>
      </c>
      <c r="Y962" s="87" t="str">
        <f t="shared" si="564"/>
        <v>ok</v>
      </c>
      <c r="Z962" s="91" t="str">
        <f t="shared" si="565"/>
        <v/>
      </c>
      <c r="AA962" s="94"/>
      <c r="AH962" s="94"/>
      <c r="AI962" s="94"/>
      <c r="AJ962" s="94"/>
      <c r="AK962" s="94"/>
    </row>
    <row r="963" spans="1:37" ht="12" customHeight="1" x14ac:dyDescent="0.5">
      <c r="A963" s="86" t="s">
        <v>557</v>
      </c>
      <c r="F963" s="90">
        <v>1557576048.9485686</v>
      </c>
      <c r="G963" s="90">
        <f>'Billing Det'!D8</f>
        <v>610498742.60889256</v>
      </c>
      <c r="H963" s="90"/>
      <c r="I963" s="90">
        <f>'Billing Det'!D12</f>
        <v>224799513.08000001</v>
      </c>
      <c r="J963" s="90">
        <f>'Billing Det'!D14</f>
        <v>11901436</v>
      </c>
      <c r="K963" s="90">
        <f>'Billing Det'!D16</f>
        <v>169760856.79999998</v>
      </c>
      <c r="L963" s="90">
        <f>'Billing Det'!D18</f>
        <v>9429914.5700000003</v>
      </c>
      <c r="M963" s="90">
        <f>'Billing Det'!D20</f>
        <v>134172118.09000002</v>
      </c>
      <c r="N963" s="90">
        <f>'Billing Det'!D22</f>
        <v>250417885.84999999</v>
      </c>
      <c r="O963" s="90">
        <f>'Billing Det'!D24</f>
        <v>82247980.760000005</v>
      </c>
      <c r="P963" s="90">
        <f>'Billing Det'!D26</f>
        <v>32956814.48</v>
      </c>
      <c r="Q963" s="90">
        <f>'Billing Det'!D28</f>
        <v>30555893.249675881</v>
      </c>
      <c r="R963" s="90">
        <f>'Billing Det'!D30</f>
        <v>307245.55999999994</v>
      </c>
      <c r="S963" s="90">
        <f>'Billing Det'!D32</f>
        <v>271290.95</v>
      </c>
      <c r="T963" s="90">
        <f>'Billing Det'!D34</f>
        <v>92319.950000000012</v>
      </c>
      <c r="U963" s="90">
        <f>'Billing Det'!D36</f>
        <v>1533</v>
      </c>
      <c r="V963" s="90">
        <f>'Billing Det'!D38</f>
        <v>162504.0000000002</v>
      </c>
      <c r="W963" s="90">
        <v>0</v>
      </c>
      <c r="X963" s="94">
        <f t="shared" si="563"/>
        <v>1557576048.9485686</v>
      </c>
      <c r="Y963" s="87" t="str">
        <f t="shared" si="564"/>
        <v>ok</v>
      </c>
      <c r="Z963" s="91" t="str">
        <f t="shared" si="565"/>
        <v/>
      </c>
    </row>
    <row r="965" spans="1:37" ht="12" customHeight="1" x14ac:dyDescent="0.5">
      <c r="F965" s="90"/>
      <c r="G965" s="90"/>
      <c r="H965" s="90"/>
      <c r="I965" s="90"/>
      <c r="J965" s="90"/>
      <c r="K965" s="90"/>
      <c r="L965" s="90"/>
      <c r="M965" s="90"/>
      <c r="N965" s="90"/>
      <c r="O965" s="90"/>
      <c r="P965" s="90"/>
      <c r="Q965" s="90"/>
      <c r="R965" s="90"/>
      <c r="S965" s="90"/>
      <c r="T965" s="90"/>
      <c r="U965" s="90"/>
      <c r="V965" s="106"/>
      <c r="W965" s="90"/>
      <c r="Y965" s="223"/>
    </row>
    <row r="966" spans="1:37" ht="12" customHeight="1" x14ac:dyDescent="0.5">
      <c r="A966" s="86" t="s">
        <v>558</v>
      </c>
      <c r="D966" s="86" t="s">
        <v>508</v>
      </c>
      <c r="F966" s="90">
        <v>336831286.09024835</v>
      </c>
      <c r="G966" s="90">
        <f t="shared" ref="G966:V966" si="571">G231-G183</f>
        <v>177078513.0701803</v>
      </c>
      <c r="H966" s="90">
        <f t="shared" si="571"/>
        <v>308115.96539989969</v>
      </c>
      <c r="I966" s="90">
        <f t="shared" si="571"/>
        <v>48625095.038380861</v>
      </c>
      <c r="J966" s="90">
        <f t="shared" si="571"/>
        <v>2428924.0913837478</v>
      </c>
      <c r="K966" s="90">
        <f t="shared" si="571"/>
        <v>25387607.601059757</v>
      </c>
      <c r="L966" s="90">
        <f t="shared" si="571"/>
        <v>1220941.0331520201</v>
      </c>
      <c r="M966" s="90">
        <f t="shared" si="571"/>
        <v>22572316.142788075</v>
      </c>
      <c r="N966" s="90">
        <f t="shared" si="571"/>
        <v>36969950.952739298</v>
      </c>
      <c r="O966" s="90">
        <f t="shared" si="571"/>
        <v>10976203.477805294</v>
      </c>
      <c r="P966" s="90">
        <f t="shared" si="571"/>
        <v>5226478.8000377156</v>
      </c>
      <c r="Q966" s="90">
        <f t="shared" si="571"/>
        <v>5822152.3330496587</v>
      </c>
      <c r="R966" s="90">
        <f t="shared" si="571"/>
        <v>26412.68335113005</v>
      </c>
      <c r="S966" s="90">
        <f t="shared" si="571"/>
        <v>63495.345179046199</v>
      </c>
      <c r="T966" s="90">
        <f t="shared" si="571"/>
        <v>12454.83325141686</v>
      </c>
      <c r="U966" s="90">
        <f t="shared" si="571"/>
        <v>21110.722489940952</v>
      </c>
      <c r="V966" s="90">
        <f t="shared" si="571"/>
        <v>91514</v>
      </c>
      <c r="W966" s="90">
        <v>0</v>
      </c>
      <c r="X966" s="94">
        <f>SUM(G966:W966)</f>
        <v>336831286.09024823</v>
      </c>
      <c r="Y966" s="87" t="str">
        <f>IF(ABS(F966-X966)&lt;0.01,"ok","err")</f>
        <v>ok</v>
      </c>
      <c r="Z966" s="91" t="str">
        <f>IF(Y966="err",X966-F966,"")</f>
        <v/>
      </c>
    </row>
    <row r="967" spans="1:37" ht="12" customHeight="1" x14ac:dyDescent="0.5">
      <c r="F967" s="95"/>
      <c r="G967" s="95"/>
      <c r="H967" s="95"/>
      <c r="I967" s="95"/>
      <c r="J967" s="95"/>
      <c r="K967" s="95"/>
      <c r="L967" s="95"/>
      <c r="M967" s="95"/>
      <c r="N967" s="95"/>
      <c r="O967" s="95"/>
      <c r="P967" s="95"/>
      <c r="Q967" s="95"/>
      <c r="R967" s="95"/>
      <c r="S967" s="95"/>
      <c r="T967" s="95"/>
      <c r="U967" s="95"/>
      <c r="V967" s="95"/>
      <c r="W967" s="90"/>
      <c r="X967" s="87"/>
    </row>
    <row r="968" spans="1:37" ht="12" customHeight="1" x14ac:dyDescent="0.5">
      <c r="A968" s="288" t="s">
        <v>2358</v>
      </c>
      <c r="F968" s="107"/>
      <c r="G968" s="106"/>
      <c r="H968" s="106"/>
      <c r="I968" s="106"/>
      <c r="J968" s="106"/>
      <c r="K968" s="106"/>
      <c r="L968" s="106"/>
      <c r="M968" s="106"/>
      <c r="N968" s="106"/>
      <c r="O968" s="106"/>
      <c r="P968" s="106"/>
      <c r="Q968" s="106"/>
      <c r="R968" s="106"/>
      <c r="S968" s="106"/>
      <c r="T968" s="106"/>
      <c r="U968" s="106"/>
      <c r="V968" s="106"/>
      <c r="W968" s="106"/>
      <c r="X968" s="87"/>
    </row>
    <row r="969" spans="1:37" ht="12" customHeight="1" x14ac:dyDescent="0.5">
      <c r="A969" s="86" t="s">
        <v>2359</v>
      </c>
      <c r="F969" s="90">
        <v>3184853.47</v>
      </c>
      <c r="G969" s="106"/>
      <c r="H969" s="106"/>
      <c r="I969" s="106"/>
      <c r="J969" s="106"/>
      <c r="K969" s="106"/>
      <c r="L969" s="106"/>
      <c r="M969" s="106"/>
      <c r="N969" s="90">
        <f>65694.51+135834.54</f>
        <v>201529.05</v>
      </c>
      <c r="O969" s="90">
        <f>573918.68</f>
        <v>573918.68000000005</v>
      </c>
      <c r="P969" s="90">
        <f>2409405.74</f>
        <v>2409405.7400000002</v>
      </c>
      <c r="Q969" s="106"/>
      <c r="R969" s="106"/>
      <c r="S969" s="106"/>
      <c r="T969" s="106"/>
      <c r="U969" s="106"/>
      <c r="V969" s="106"/>
      <c r="W969" s="90">
        <v>0</v>
      </c>
      <c r="X969" s="94">
        <f>SUM(G969:W969)</f>
        <v>3184853.47</v>
      </c>
      <c r="Y969" s="87" t="str">
        <f>IF(ABS(F969-X969)&lt;0.01,"ok","err")</f>
        <v>ok</v>
      </c>
    </row>
    <row r="970" spans="1:37" ht="12" customHeight="1" x14ac:dyDescent="0.5">
      <c r="A970" s="86" t="s">
        <v>2360</v>
      </c>
      <c r="F970" s="89"/>
      <c r="G970" s="89"/>
      <c r="H970" s="89"/>
      <c r="I970" s="89"/>
      <c r="J970" s="89"/>
      <c r="K970" s="89"/>
      <c r="L970" s="89"/>
      <c r="M970" s="89"/>
      <c r="N970" s="412">
        <f>N971/N969</f>
        <v>-5.1231128713205365</v>
      </c>
      <c r="O970" s="412">
        <f>O971/O969</f>
        <v>-5.8999999616670422</v>
      </c>
      <c r="P970" s="412">
        <v>-5.9</v>
      </c>
      <c r="Q970" s="89"/>
      <c r="R970" s="89"/>
      <c r="S970" s="89"/>
      <c r="T970" s="89"/>
      <c r="U970" s="89"/>
      <c r="V970" s="89"/>
      <c r="W970" s="91"/>
      <c r="X970" s="87"/>
      <c r="Y970" s="91"/>
    </row>
    <row r="971" spans="1:37" ht="11.65" customHeight="1" x14ac:dyDescent="0.5">
      <c r="A971" s="86" t="s">
        <v>2361</v>
      </c>
      <c r="F971" s="89">
        <v>-18634070.126000002</v>
      </c>
      <c r="G971" s="106"/>
      <c r="H971" s="106"/>
      <c r="I971" s="106"/>
      <c r="J971" s="106"/>
      <c r="K971" s="106"/>
      <c r="L971" s="106"/>
      <c r="M971" s="106"/>
      <c r="N971" s="89">
        <f>-217448.83-815007.24</f>
        <v>-1032456.07</v>
      </c>
      <c r="O971" s="89">
        <f>-3386120.19</f>
        <v>-3386120.19</v>
      </c>
      <c r="P971" s="89">
        <f>P969*P970</f>
        <v>-14215493.866000002</v>
      </c>
      <c r="Q971" s="106"/>
      <c r="R971" s="106"/>
      <c r="S971" s="106"/>
      <c r="T971" s="106"/>
      <c r="U971" s="106"/>
      <c r="V971" s="106"/>
      <c r="W971" s="90">
        <v>0</v>
      </c>
      <c r="X971" s="94">
        <f>SUM(G971:W971)</f>
        <v>-18634070.126000002</v>
      </c>
      <c r="Y971" s="87" t="str">
        <f>IF(ABS(F971-X971)&lt;0.01,"ok","err")</f>
        <v>ok</v>
      </c>
    </row>
    <row r="972" spans="1:37" ht="12" customHeight="1" x14ac:dyDescent="0.5">
      <c r="G972" s="106"/>
      <c r="H972" s="106"/>
      <c r="I972" s="106"/>
      <c r="J972" s="106"/>
      <c r="K972" s="106"/>
      <c r="L972" s="106"/>
      <c r="M972" s="106"/>
      <c r="N972" s="106"/>
      <c r="O972" s="106"/>
      <c r="P972" s="106"/>
      <c r="Q972" s="106"/>
      <c r="R972" s="106"/>
      <c r="S972" s="106"/>
      <c r="T972" s="106"/>
      <c r="U972" s="106"/>
      <c r="V972" s="106"/>
      <c r="W972" s="106"/>
      <c r="X972" s="87"/>
    </row>
    <row r="973" spans="1:37" ht="12" customHeight="1" x14ac:dyDescent="0.5">
      <c r="F973" s="89"/>
      <c r="G973" s="89"/>
      <c r="H973" s="89"/>
      <c r="I973" s="89"/>
      <c r="J973" s="89"/>
      <c r="K973" s="89"/>
      <c r="L973" s="89"/>
      <c r="M973" s="89"/>
      <c r="N973" s="89"/>
      <c r="O973" s="89"/>
      <c r="P973" s="89"/>
      <c r="Q973" s="89"/>
      <c r="R973" s="89"/>
      <c r="S973" s="89"/>
      <c r="T973" s="89"/>
      <c r="U973" s="89"/>
      <c r="V973" s="89"/>
      <c r="W973" s="91"/>
      <c r="X973" s="87"/>
      <c r="Y973" s="91"/>
    </row>
    <row r="974" spans="1:37" ht="12" customHeight="1" x14ac:dyDescent="0.5">
      <c r="F974" s="89"/>
      <c r="G974" s="89"/>
      <c r="H974" s="89"/>
      <c r="I974" s="89"/>
      <c r="J974" s="89"/>
      <c r="K974" s="89"/>
      <c r="L974" s="89"/>
      <c r="M974" s="89"/>
      <c r="N974" s="89"/>
      <c r="O974" s="89"/>
      <c r="P974" s="89"/>
      <c r="Q974" s="89"/>
      <c r="R974" s="89"/>
      <c r="S974" s="89"/>
      <c r="T974" s="89"/>
      <c r="U974" s="89"/>
      <c r="V974" s="89"/>
      <c r="W974" s="91"/>
      <c r="X974" s="87"/>
      <c r="Y974" s="91"/>
    </row>
    <row r="975" spans="1:37" ht="12" customHeight="1" x14ac:dyDescent="0.5">
      <c r="E975" s="503"/>
      <c r="F975" s="504"/>
      <c r="G975" s="504"/>
      <c r="H975" s="504"/>
      <c r="I975" s="504"/>
      <c r="J975" s="504"/>
      <c r="K975" s="504"/>
      <c r="L975" s="504"/>
      <c r="M975" s="504"/>
      <c r="N975" s="504"/>
      <c r="O975" s="504"/>
      <c r="P975" s="504"/>
      <c r="Q975" s="504"/>
      <c r="R975" s="504"/>
      <c r="S975" s="504"/>
      <c r="T975" s="504"/>
      <c r="U975" s="504"/>
      <c r="V975" s="504"/>
      <c r="W975" s="504"/>
      <c r="X975" s="87"/>
    </row>
    <row r="976" spans="1:37" ht="12" customHeight="1" x14ac:dyDescent="0.5">
      <c r="E976" s="505"/>
      <c r="F976" s="504"/>
      <c r="G976" s="504"/>
      <c r="H976" s="504"/>
      <c r="I976" s="504"/>
      <c r="J976" s="504"/>
      <c r="K976" s="504"/>
      <c r="L976" s="504"/>
      <c r="M976" s="504"/>
      <c r="N976" s="504"/>
      <c r="O976" s="504"/>
      <c r="P976" s="504"/>
      <c r="Q976" s="504"/>
      <c r="R976" s="504"/>
      <c r="S976" s="504"/>
      <c r="T976" s="504"/>
      <c r="U976" s="504"/>
      <c r="V976" s="106"/>
      <c r="W976" s="106"/>
      <c r="X976" s="87"/>
    </row>
    <row r="977" spans="5:25" ht="12" customHeight="1" x14ac:dyDescent="0.5">
      <c r="E977" s="505"/>
      <c r="F977" s="506"/>
      <c r="G977" s="506"/>
      <c r="H977" s="506"/>
      <c r="I977" s="506"/>
      <c r="J977" s="506"/>
      <c r="K977" s="506"/>
      <c r="L977" s="506"/>
      <c r="M977" s="506"/>
      <c r="N977" s="506"/>
      <c r="O977" s="506"/>
      <c r="P977" s="506"/>
      <c r="Q977" s="506"/>
      <c r="R977" s="506"/>
      <c r="S977" s="506"/>
      <c r="T977" s="506"/>
      <c r="U977" s="506"/>
      <c r="V977" s="89"/>
      <c r="W977" s="91"/>
      <c r="X977" s="87"/>
      <c r="Y977" s="91"/>
    </row>
    <row r="978" spans="5:25" ht="12" customHeight="1" x14ac:dyDescent="0.5">
      <c r="E978" s="505"/>
      <c r="F978" s="507"/>
      <c r="G978" s="507"/>
      <c r="H978" s="507"/>
      <c r="I978" s="507"/>
      <c r="J978" s="507"/>
      <c r="K978" s="507"/>
      <c r="L978" s="507"/>
      <c r="M978" s="507"/>
      <c r="N978" s="507"/>
      <c r="O978" s="507"/>
      <c r="P978" s="507"/>
      <c r="Q978" s="507"/>
      <c r="R978" s="507"/>
      <c r="S978" s="507"/>
      <c r="T978" s="507"/>
      <c r="U978" s="507"/>
      <c r="V978" s="507"/>
      <c r="W978" s="507"/>
      <c r="X978" s="87"/>
    </row>
    <row r="979" spans="5:25" ht="12" customHeight="1" x14ac:dyDescent="0.5">
      <c r="E979" s="505"/>
      <c r="F979" s="507"/>
      <c r="G979" s="507"/>
      <c r="H979" s="507"/>
      <c r="I979" s="507"/>
      <c r="J979" s="507"/>
      <c r="K979" s="507"/>
      <c r="L979" s="507"/>
      <c r="M979" s="507"/>
      <c r="N979" s="507"/>
      <c r="O979" s="507"/>
      <c r="P979" s="507"/>
      <c r="Q979" s="507"/>
      <c r="R979" s="507"/>
      <c r="S979" s="507"/>
      <c r="T979" s="507"/>
      <c r="U979" s="507"/>
      <c r="V979" s="507"/>
      <c r="W979" s="507"/>
      <c r="X979" s="87"/>
      <c r="Y979" s="224"/>
    </row>
    <row r="980" spans="5:25" ht="12" customHeight="1" x14ac:dyDescent="0.5">
      <c r="E980" s="505"/>
      <c r="F980" s="508"/>
      <c r="G980" s="508"/>
      <c r="H980" s="508"/>
      <c r="I980" s="508"/>
      <c r="J980" s="508"/>
      <c r="K980" s="508"/>
      <c r="L980" s="508"/>
      <c r="M980" s="508"/>
      <c r="N980" s="508"/>
      <c r="O980" s="508"/>
      <c r="P980" s="508"/>
      <c r="Q980" s="508"/>
      <c r="R980" s="508"/>
      <c r="S980" s="508"/>
      <c r="T980" s="508"/>
      <c r="U980" s="508"/>
    </row>
    <row r="981" spans="5:25" ht="12" customHeight="1" x14ac:dyDescent="0.5">
      <c r="E981" s="505"/>
      <c r="F981" s="407"/>
      <c r="G981" s="407"/>
      <c r="H981" s="407"/>
      <c r="I981" s="407"/>
      <c r="J981" s="407"/>
      <c r="K981" s="407"/>
      <c r="L981" s="407"/>
      <c r="M981" s="407"/>
      <c r="N981" s="407"/>
      <c r="O981" s="407"/>
      <c r="P981" s="407"/>
      <c r="Q981" s="407"/>
      <c r="R981" s="407"/>
      <c r="S981" s="407"/>
      <c r="T981" s="407"/>
      <c r="U981" s="407"/>
      <c r="V981" s="407"/>
      <c r="W981" s="407"/>
    </row>
  </sheetData>
  <autoFilter ref="D2:E665" xr:uid="{00000000-0009-0000-0000-000002000000}"/>
  <phoneticPr fontId="0" type="noConversion"/>
  <conditionalFormatting sqref="Z8 Z20 Z34 Z39 Z59 Z72 Z78 Z92 Z97 Z117 Z129 Z135 Z149 Z154 Z174 Z186 Z192 Z206 Z211 Z231 Z243 Z249 Z263 Z268 Z288 Z300 Z306 Z320 Z325 Z345 Z357 Z363 Z377 Z382 Z402 Z414 Z420 Z434 Z439 Z459 Z471 Z477 Z491 Z496 Z516 Z529 Z535 Z549 Z554 Z574 Z591 Z597 Z611 Z616 Z636 Z742:Z745 Z956:Z957 Z961:Z963 Z843:Z851 Z662:Z667 Z652:Z660">
    <cfRule type="cellIs" dxfId="269" priority="296" stopIfTrue="1" operator="notEqual">
      <formula>""</formula>
    </cfRule>
  </conditionalFormatting>
  <conditionalFormatting sqref="Y970 Y973:Y974 Y977 Z863 Z773 Z718 Z720:Z723 Z681:Z682 Z651 Y979 Z854:Z859 Z746:Z747">
    <cfRule type="cellIs" dxfId="268" priority="295" stopIfTrue="1" operator="notEqual">
      <formula>""</formula>
    </cfRule>
  </conditionalFormatting>
  <conditionalFormatting sqref="Z804">
    <cfRule type="cellIs" dxfId="267" priority="67" stopIfTrue="1" operator="notEqual">
      <formula>""</formula>
    </cfRule>
  </conditionalFormatting>
  <conditionalFormatting sqref="Z14">
    <cfRule type="cellIs" dxfId="266" priority="293" stopIfTrue="1" operator="notEqual">
      <formula>""</formula>
    </cfRule>
  </conditionalFormatting>
  <conditionalFormatting sqref="Z831:Z840">
    <cfRule type="cellIs" dxfId="265" priority="291" stopIfTrue="1" operator="notEqual">
      <formula>""</formula>
    </cfRule>
  </conditionalFormatting>
  <conditionalFormatting sqref="Z806">
    <cfRule type="cellIs" dxfId="264" priority="66" stopIfTrue="1" operator="notEqual">
      <formula>""</formula>
    </cfRule>
  </conditionalFormatting>
  <conditionalFormatting sqref="Z816">
    <cfRule type="cellIs" dxfId="263" priority="289" stopIfTrue="1" operator="notEqual">
      <formula>""</formula>
    </cfRule>
  </conditionalFormatting>
  <conditionalFormatting sqref="Z819">
    <cfRule type="cellIs" dxfId="262" priority="288" stopIfTrue="1" operator="notEqual">
      <formula>""</formula>
    </cfRule>
  </conditionalFormatting>
  <conditionalFormatting sqref="Z870">
    <cfRule type="cellIs" dxfId="261" priority="58" stopIfTrue="1" operator="notEqual">
      <formula>""</formula>
    </cfRule>
  </conditionalFormatting>
  <conditionalFormatting sqref="Z820:Z821">
    <cfRule type="cellIs" dxfId="260" priority="286" stopIfTrue="1" operator="notEqual">
      <formula>""</formula>
    </cfRule>
  </conditionalFormatting>
  <conditionalFormatting sqref="Z822">
    <cfRule type="cellIs" dxfId="259" priority="285" stopIfTrue="1" operator="notEqual">
      <formula>""</formula>
    </cfRule>
  </conditionalFormatting>
  <conditionalFormatting sqref="Z823">
    <cfRule type="cellIs" dxfId="258" priority="283" stopIfTrue="1" operator="notEqual">
      <formula>""</formula>
    </cfRule>
  </conditionalFormatting>
  <conditionalFormatting sqref="Z824">
    <cfRule type="cellIs" dxfId="257" priority="282" stopIfTrue="1" operator="notEqual">
      <formula>""</formula>
    </cfRule>
  </conditionalFormatting>
  <conditionalFormatting sqref="Z826">
    <cfRule type="cellIs" dxfId="256" priority="281" stopIfTrue="1" operator="notEqual">
      <formula>""</formula>
    </cfRule>
  </conditionalFormatting>
  <conditionalFormatting sqref="Z827">
    <cfRule type="cellIs" dxfId="255" priority="280" stopIfTrue="1" operator="notEqual">
      <formula>""</formula>
    </cfRule>
  </conditionalFormatting>
  <conditionalFormatting sqref="Z828">
    <cfRule type="cellIs" dxfId="254" priority="279" stopIfTrue="1" operator="notEqual">
      <formula>""</formula>
    </cfRule>
  </conditionalFormatting>
  <conditionalFormatting sqref="Z862">
    <cfRule type="cellIs" dxfId="253" priority="278" stopIfTrue="1" operator="notEqual">
      <formula>""</formula>
    </cfRule>
  </conditionalFormatting>
  <conditionalFormatting sqref="Z863:Z866">
    <cfRule type="cellIs" dxfId="252" priority="277" stopIfTrue="1" operator="notEqual">
      <formula>""</formula>
    </cfRule>
  </conditionalFormatting>
  <conditionalFormatting sqref="Z9:Z13">
    <cfRule type="cellIs" dxfId="251" priority="276" stopIfTrue="1" operator="notEqual">
      <formula>""</formula>
    </cfRule>
  </conditionalFormatting>
  <conditionalFormatting sqref="Z17:Z19">
    <cfRule type="cellIs" dxfId="250" priority="275" stopIfTrue="1" operator="notEqual">
      <formula>""</formula>
    </cfRule>
  </conditionalFormatting>
  <conditionalFormatting sqref="Z23">
    <cfRule type="cellIs" dxfId="249" priority="274" stopIfTrue="1" operator="notEqual">
      <formula>""</formula>
    </cfRule>
  </conditionalFormatting>
  <conditionalFormatting sqref="Z26">
    <cfRule type="cellIs" dxfId="248" priority="273" stopIfTrue="1" operator="notEqual">
      <formula>""</formula>
    </cfRule>
  </conditionalFormatting>
  <conditionalFormatting sqref="Z29:Z33">
    <cfRule type="cellIs" dxfId="247" priority="272" stopIfTrue="1" operator="notEqual">
      <formula>""</formula>
    </cfRule>
  </conditionalFormatting>
  <conditionalFormatting sqref="Z37:Z38">
    <cfRule type="cellIs" dxfId="246" priority="271" stopIfTrue="1" operator="notEqual">
      <formula>""</formula>
    </cfRule>
  </conditionalFormatting>
  <conditionalFormatting sqref="Z42">
    <cfRule type="cellIs" dxfId="245" priority="270" stopIfTrue="1" operator="notEqual">
      <formula>""</formula>
    </cfRule>
  </conditionalFormatting>
  <conditionalFormatting sqref="Z45">
    <cfRule type="cellIs" dxfId="244" priority="269" stopIfTrue="1" operator="notEqual">
      <formula>""</formula>
    </cfRule>
  </conditionalFormatting>
  <conditionalFormatting sqref="Z48">
    <cfRule type="cellIs" dxfId="243" priority="268" stopIfTrue="1" operator="notEqual">
      <formula>""</formula>
    </cfRule>
  </conditionalFormatting>
  <conditionalFormatting sqref="Z51">
    <cfRule type="cellIs" dxfId="242" priority="267" stopIfTrue="1" operator="notEqual">
      <formula>""</formula>
    </cfRule>
  </conditionalFormatting>
  <conditionalFormatting sqref="Z54">
    <cfRule type="cellIs" dxfId="241" priority="266" stopIfTrue="1" operator="notEqual">
      <formula>""</formula>
    </cfRule>
  </conditionalFormatting>
  <conditionalFormatting sqref="Z57">
    <cfRule type="cellIs" dxfId="240" priority="265" stopIfTrue="1" operator="notEqual">
      <formula>""</formula>
    </cfRule>
  </conditionalFormatting>
  <conditionalFormatting sqref="Z66:Z71">
    <cfRule type="cellIs" dxfId="239" priority="264" stopIfTrue="1" operator="notEqual">
      <formula>""</formula>
    </cfRule>
  </conditionalFormatting>
  <conditionalFormatting sqref="Z75">
    <cfRule type="cellIs" dxfId="238" priority="263" stopIfTrue="1" operator="notEqual">
      <formula>""</formula>
    </cfRule>
  </conditionalFormatting>
  <conditionalFormatting sqref="Z81">
    <cfRule type="cellIs" dxfId="237" priority="262" stopIfTrue="1" operator="notEqual">
      <formula>""</formula>
    </cfRule>
  </conditionalFormatting>
  <conditionalFormatting sqref="Z84">
    <cfRule type="cellIs" dxfId="236" priority="261" stopIfTrue="1" operator="notEqual">
      <formula>""</formula>
    </cfRule>
  </conditionalFormatting>
  <conditionalFormatting sqref="Z87:Z91">
    <cfRule type="cellIs" dxfId="235" priority="260" stopIfTrue="1" operator="notEqual">
      <formula>""</formula>
    </cfRule>
  </conditionalFormatting>
  <conditionalFormatting sqref="Z95">
    <cfRule type="cellIs" dxfId="234" priority="258" stopIfTrue="1" operator="notEqual">
      <formula>""</formula>
    </cfRule>
  </conditionalFormatting>
  <conditionalFormatting sqref="Z96">
    <cfRule type="cellIs" dxfId="233" priority="257" stopIfTrue="1" operator="notEqual">
      <formula>""</formula>
    </cfRule>
  </conditionalFormatting>
  <conditionalFormatting sqref="Z100">
    <cfRule type="cellIs" dxfId="232" priority="255" stopIfTrue="1" operator="notEqual">
      <formula>""</formula>
    </cfRule>
  </conditionalFormatting>
  <conditionalFormatting sqref="Z103">
    <cfRule type="cellIs" dxfId="231" priority="254" stopIfTrue="1" operator="notEqual">
      <formula>""</formula>
    </cfRule>
  </conditionalFormatting>
  <conditionalFormatting sqref="Z106">
    <cfRule type="cellIs" dxfId="230" priority="253" stopIfTrue="1" operator="notEqual">
      <formula>""</formula>
    </cfRule>
  </conditionalFormatting>
  <conditionalFormatting sqref="Z109">
    <cfRule type="cellIs" dxfId="229" priority="252" stopIfTrue="1" operator="notEqual">
      <formula>""</formula>
    </cfRule>
  </conditionalFormatting>
  <conditionalFormatting sqref="Z112">
    <cfRule type="cellIs" dxfId="228" priority="251" stopIfTrue="1" operator="notEqual">
      <formula>""</formula>
    </cfRule>
  </conditionalFormatting>
  <conditionalFormatting sqref="Z115">
    <cfRule type="cellIs" dxfId="227" priority="250" stopIfTrue="1" operator="notEqual">
      <formula>""</formula>
    </cfRule>
  </conditionalFormatting>
  <conditionalFormatting sqref="Z76">
    <cfRule type="cellIs" dxfId="226" priority="249" stopIfTrue="1" operator="notEqual">
      <formula>""</formula>
    </cfRule>
  </conditionalFormatting>
  <conditionalFormatting sqref="Z77">
    <cfRule type="cellIs" dxfId="225" priority="248" stopIfTrue="1" operator="notEqual">
      <formula>""</formula>
    </cfRule>
  </conditionalFormatting>
  <conditionalFormatting sqref="Z123:Z128">
    <cfRule type="cellIs" dxfId="224" priority="247" stopIfTrue="1" operator="notEqual">
      <formula>""</formula>
    </cfRule>
  </conditionalFormatting>
  <conditionalFormatting sqref="Z783:Z784">
    <cfRule type="cellIs" dxfId="223" priority="78" stopIfTrue="1" operator="notEqual">
      <formula>""</formula>
    </cfRule>
  </conditionalFormatting>
  <conditionalFormatting sqref="Z138">
    <cfRule type="cellIs" dxfId="222" priority="245" stopIfTrue="1" operator="notEqual">
      <formula>""</formula>
    </cfRule>
  </conditionalFormatting>
  <conditionalFormatting sqref="Z141">
    <cfRule type="cellIs" dxfId="221" priority="244" stopIfTrue="1" operator="notEqual">
      <formula>""</formula>
    </cfRule>
  </conditionalFormatting>
  <conditionalFormatting sqref="Z144">
    <cfRule type="cellIs" dxfId="220" priority="243" stopIfTrue="1" operator="notEqual">
      <formula>""</formula>
    </cfRule>
  </conditionalFormatting>
  <conditionalFormatting sqref="Z145">
    <cfRule type="cellIs" dxfId="219" priority="242" stopIfTrue="1" operator="notEqual">
      <formula>""</formula>
    </cfRule>
  </conditionalFormatting>
  <conditionalFormatting sqref="Z146:Z148">
    <cfRule type="cellIs" dxfId="218" priority="241" stopIfTrue="1" operator="notEqual">
      <formula>""</formula>
    </cfRule>
  </conditionalFormatting>
  <conditionalFormatting sqref="Z152:Z153">
    <cfRule type="cellIs" dxfId="217" priority="240" stopIfTrue="1" operator="notEqual">
      <formula>""</formula>
    </cfRule>
  </conditionalFormatting>
  <conditionalFormatting sqref="Z157">
    <cfRule type="cellIs" dxfId="216" priority="239" stopIfTrue="1" operator="notEqual">
      <formula>""</formula>
    </cfRule>
  </conditionalFormatting>
  <conditionalFormatting sqref="Z160">
    <cfRule type="cellIs" dxfId="215" priority="238" stopIfTrue="1" operator="notEqual">
      <formula>""</formula>
    </cfRule>
  </conditionalFormatting>
  <conditionalFormatting sqref="Z163">
    <cfRule type="cellIs" dxfId="214" priority="237" stopIfTrue="1" operator="notEqual">
      <formula>""</formula>
    </cfRule>
  </conditionalFormatting>
  <conditionalFormatting sqref="Z166">
    <cfRule type="cellIs" dxfId="213" priority="236" stopIfTrue="1" operator="notEqual">
      <formula>""</formula>
    </cfRule>
  </conditionalFormatting>
  <conditionalFormatting sqref="Z169">
    <cfRule type="cellIs" dxfId="212" priority="235" stopIfTrue="1" operator="notEqual">
      <formula>""</formula>
    </cfRule>
  </conditionalFormatting>
  <conditionalFormatting sqref="Z172">
    <cfRule type="cellIs" dxfId="211" priority="234" stopIfTrue="1" operator="notEqual">
      <formula>""</formula>
    </cfRule>
  </conditionalFormatting>
  <conditionalFormatting sqref="Z132">
    <cfRule type="cellIs" dxfId="210" priority="233" stopIfTrue="1" operator="notEqual">
      <formula>""</formula>
    </cfRule>
  </conditionalFormatting>
  <conditionalFormatting sqref="Z133">
    <cfRule type="cellIs" dxfId="209" priority="232" stopIfTrue="1" operator="notEqual">
      <formula>""</formula>
    </cfRule>
  </conditionalFormatting>
  <conditionalFormatting sqref="Z134">
    <cfRule type="cellIs" dxfId="208" priority="231" stopIfTrue="1" operator="notEqual">
      <formula>""</formula>
    </cfRule>
  </conditionalFormatting>
  <conditionalFormatting sqref="Z189">
    <cfRule type="cellIs" dxfId="207" priority="230" stopIfTrue="1" operator="notEqual">
      <formula>""</formula>
    </cfRule>
  </conditionalFormatting>
  <conditionalFormatting sqref="Z190">
    <cfRule type="cellIs" dxfId="206" priority="229" stopIfTrue="1" operator="notEqual">
      <formula>""</formula>
    </cfRule>
  </conditionalFormatting>
  <conditionalFormatting sqref="Z191">
    <cfRule type="cellIs" dxfId="205" priority="228" stopIfTrue="1" operator="notEqual">
      <formula>""</formula>
    </cfRule>
  </conditionalFormatting>
  <conditionalFormatting sqref="Z246">
    <cfRule type="cellIs" dxfId="204" priority="227" stopIfTrue="1" operator="notEqual">
      <formula>""</formula>
    </cfRule>
  </conditionalFormatting>
  <conditionalFormatting sqref="Z247">
    <cfRule type="cellIs" dxfId="203" priority="226" stopIfTrue="1" operator="notEqual">
      <formula>""</formula>
    </cfRule>
  </conditionalFormatting>
  <conditionalFormatting sqref="Z248">
    <cfRule type="cellIs" dxfId="202" priority="225" stopIfTrue="1" operator="notEqual">
      <formula>""</formula>
    </cfRule>
  </conditionalFormatting>
  <conditionalFormatting sqref="Z303">
    <cfRule type="cellIs" dxfId="201" priority="224" stopIfTrue="1" operator="notEqual">
      <formula>""</formula>
    </cfRule>
  </conditionalFormatting>
  <conditionalFormatting sqref="Z304">
    <cfRule type="cellIs" dxfId="200" priority="223" stopIfTrue="1" operator="notEqual">
      <formula>""</formula>
    </cfRule>
  </conditionalFormatting>
  <conditionalFormatting sqref="Z305">
    <cfRule type="cellIs" dxfId="199" priority="222" stopIfTrue="1" operator="notEqual">
      <formula>""</formula>
    </cfRule>
  </conditionalFormatting>
  <conditionalFormatting sqref="Z360">
    <cfRule type="cellIs" dxfId="198" priority="221" stopIfTrue="1" operator="notEqual">
      <formula>""</formula>
    </cfRule>
  </conditionalFormatting>
  <conditionalFormatting sqref="Z361">
    <cfRule type="cellIs" dxfId="197" priority="220" stopIfTrue="1" operator="notEqual">
      <formula>""</formula>
    </cfRule>
  </conditionalFormatting>
  <conditionalFormatting sqref="Z362">
    <cfRule type="cellIs" dxfId="196" priority="219" stopIfTrue="1" operator="notEqual">
      <formula>""</formula>
    </cfRule>
  </conditionalFormatting>
  <conditionalFormatting sqref="Z417">
    <cfRule type="cellIs" dxfId="195" priority="218" stopIfTrue="1" operator="notEqual">
      <formula>""</formula>
    </cfRule>
  </conditionalFormatting>
  <conditionalFormatting sqref="Z418">
    <cfRule type="cellIs" dxfId="194" priority="217" stopIfTrue="1" operator="notEqual">
      <formula>""</formula>
    </cfRule>
  </conditionalFormatting>
  <conditionalFormatting sqref="Z419">
    <cfRule type="cellIs" dxfId="193" priority="216" stopIfTrue="1" operator="notEqual">
      <formula>""</formula>
    </cfRule>
  </conditionalFormatting>
  <conditionalFormatting sqref="Z474">
    <cfRule type="cellIs" dxfId="192" priority="215" stopIfTrue="1" operator="notEqual">
      <formula>""</formula>
    </cfRule>
  </conditionalFormatting>
  <conditionalFormatting sqref="Z475">
    <cfRule type="cellIs" dxfId="191" priority="214" stopIfTrue="1" operator="notEqual">
      <formula>""</formula>
    </cfRule>
  </conditionalFormatting>
  <conditionalFormatting sqref="Z476">
    <cfRule type="cellIs" dxfId="190" priority="213" stopIfTrue="1" operator="notEqual">
      <formula>""</formula>
    </cfRule>
  </conditionalFormatting>
  <conditionalFormatting sqref="Z499">
    <cfRule type="cellIs" dxfId="189" priority="142" stopIfTrue="1" operator="notEqual">
      <formula>""</formula>
    </cfRule>
  </conditionalFormatting>
  <conditionalFormatting sqref="Z533">
    <cfRule type="cellIs" dxfId="188" priority="211" stopIfTrue="1" operator="notEqual">
      <formula>""</formula>
    </cfRule>
  </conditionalFormatting>
  <conditionalFormatting sqref="Z534">
    <cfRule type="cellIs" dxfId="187" priority="210" stopIfTrue="1" operator="notEqual">
      <formula>""</formula>
    </cfRule>
  </conditionalFormatting>
  <conditionalFormatting sqref="Z594">
    <cfRule type="cellIs" dxfId="186" priority="209" stopIfTrue="1" operator="notEqual">
      <formula>""</formula>
    </cfRule>
  </conditionalFormatting>
  <conditionalFormatting sqref="Z595">
    <cfRule type="cellIs" dxfId="185" priority="208" stopIfTrue="1" operator="notEqual">
      <formula>""</formula>
    </cfRule>
  </conditionalFormatting>
  <conditionalFormatting sqref="Z596">
    <cfRule type="cellIs" dxfId="184" priority="207" stopIfTrue="1" operator="notEqual">
      <formula>""</formula>
    </cfRule>
  </conditionalFormatting>
  <conditionalFormatting sqref="Z180:Z185">
    <cfRule type="cellIs" dxfId="183" priority="206" stopIfTrue="1" operator="notEqual">
      <formula>""</formula>
    </cfRule>
  </conditionalFormatting>
  <conditionalFormatting sqref="Z195">
    <cfRule type="cellIs" dxfId="182" priority="205" stopIfTrue="1" operator="notEqual">
      <formula>""</formula>
    </cfRule>
  </conditionalFormatting>
  <conditionalFormatting sqref="Z198">
    <cfRule type="cellIs" dxfId="181" priority="204" stopIfTrue="1" operator="notEqual">
      <formula>""</formula>
    </cfRule>
  </conditionalFormatting>
  <conditionalFormatting sqref="Z201">
    <cfRule type="cellIs" dxfId="180" priority="203" stopIfTrue="1" operator="notEqual">
      <formula>""</formula>
    </cfRule>
  </conditionalFormatting>
  <conditionalFormatting sqref="Z202:Z205">
    <cfRule type="cellIs" dxfId="179" priority="202" stopIfTrue="1" operator="notEqual">
      <formula>""</formula>
    </cfRule>
  </conditionalFormatting>
  <conditionalFormatting sqref="Z209:Z210">
    <cfRule type="cellIs" dxfId="178" priority="201" stopIfTrue="1" operator="notEqual">
      <formula>""</formula>
    </cfRule>
  </conditionalFormatting>
  <conditionalFormatting sqref="Z214">
    <cfRule type="cellIs" dxfId="177" priority="200" stopIfTrue="1" operator="notEqual">
      <formula>""</formula>
    </cfRule>
  </conditionalFormatting>
  <conditionalFormatting sqref="Z217">
    <cfRule type="cellIs" dxfId="176" priority="199" stopIfTrue="1" operator="notEqual">
      <formula>""</formula>
    </cfRule>
  </conditionalFormatting>
  <conditionalFormatting sqref="Z220">
    <cfRule type="cellIs" dxfId="175" priority="198" stopIfTrue="1" operator="notEqual">
      <formula>""</formula>
    </cfRule>
  </conditionalFormatting>
  <conditionalFormatting sqref="Z223">
    <cfRule type="cellIs" dxfId="174" priority="197" stopIfTrue="1" operator="notEqual">
      <formula>""</formula>
    </cfRule>
  </conditionalFormatting>
  <conditionalFormatting sqref="Z226">
    <cfRule type="cellIs" dxfId="173" priority="196" stopIfTrue="1" operator="notEqual">
      <formula>""</formula>
    </cfRule>
  </conditionalFormatting>
  <conditionalFormatting sqref="Z229">
    <cfRule type="cellIs" dxfId="172" priority="195" stopIfTrue="1" operator="notEqual">
      <formula>""</formula>
    </cfRule>
  </conditionalFormatting>
  <conditionalFormatting sqref="Z237:Z242">
    <cfRule type="cellIs" dxfId="171" priority="194" stopIfTrue="1" operator="notEqual">
      <formula>""</formula>
    </cfRule>
  </conditionalFormatting>
  <conditionalFormatting sqref="Z252">
    <cfRule type="cellIs" dxfId="170" priority="193" stopIfTrue="1" operator="notEqual">
      <formula>""</formula>
    </cfRule>
  </conditionalFormatting>
  <conditionalFormatting sqref="Z255">
    <cfRule type="cellIs" dxfId="169" priority="192" stopIfTrue="1" operator="notEqual">
      <formula>""</formula>
    </cfRule>
  </conditionalFormatting>
  <conditionalFormatting sqref="Z258:Z262">
    <cfRule type="cellIs" dxfId="168" priority="191" stopIfTrue="1" operator="notEqual">
      <formula>""</formula>
    </cfRule>
  </conditionalFormatting>
  <conditionalFormatting sqref="Z266:Z267">
    <cfRule type="cellIs" dxfId="167" priority="190" stopIfTrue="1" operator="notEqual">
      <formula>""</formula>
    </cfRule>
  </conditionalFormatting>
  <conditionalFormatting sqref="Z271">
    <cfRule type="cellIs" dxfId="166" priority="189" stopIfTrue="1" operator="notEqual">
      <formula>""</formula>
    </cfRule>
  </conditionalFormatting>
  <conditionalFormatting sqref="Z274">
    <cfRule type="cellIs" dxfId="165" priority="187" stopIfTrue="1" operator="notEqual">
      <formula>""</formula>
    </cfRule>
  </conditionalFormatting>
  <conditionalFormatting sqref="Z277">
    <cfRule type="cellIs" dxfId="164" priority="186" stopIfTrue="1" operator="notEqual">
      <formula>""</formula>
    </cfRule>
  </conditionalFormatting>
  <conditionalFormatting sqref="Z280">
    <cfRule type="cellIs" dxfId="163" priority="185" stopIfTrue="1" operator="notEqual">
      <formula>""</formula>
    </cfRule>
  </conditionalFormatting>
  <conditionalFormatting sqref="Z283">
    <cfRule type="cellIs" dxfId="162" priority="184" stopIfTrue="1" operator="notEqual">
      <formula>""</formula>
    </cfRule>
  </conditionalFormatting>
  <conditionalFormatting sqref="Z286">
    <cfRule type="cellIs" dxfId="161" priority="183" stopIfTrue="1" operator="notEqual">
      <formula>""</formula>
    </cfRule>
  </conditionalFormatting>
  <conditionalFormatting sqref="Z295:Z299">
    <cfRule type="cellIs" dxfId="160" priority="182" stopIfTrue="1" operator="notEqual">
      <formula>""</formula>
    </cfRule>
  </conditionalFormatting>
  <conditionalFormatting sqref="Z309">
    <cfRule type="cellIs" dxfId="159" priority="181" stopIfTrue="1" operator="notEqual">
      <formula>""</formula>
    </cfRule>
  </conditionalFormatting>
  <conditionalFormatting sqref="Z312">
    <cfRule type="cellIs" dxfId="158" priority="180" stopIfTrue="1" operator="notEqual">
      <formula>""</formula>
    </cfRule>
  </conditionalFormatting>
  <conditionalFormatting sqref="Z315:Z319">
    <cfRule type="cellIs" dxfId="157" priority="179" stopIfTrue="1" operator="notEqual">
      <formula>""</formula>
    </cfRule>
  </conditionalFormatting>
  <conditionalFormatting sqref="Z323:Z324">
    <cfRule type="cellIs" dxfId="156" priority="178" stopIfTrue="1" operator="notEqual">
      <formula>""</formula>
    </cfRule>
  </conditionalFormatting>
  <conditionalFormatting sqref="Z328">
    <cfRule type="cellIs" dxfId="155" priority="177" stopIfTrue="1" operator="notEqual">
      <formula>""</formula>
    </cfRule>
  </conditionalFormatting>
  <conditionalFormatting sqref="Z331">
    <cfRule type="cellIs" dxfId="154" priority="175" stopIfTrue="1" operator="notEqual">
      <formula>""</formula>
    </cfRule>
  </conditionalFormatting>
  <conditionalFormatting sqref="Z334">
    <cfRule type="cellIs" dxfId="153" priority="174" stopIfTrue="1" operator="notEqual">
      <formula>""</formula>
    </cfRule>
  </conditionalFormatting>
  <conditionalFormatting sqref="Z337">
    <cfRule type="cellIs" dxfId="152" priority="173" stopIfTrue="1" operator="notEqual">
      <formula>""</formula>
    </cfRule>
  </conditionalFormatting>
  <conditionalFormatting sqref="Z340">
    <cfRule type="cellIs" dxfId="151" priority="172" stopIfTrue="1" operator="notEqual">
      <formula>""</formula>
    </cfRule>
  </conditionalFormatting>
  <conditionalFormatting sqref="Z343">
    <cfRule type="cellIs" dxfId="150" priority="171" stopIfTrue="1" operator="notEqual">
      <formula>""</formula>
    </cfRule>
  </conditionalFormatting>
  <conditionalFormatting sqref="Z351:Z356">
    <cfRule type="cellIs" dxfId="149" priority="170" stopIfTrue="1" operator="notEqual">
      <formula>""</formula>
    </cfRule>
  </conditionalFormatting>
  <conditionalFormatting sqref="Z366">
    <cfRule type="cellIs" dxfId="148" priority="169" stopIfTrue="1" operator="notEqual">
      <formula>""</formula>
    </cfRule>
  </conditionalFormatting>
  <conditionalFormatting sqref="Z369">
    <cfRule type="cellIs" dxfId="147" priority="168" stopIfTrue="1" operator="notEqual">
      <formula>""</formula>
    </cfRule>
  </conditionalFormatting>
  <conditionalFormatting sqref="Z372:Z376">
    <cfRule type="cellIs" dxfId="146" priority="167" stopIfTrue="1" operator="notEqual">
      <formula>""</formula>
    </cfRule>
  </conditionalFormatting>
  <conditionalFormatting sqref="Z380:Z381">
    <cfRule type="cellIs" dxfId="145" priority="166" stopIfTrue="1" operator="notEqual">
      <formula>""</formula>
    </cfRule>
  </conditionalFormatting>
  <conditionalFormatting sqref="Z385">
    <cfRule type="cellIs" dxfId="144" priority="165" stopIfTrue="1" operator="notEqual">
      <formula>""</formula>
    </cfRule>
  </conditionalFormatting>
  <conditionalFormatting sqref="Z388">
    <cfRule type="cellIs" dxfId="143" priority="164" stopIfTrue="1" operator="notEqual">
      <formula>""</formula>
    </cfRule>
  </conditionalFormatting>
  <conditionalFormatting sqref="Z391">
    <cfRule type="cellIs" dxfId="142" priority="163" stopIfTrue="1" operator="notEqual">
      <formula>""</formula>
    </cfRule>
  </conditionalFormatting>
  <conditionalFormatting sqref="Z394">
    <cfRule type="cellIs" dxfId="141" priority="162" stopIfTrue="1" operator="notEqual">
      <formula>""</formula>
    </cfRule>
  </conditionalFormatting>
  <conditionalFormatting sqref="Z397">
    <cfRule type="cellIs" dxfId="140" priority="161" stopIfTrue="1" operator="notEqual">
      <formula>""</formula>
    </cfRule>
  </conditionalFormatting>
  <conditionalFormatting sqref="Z400">
    <cfRule type="cellIs" dxfId="139" priority="160" stopIfTrue="1" operator="notEqual">
      <formula>""</formula>
    </cfRule>
  </conditionalFormatting>
  <conditionalFormatting sqref="Z408:Z413">
    <cfRule type="cellIs" dxfId="138" priority="159" stopIfTrue="1" operator="notEqual">
      <formula>""</formula>
    </cfRule>
  </conditionalFormatting>
  <conditionalFormatting sqref="Z423">
    <cfRule type="cellIs" dxfId="137" priority="157" stopIfTrue="1" operator="notEqual">
      <formula>""</formula>
    </cfRule>
  </conditionalFormatting>
  <conditionalFormatting sqref="Z426">
    <cfRule type="cellIs" dxfId="136" priority="156" stopIfTrue="1" operator="notEqual">
      <formula>""</formula>
    </cfRule>
  </conditionalFormatting>
  <conditionalFormatting sqref="Z429:Z433">
    <cfRule type="cellIs" dxfId="135" priority="155" stopIfTrue="1" operator="notEqual">
      <formula>""</formula>
    </cfRule>
  </conditionalFormatting>
  <conditionalFormatting sqref="Z437:Z438">
    <cfRule type="cellIs" dxfId="134" priority="154" stopIfTrue="1" operator="notEqual">
      <formula>""</formula>
    </cfRule>
  </conditionalFormatting>
  <conditionalFormatting sqref="Z442">
    <cfRule type="cellIs" dxfId="133" priority="153" stopIfTrue="1" operator="notEqual">
      <formula>""</formula>
    </cfRule>
  </conditionalFormatting>
  <conditionalFormatting sqref="Z445">
    <cfRule type="cellIs" dxfId="132" priority="152" stopIfTrue="1" operator="notEqual">
      <formula>""</formula>
    </cfRule>
  </conditionalFormatting>
  <conditionalFormatting sqref="Z448">
    <cfRule type="cellIs" dxfId="131" priority="151" stopIfTrue="1" operator="notEqual">
      <formula>""</formula>
    </cfRule>
  </conditionalFormatting>
  <conditionalFormatting sqref="Z451">
    <cfRule type="cellIs" dxfId="130" priority="150" stopIfTrue="1" operator="notEqual">
      <formula>""</formula>
    </cfRule>
  </conditionalFormatting>
  <conditionalFormatting sqref="Z454">
    <cfRule type="cellIs" dxfId="129" priority="149" stopIfTrue="1" operator="notEqual">
      <formula>""</formula>
    </cfRule>
  </conditionalFormatting>
  <conditionalFormatting sqref="Z457">
    <cfRule type="cellIs" dxfId="128" priority="148" stopIfTrue="1" operator="notEqual">
      <formula>""</formula>
    </cfRule>
  </conditionalFormatting>
  <conditionalFormatting sqref="Z465:Z470">
    <cfRule type="cellIs" dxfId="127" priority="147" stopIfTrue="1" operator="notEqual">
      <formula>""</formula>
    </cfRule>
  </conditionalFormatting>
  <conditionalFormatting sqref="Z480">
    <cfRule type="cellIs" dxfId="126" priority="146" stopIfTrue="1" operator="notEqual">
      <formula>""</formula>
    </cfRule>
  </conditionalFormatting>
  <conditionalFormatting sqref="Z483">
    <cfRule type="cellIs" dxfId="125" priority="145" stopIfTrue="1" operator="notEqual">
      <formula>""</formula>
    </cfRule>
  </conditionalFormatting>
  <conditionalFormatting sqref="Z486:Z490">
    <cfRule type="cellIs" dxfId="124" priority="144" stopIfTrue="1" operator="notEqual">
      <formula>""</formula>
    </cfRule>
  </conditionalFormatting>
  <conditionalFormatting sqref="Z494:Z495">
    <cfRule type="cellIs" dxfId="123" priority="143" stopIfTrue="1" operator="notEqual">
      <formula>""</formula>
    </cfRule>
  </conditionalFormatting>
  <conditionalFormatting sqref="Z511">
    <cfRule type="cellIs" dxfId="122" priority="138" stopIfTrue="1" operator="notEqual">
      <formula>""</formula>
    </cfRule>
  </conditionalFormatting>
  <conditionalFormatting sqref="Z502">
    <cfRule type="cellIs" dxfId="121" priority="141" stopIfTrue="1" operator="notEqual">
      <formula>""</formula>
    </cfRule>
  </conditionalFormatting>
  <conditionalFormatting sqref="Z505">
    <cfRule type="cellIs" dxfId="120" priority="140" stopIfTrue="1" operator="notEqual">
      <formula>""</formula>
    </cfRule>
  </conditionalFormatting>
  <conditionalFormatting sqref="Z508">
    <cfRule type="cellIs" dxfId="119" priority="139" stopIfTrue="1" operator="notEqual">
      <formula>""</formula>
    </cfRule>
  </conditionalFormatting>
  <conditionalFormatting sqref="Z514">
    <cfRule type="cellIs" dxfId="118" priority="137" stopIfTrue="1" operator="notEqual">
      <formula>""</formula>
    </cfRule>
  </conditionalFormatting>
  <conditionalFormatting sqref="Z523:Z528">
    <cfRule type="cellIs" dxfId="117" priority="136" stopIfTrue="1" operator="notEqual">
      <formula>""</formula>
    </cfRule>
  </conditionalFormatting>
  <conditionalFormatting sqref="Z532">
    <cfRule type="cellIs" dxfId="116" priority="135" stopIfTrue="1" operator="notEqual">
      <formula>""</formula>
    </cfRule>
  </conditionalFormatting>
  <conditionalFormatting sqref="Z538">
    <cfRule type="cellIs" dxfId="115" priority="134" stopIfTrue="1" operator="notEqual">
      <formula>""</formula>
    </cfRule>
  </conditionalFormatting>
  <conditionalFormatting sqref="Z541">
    <cfRule type="cellIs" dxfId="114" priority="133" stopIfTrue="1" operator="notEqual">
      <formula>""</formula>
    </cfRule>
  </conditionalFormatting>
  <conditionalFormatting sqref="Z544:Z548">
    <cfRule type="cellIs" dxfId="113" priority="132" stopIfTrue="1" operator="notEqual">
      <formula>""</formula>
    </cfRule>
  </conditionalFormatting>
  <conditionalFormatting sqref="Z552:Z553">
    <cfRule type="cellIs" dxfId="112" priority="131" stopIfTrue="1" operator="notEqual">
      <formula>""</formula>
    </cfRule>
  </conditionalFormatting>
  <conditionalFormatting sqref="Z557">
    <cfRule type="cellIs" dxfId="111" priority="130" stopIfTrue="1" operator="notEqual">
      <formula>""</formula>
    </cfRule>
  </conditionalFormatting>
  <conditionalFormatting sqref="Z560">
    <cfRule type="cellIs" dxfId="110" priority="129" stopIfTrue="1" operator="notEqual">
      <formula>""</formula>
    </cfRule>
  </conditionalFormatting>
  <conditionalFormatting sqref="Z563">
    <cfRule type="cellIs" dxfId="109" priority="128" stopIfTrue="1" operator="notEqual">
      <formula>""</formula>
    </cfRule>
  </conditionalFormatting>
  <conditionalFormatting sqref="Z566">
    <cfRule type="cellIs" dxfId="108" priority="127" stopIfTrue="1" operator="notEqual">
      <formula>""</formula>
    </cfRule>
  </conditionalFormatting>
  <conditionalFormatting sqref="Z569">
    <cfRule type="cellIs" dxfId="107" priority="126" stopIfTrue="1" operator="notEqual">
      <formula>""</formula>
    </cfRule>
  </conditionalFormatting>
  <conditionalFormatting sqref="Z572">
    <cfRule type="cellIs" dxfId="106" priority="125" stopIfTrue="1" operator="notEqual">
      <formula>""</formula>
    </cfRule>
  </conditionalFormatting>
  <conditionalFormatting sqref="Z585">
    <cfRule type="cellIs" dxfId="105" priority="124" stopIfTrue="1" operator="notEqual">
      <formula>""</formula>
    </cfRule>
  </conditionalFormatting>
  <conditionalFormatting sqref="Z586:Z590">
    <cfRule type="cellIs" dxfId="104" priority="123" stopIfTrue="1" operator="notEqual">
      <formula>""</formula>
    </cfRule>
  </conditionalFormatting>
  <conditionalFormatting sqref="Z600">
    <cfRule type="cellIs" dxfId="103" priority="122" stopIfTrue="1" operator="notEqual">
      <formula>""</formula>
    </cfRule>
  </conditionalFormatting>
  <conditionalFormatting sqref="Z603">
    <cfRule type="cellIs" dxfId="102" priority="121" stopIfTrue="1" operator="notEqual">
      <formula>""</formula>
    </cfRule>
  </conditionalFormatting>
  <conditionalFormatting sqref="Z605:Z610">
    <cfRule type="cellIs" dxfId="101" priority="120" stopIfTrue="1" operator="notEqual">
      <formula>""</formula>
    </cfRule>
  </conditionalFormatting>
  <conditionalFormatting sqref="Z614:Z615">
    <cfRule type="cellIs" dxfId="100" priority="119" stopIfTrue="1" operator="notEqual">
      <formula>""</formula>
    </cfRule>
  </conditionalFormatting>
  <conditionalFormatting sqref="Z619">
    <cfRule type="cellIs" dxfId="99" priority="118" stopIfTrue="1" operator="notEqual">
      <formula>""</formula>
    </cfRule>
  </conditionalFormatting>
  <conditionalFormatting sqref="Z622">
    <cfRule type="cellIs" dxfId="98" priority="117" stopIfTrue="1" operator="notEqual">
      <formula>""</formula>
    </cfRule>
  </conditionalFormatting>
  <conditionalFormatting sqref="Z625">
    <cfRule type="cellIs" dxfId="97" priority="116" stopIfTrue="1" operator="notEqual">
      <formula>""</formula>
    </cfRule>
  </conditionalFormatting>
  <conditionalFormatting sqref="Z628">
    <cfRule type="cellIs" dxfId="96" priority="115" stopIfTrue="1" operator="notEqual">
      <formula>""</formula>
    </cfRule>
  </conditionalFormatting>
  <conditionalFormatting sqref="Z631">
    <cfRule type="cellIs" dxfId="95" priority="114" stopIfTrue="1" operator="notEqual">
      <formula>""</formula>
    </cfRule>
  </conditionalFormatting>
  <conditionalFormatting sqref="Z634">
    <cfRule type="cellIs" dxfId="94" priority="113" stopIfTrue="1" operator="notEqual">
      <formula>""</formula>
    </cfRule>
  </conditionalFormatting>
  <conditionalFormatting sqref="Z294">
    <cfRule type="cellIs" dxfId="93" priority="112" stopIfTrue="1" operator="notEqual">
      <formula>""</formula>
    </cfRule>
  </conditionalFormatting>
  <conditionalFormatting sqref="Z669:Z671">
    <cfRule type="cellIs" dxfId="92" priority="110" stopIfTrue="1" operator="notEqual">
      <formula>""</formula>
    </cfRule>
  </conditionalFormatting>
  <conditionalFormatting sqref="Z674">
    <cfRule type="cellIs" dxfId="91" priority="109" stopIfTrue="1" operator="notEqual">
      <formula>""</formula>
    </cfRule>
  </conditionalFormatting>
  <conditionalFormatting sqref="Z675">
    <cfRule type="cellIs" dxfId="90" priority="108" stopIfTrue="1" operator="notEqual">
      <formula>""</formula>
    </cfRule>
  </conditionalFormatting>
  <conditionalFormatting sqref="Z676:Z680">
    <cfRule type="cellIs" dxfId="89" priority="107" stopIfTrue="1" operator="notEqual">
      <formula>""</formula>
    </cfRule>
  </conditionalFormatting>
  <conditionalFormatting sqref="Z684">
    <cfRule type="cellIs" dxfId="88" priority="106" stopIfTrue="1" operator="notEqual">
      <formula>""</formula>
    </cfRule>
  </conditionalFormatting>
  <conditionalFormatting sqref="Z686">
    <cfRule type="cellIs" dxfId="87" priority="105" stopIfTrue="1" operator="notEqual">
      <formula>""</formula>
    </cfRule>
  </conditionalFormatting>
  <conditionalFormatting sqref="Z688">
    <cfRule type="cellIs" dxfId="86" priority="104" stopIfTrue="1" operator="notEqual">
      <formula>""</formula>
    </cfRule>
  </conditionalFormatting>
  <conditionalFormatting sqref="Z704">
    <cfRule type="cellIs" dxfId="85" priority="103" stopIfTrue="1" operator="notEqual">
      <formula>""</formula>
    </cfRule>
  </conditionalFormatting>
  <conditionalFormatting sqref="Z706">
    <cfRule type="cellIs" dxfId="84" priority="102" stopIfTrue="1" operator="notEqual">
      <formula>""</formula>
    </cfRule>
  </conditionalFormatting>
  <conditionalFormatting sqref="Z708">
    <cfRule type="cellIs" dxfId="83" priority="101" stopIfTrue="1" operator="notEqual">
      <formula>""</formula>
    </cfRule>
  </conditionalFormatting>
  <conditionalFormatting sqref="Z710">
    <cfRule type="cellIs" dxfId="82" priority="100" stopIfTrue="1" operator="notEqual">
      <formula>""</formula>
    </cfRule>
  </conditionalFormatting>
  <conditionalFormatting sqref="Z717">
    <cfRule type="cellIs" dxfId="81" priority="99" stopIfTrue="1" operator="notEqual">
      <formula>""</formula>
    </cfRule>
  </conditionalFormatting>
  <conditionalFormatting sqref="Z725">
    <cfRule type="cellIs" dxfId="80" priority="97" stopIfTrue="1" operator="notEqual">
      <formula>""</formula>
    </cfRule>
  </conditionalFormatting>
  <conditionalFormatting sqref="Z730">
    <cfRule type="cellIs" dxfId="79" priority="96" stopIfTrue="1" operator="notEqual">
      <formula>""</formula>
    </cfRule>
  </conditionalFormatting>
  <conditionalFormatting sqref="Z868">
    <cfRule type="cellIs" dxfId="78" priority="55" stopIfTrue="1" operator="notEqual">
      <formula>""</formula>
    </cfRule>
  </conditionalFormatting>
  <conditionalFormatting sqref="Z731">
    <cfRule type="cellIs" dxfId="77" priority="93" stopIfTrue="1" operator="notEqual">
      <formula>""</formula>
    </cfRule>
  </conditionalFormatting>
  <conditionalFormatting sqref="Z732:Z738">
    <cfRule type="cellIs" dxfId="76" priority="92" stopIfTrue="1" operator="notEqual">
      <formula>""</formula>
    </cfRule>
  </conditionalFormatting>
  <conditionalFormatting sqref="Z749">
    <cfRule type="cellIs" dxfId="75" priority="90" stopIfTrue="1" operator="notEqual">
      <formula>""</formula>
    </cfRule>
  </conditionalFormatting>
  <conditionalFormatting sqref="Z751">
    <cfRule type="cellIs" dxfId="74" priority="87" stopIfTrue="1" operator="notEqual">
      <formula>""</formula>
    </cfRule>
  </conditionalFormatting>
  <conditionalFormatting sqref="Z753:Z757">
    <cfRule type="cellIs" dxfId="73" priority="86" stopIfTrue="1" operator="notEqual">
      <formula>""</formula>
    </cfRule>
  </conditionalFormatting>
  <conditionalFormatting sqref="Z764">
    <cfRule type="cellIs" dxfId="72" priority="85" stopIfTrue="1" operator="notEqual">
      <formula>""</formula>
    </cfRule>
  </conditionalFormatting>
  <conditionalFormatting sqref="Z766">
    <cfRule type="cellIs" dxfId="71" priority="83" stopIfTrue="1" operator="notEqual">
      <formula>""</formula>
    </cfRule>
  </conditionalFormatting>
  <conditionalFormatting sqref="Z768">
    <cfRule type="cellIs" dxfId="70" priority="82" stopIfTrue="1" operator="notEqual">
      <formula>""</formula>
    </cfRule>
  </conditionalFormatting>
  <conditionalFormatting sqref="Z770">
    <cfRule type="cellIs" dxfId="69" priority="81" stopIfTrue="1" operator="notEqual">
      <formula>""</formula>
    </cfRule>
  </conditionalFormatting>
  <conditionalFormatting sqref="Z772">
    <cfRule type="cellIs" dxfId="68" priority="80" stopIfTrue="1" operator="notEqual">
      <formula>""</formula>
    </cfRule>
  </conditionalFormatting>
  <conditionalFormatting sqref="Z781">
    <cfRule type="cellIs" dxfId="67" priority="79" stopIfTrue="1" operator="notEqual">
      <formula>""</formula>
    </cfRule>
  </conditionalFormatting>
  <conditionalFormatting sqref="Z794">
    <cfRule type="cellIs" dxfId="66" priority="74" stopIfTrue="1" operator="notEqual">
      <formula>""</formula>
    </cfRule>
  </conditionalFormatting>
  <conditionalFormatting sqref="Z786">
    <cfRule type="cellIs" dxfId="65" priority="77" stopIfTrue="1" operator="notEqual">
      <formula>""</formula>
    </cfRule>
  </conditionalFormatting>
  <conditionalFormatting sqref="Z787">
    <cfRule type="cellIs" dxfId="64" priority="76" stopIfTrue="1" operator="notEqual">
      <formula>""</formula>
    </cfRule>
  </conditionalFormatting>
  <conditionalFormatting sqref="Z789">
    <cfRule type="cellIs" dxfId="63" priority="75" stopIfTrue="1" operator="notEqual">
      <formula>""</formula>
    </cfRule>
  </conditionalFormatting>
  <conditionalFormatting sqref="Z796">
    <cfRule type="cellIs" dxfId="62" priority="73" stopIfTrue="1" operator="notEqual">
      <formula>""</formula>
    </cfRule>
  </conditionalFormatting>
  <conditionalFormatting sqref="Z798">
    <cfRule type="cellIs" dxfId="61" priority="71" stopIfTrue="1" operator="notEqual">
      <formula>""</formula>
    </cfRule>
  </conditionalFormatting>
  <conditionalFormatting sqref="Z797">
    <cfRule type="cellIs" dxfId="60" priority="70" stopIfTrue="1" operator="notEqual">
      <formula>""</formula>
    </cfRule>
  </conditionalFormatting>
  <conditionalFormatting sqref="Z800">
    <cfRule type="cellIs" dxfId="59" priority="69" stopIfTrue="1" operator="notEqual">
      <formula>""</formula>
    </cfRule>
  </conditionalFormatting>
  <conditionalFormatting sqref="Z802">
    <cfRule type="cellIs" dxfId="58" priority="68" stopIfTrue="1" operator="notEqual">
      <formula>""</formula>
    </cfRule>
  </conditionalFormatting>
  <conditionalFormatting sqref="Z966">
    <cfRule type="cellIs" dxfId="57" priority="64" stopIfTrue="1" operator="notEqual">
      <formula>""</formula>
    </cfRule>
  </conditionalFormatting>
  <conditionalFormatting sqref="Z958">
    <cfRule type="cellIs" dxfId="56" priority="61" stopIfTrue="1" operator="notEqual">
      <formula>""</formula>
    </cfRule>
  </conditionalFormatting>
  <conditionalFormatting sqref="Z959:Z960">
    <cfRule type="cellIs" dxfId="55" priority="60" stopIfTrue="1" operator="notEqual">
      <formula>""</formula>
    </cfRule>
  </conditionalFormatting>
  <conditionalFormatting sqref="Z861">
    <cfRule type="cellIs" dxfId="54" priority="59" stopIfTrue="1" operator="notEqual">
      <formula>""</formula>
    </cfRule>
  </conditionalFormatting>
  <conditionalFormatting sqref="Z898">
    <cfRule type="cellIs" dxfId="53" priority="42" stopIfTrue="1" operator="notEqual">
      <formula>""</formula>
    </cfRule>
  </conditionalFormatting>
  <conditionalFormatting sqref="Z869">
    <cfRule type="cellIs" dxfId="52" priority="57" stopIfTrue="1" operator="notEqual">
      <formula>""</formula>
    </cfRule>
  </conditionalFormatting>
  <conditionalFormatting sqref="Z870:Z873">
    <cfRule type="cellIs" dxfId="51" priority="56" stopIfTrue="1" operator="notEqual">
      <formula>""</formula>
    </cfRule>
  </conditionalFormatting>
  <conditionalFormatting sqref="Z896">
    <cfRule type="cellIs" dxfId="50" priority="39" stopIfTrue="1" operator="notEqual">
      <formula>""</formula>
    </cfRule>
  </conditionalFormatting>
  <conditionalFormatting sqref="Z877">
    <cfRule type="cellIs" dxfId="49" priority="54" stopIfTrue="1" operator="notEqual">
      <formula>""</formula>
    </cfRule>
  </conditionalFormatting>
  <conditionalFormatting sqref="Z876">
    <cfRule type="cellIs" dxfId="48" priority="53" stopIfTrue="1" operator="notEqual">
      <formula>""</formula>
    </cfRule>
  </conditionalFormatting>
  <conditionalFormatting sqref="Z877:Z881 Z888 Z895 Z902:Z903 Z910 Z917 Z924 Z931 Z938">
    <cfRule type="cellIs" dxfId="47" priority="52" stopIfTrue="1" operator="notEqual">
      <formula>""</formula>
    </cfRule>
  </conditionalFormatting>
  <conditionalFormatting sqref="Z875">
    <cfRule type="cellIs" dxfId="46" priority="51" stopIfTrue="1" operator="notEqual">
      <formula>""</formula>
    </cfRule>
  </conditionalFormatting>
  <conditionalFormatting sqref="Z884">
    <cfRule type="cellIs" dxfId="45" priority="50" stopIfTrue="1" operator="notEqual">
      <formula>""</formula>
    </cfRule>
  </conditionalFormatting>
  <conditionalFormatting sqref="Z883">
    <cfRule type="cellIs" dxfId="44" priority="49" stopIfTrue="1" operator="notEqual">
      <formula>""</formula>
    </cfRule>
  </conditionalFormatting>
  <conditionalFormatting sqref="Z884:Z887">
    <cfRule type="cellIs" dxfId="43" priority="48" stopIfTrue="1" operator="notEqual">
      <formula>""</formula>
    </cfRule>
  </conditionalFormatting>
  <conditionalFormatting sqref="Z882">
    <cfRule type="cellIs" dxfId="42" priority="47" stopIfTrue="1" operator="notEqual">
      <formula>""</formula>
    </cfRule>
  </conditionalFormatting>
  <conditionalFormatting sqref="Z891">
    <cfRule type="cellIs" dxfId="41" priority="46" stopIfTrue="1" operator="notEqual">
      <formula>""</formula>
    </cfRule>
  </conditionalFormatting>
  <conditionalFormatting sqref="Z890">
    <cfRule type="cellIs" dxfId="40" priority="45" stopIfTrue="1" operator="notEqual">
      <formula>""</formula>
    </cfRule>
  </conditionalFormatting>
  <conditionalFormatting sqref="Z891:Z894">
    <cfRule type="cellIs" dxfId="39" priority="44" stopIfTrue="1" operator="notEqual">
      <formula>""</formula>
    </cfRule>
  </conditionalFormatting>
  <conditionalFormatting sqref="Z889">
    <cfRule type="cellIs" dxfId="38" priority="43" stopIfTrue="1" operator="notEqual">
      <formula>""</formula>
    </cfRule>
  </conditionalFormatting>
  <conditionalFormatting sqref="Z913">
    <cfRule type="cellIs" dxfId="37" priority="34" stopIfTrue="1" operator="notEqual">
      <formula>""</formula>
    </cfRule>
  </conditionalFormatting>
  <conditionalFormatting sqref="Z897">
    <cfRule type="cellIs" dxfId="36" priority="41" stopIfTrue="1" operator="notEqual">
      <formula>""</formula>
    </cfRule>
  </conditionalFormatting>
  <conditionalFormatting sqref="Z898:Z901">
    <cfRule type="cellIs" dxfId="35" priority="40" stopIfTrue="1" operator="notEqual">
      <formula>""</formula>
    </cfRule>
  </conditionalFormatting>
  <conditionalFormatting sqref="Z906">
    <cfRule type="cellIs" dxfId="34" priority="38" stopIfTrue="1" operator="notEqual">
      <formula>""</formula>
    </cfRule>
  </conditionalFormatting>
  <conditionalFormatting sqref="Z905">
    <cfRule type="cellIs" dxfId="33" priority="37" stopIfTrue="1" operator="notEqual">
      <formula>""</formula>
    </cfRule>
  </conditionalFormatting>
  <conditionalFormatting sqref="Z906:Z909">
    <cfRule type="cellIs" dxfId="32" priority="36" stopIfTrue="1" operator="notEqual">
      <formula>""</formula>
    </cfRule>
  </conditionalFormatting>
  <conditionalFormatting sqref="Z904">
    <cfRule type="cellIs" dxfId="31" priority="35" stopIfTrue="1" operator="notEqual">
      <formula>""</formula>
    </cfRule>
  </conditionalFormatting>
  <conditionalFormatting sqref="Z912">
    <cfRule type="cellIs" dxfId="30" priority="33" stopIfTrue="1" operator="notEqual">
      <formula>""</formula>
    </cfRule>
  </conditionalFormatting>
  <conditionalFormatting sqref="Z913:Z916">
    <cfRule type="cellIs" dxfId="29" priority="32" stopIfTrue="1" operator="notEqual">
      <formula>""</formula>
    </cfRule>
  </conditionalFormatting>
  <conditionalFormatting sqref="Z920">
    <cfRule type="cellIs" dxfId="28" priority="30" stopIfTrue="1" operator="notEqual">
      <formula>""</formula>
    </cfRule>
  </conditionalFormatting>
  <conditionalFormatting sqref="Z919">
    <cfRule type="cellIs" dxfId="27" priority="29" stopIfTrue="1" operator="notEqual">
      <formula>""</formula>
    </cfRule>
  </conditionalFormatting>
  <conditionalFormatting sqref="Z920:Z923">
    <cfRule type="cellIs" dxfId="26" priority="28" stopIfTrue="1" operator="notEqual">
      <formula>""</formula>
    </cfRule>
  </conditionalFormatting>
  <conditionalFormatting sqref="Z911">
    <cfRule type="cellIs" dxfId="25" priority="26" stopIfTrue="1" operator="notEqual">
      <formula>""</formula>
    </cfRule>
  </conditionalFormatting>
  <conditionalFormatting sqref="Z918">
    <cfRule type="cellIs" dxfId="24" priority="25" stopIfTrue="1" operator="notEqual">
      <formula>""</formula>
    </cfRule>
  </conditionalFormatting>
  <conditionalFormatting sqref="Z927">
    <cfRule type="cellIs" dxfId="23" priority="24" stopIfTrue="1" operator="notEqual">
      <formula>""</formula>
    </cfRule>
  </conditionalFormatting>
  <conditionalFormatting sqref="Z926">
    <cfRule type="cellIs" dxfId="22" priority="23" stopIfTrue="1" operator="notEqual">
      <formula>""</formula>
    </cfRule>
  </conditionalFormatting>
  <conditionalFormatting sqref="Z927:Z930">
    <cfRule type="cellIs" dxfId="21" priority="22" stopIfTrue="1" operator="notEqual">
      <formula>""</formula>
    </cfRule>
  </conditionalFormatting>
  <conditionalFormatting sqref="Z925">
    <cfRule type="cellIs" dxfId="20" priority="21" stopIfTrue="1" operator="notEqual">
      <formula>""</formula>
    </cfRule>
  </conditionalFormatting>
  <conditionalFormatting sqref="Z934">
    <cfRule type="cellIs" dxfId="19" priority="20" stopIfTrue="1" operator="notEqual">
      <formula>""</formula>
    </cfRule>
  </conditionalFormatting>
  <conditionalFormatting sqref="Z933">
    <cfRule type="cellIs" dxfId="18" priority="19" stopIfTrue="1" operator="notEqual">
      <formula>""</formula>
    </cfRule>
  </conditionalFormatting>
  <conditionalFormatting sqref="Z934:Z937">
    <cfRule type="cellIs" dxfId="17" priority="18" stopIfTrue="1" operator="notEqual">
      <formula>""</formula>
    </cfRule>
  </conditionalFormatting>
  <conditionalFormatting sqref="Z932">
    <cfRule type="cellIs" dxfId="16" priority="17" stopIfTrue="1" operator="notEqual">
      <formula>""</formula>
    </cfRule>
  </conditionalFormatting>
  <conditionalFormatting sqref="Z941">
    <cfRule type="cellIs" dxfId="15" priority="16" stopIfTrue="1" operator="notEqual">
      <formula>""</formula>
    </cfRule>
  </conditionalFormatting>
  <conditionalFormatting sqref="Z940">
    <cfRule type="cellIs" dxfId="14" priority="15" stopIfTrue="1" operator="notEqual">
      <formula>""</formula>
    </cfRule>
  </conditionalFormatting>
  <conditionalFormatting sqref="Z941:Z945">
    <cfRule type="cellIs" dxfId="13" priority="14" stopIfTrue="1" operator="notEqual">
      <formula>""</formula>
    </cfRule>
  </conditionalFormatting>
  <conditionalFormatting sqref="Z939">
    <cfRule type="cellIs" dxfId="12" priority="13" stopIfTrue="1" operator="notEqual">
      <formula>""</formula>
    </cfRule>
  </conditionalFormatting>
  <conditionalFormatting sqref="Z785">
    <cfRule type="cellIs" dxfId="11" priority="10" stopIfTrue="1" operator="notEqual">
      <formula>""</formula>
    </cfRule>
  </conditionalFormatting>
  <conditionalFormatting sqref="Z661">
    <cfRule type="cellIs" dxfId="10" priority="8" stopIfTrue="1" operator="notEqual">
      <formula>""</formula>
    </cfRule>
  </conditionalFormatting>
  <conditionalFormatting sqref="Z946">
    <cfRule type="cellIs" dxfId="9" priority="7" stopIfTrue="1" operator="notEqual">
      <formula>""</formula>
    </cfRule>
  </conditionalFormatting>
  <conditionalFormatting sqref="Z949">
    <cfRule type="cellIs" dxfId="8" priority="6" stopIfTrue="1" operator="notEqual">
      <formula>""</formula>
    </cfRule>
  </conditionalFormatting>
  <conditionalFormatting sqref="Z948">
    <cfRule type="cellIs" dxfId="7" priority="5" stopIfTrue="1" operator="notEqual">
      <formula>""</formula>
    </cfRule>
  </conditionalFormatting>
  <conditionalFormatting sqref="Z949:Z952">
    <cfRule type="cellIs" dxfId="6" priority="4" stopIfTrue="1" operator="notEqual">
      <formula>""</formula>
    </cfRule>
  </conditionalFormatting>
  <conditionalFormatting sqref="Z947">
    <cfRule type="cellIs" dxfId="5" priority="3" stopIfTrue="1" operator="notEqual">
      <formula>""</formula>
    </cfRule>
  </conditionalFormatting>
  <conditionalFormatting sqref="Z739:Z740">
    <cfRule type="cellIs" dxfId="4" priority="1" stopIfTrue="1" operator="notEqual">
      <formula>""</formula>
    </cfRule>
  </conditionalFormatting>
  <pageMargins left="0.5" right="0.25" top="1.8" bottom="0.5" header="0.74" footer="0.5"/>
  <pageSetup scale="50" pageOrder="overThenDown" orientation="landscape" r:id="rId1"/>
  <headerFooter alignWithMargins="0">
    <oddHeader>&amp;C&amp;"Times New Roman,Bold"&amp;12KENTUCKY UTILITIES COMPANY
Cost of Service Study
Class Allocation
12 Months Ended April 30, 2020
LOLP Methodology&amp;R&amp;"Times New Roman,Bold"&amp;12Exhibit WSS-28
Page &amp;P of &amp;N</oddHeader>
  </headerFooter>
  <rowBreaks count="17" manualBreakCount="17">
    <brk id="62" min="5" max="21" man="1"/>
    <brk id="119" min="5" max="21" man="1"/>
    <brk id="176" min="5" max="21" man="1"/>
    <brk id="233" min="5" max="21" man="1"/>
    <brk id="290" min="5" max="21" man="1"/>
    <brk id="347" min="5" max="21" man="1"/>
    <brk id="404" min="5" max="21" man="1"/>
    <brk id="461" min="5" max="21" man="1"/>
    <brk id="519" min="5" max="21" man="1"/>
    <brk id="581" min="5" max="21" man="1"/>
    <brk id="647" min="5" max="21" man="1"/>
    <brk id="712" min="5" max="21" man="1"/>
    <brk id="774" min="5" max="21" man="1"/>
    <brk id="809" min="5" max="21" man="1"/>
    <brk id="859" min="5" max="21" man="1"/>
    <brk id="902" min="5" max="21" man="1"/>
    <brk id="952" max="16383" man="1"/>
  </rowBreaks>
  <colBreaks count="1" manualBreakCount="1">
    <brk id="14" min="3" max="9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1F79-B53B-46C3-BB34-F85FD1DAFEF7}">
  <sheetPr>
    <pageSetUpPr fitToPage="1"/>
  </sheetPr>
  <dimension ref="A1:P73"/>
  <sheetViews>
    <sheetView tabSelected="1" view="pageBreakPreview" topLeftCell="A24" zoomScale="130" zoomScaleNormal="100" zoomScaleSheetLayoutView="130" workbookViewId="0">
      <pane xSplit="1" topLeftCell="B1" activePane="topRight" state="frozen"/>
      <selection activeCell="A24" sqref="A24"/>
      <selection pane="topRight" activeCell="B24" sqref="B24"/>
    </sheetView>
  </sheetViews>
  <sheetFormatPr defaultRowHeight="14.1" x14ac:dyDescent="0.5"/>
  <cols>
    <col min="1" max="1" width="48.15625" bestFit="1" customWidth="1"/>
    <col min="2" max="2" width="4.26171875" customWidth="1"/>
    <col min="3" max="3" width="19" style="181" customWidth="1"/>
    <col min="4" max="4" width="19.68359375" style="181" customWidth="1"/>
    <col min="5" max="5" width="18" style="181" customWidth="1"/>
    <col min="6" max="6" width="18.83984375" style="182" customWidth="1"/>
    <col min="7" max="7" width="15.15625" customWidth="1"/>
    <col min="8" max="8" width="20" style="2" hidden="1" customWidth="1"/>
    <col min="9" max="9" width="14" style="2" hidden="1" customWidth="1"/>
    <col min="10" max="10" width="1.578125" style="2" customWidth="1"/>
    <col min="11" max="11" width="5.578125" style="2" customWidth="1"/>
    <col min="12" max="12" width="4.26171875" customWidth="1"/>
    <col min="13" max="13" width="28.15625" style="2" customWidth="1"/>
    <col min="14" max="15" width="15.68359375" style="2" customWidth="1"/>
    <col min="16" max="16" width="15.68359375" customWidth="1"/>
  </cols>
  <sheetData>
    <row r="1" spans="1:16" ht="17.5" hidden="1" customHeight="1" x14ac:dyDescent="0.55000000000000004">
      <c r="A1" s="4" t="s">
        <v>1360</v>
      </c>
    </row>
    <row r="2" spans="1:16" ht="14.1" hidden="1" customHeight="1" x14ac:dyDescent="0.5">
      <c r="A2" s="390" t="s">
        <v>2108</v>
      </c>
      <c r="C2" s="467"/>
      <c r="D2" s="467"/>
      <c r="E2" s="467"/>
      <c r="F2" s="467"/>
      <c r="H2" s="468"/>
      <c r="I2" s="468"/>
      <c r="J2" s="468"/>
      <c r="K2" s="468"/>
      <c r="M2" s="519"/>
      <c r="N2" s="519"/>
      <c r="O2" s="519"/>
      <c r="P2" s="519"/>
    </row>
    <row r="3" spans="1:16" ht="14.1" hidden="1" customHeight="1" x14ac:dyDescent="0.5">
      <c r="A3" s="390"/>
      <c r="B3" s="469"/>
      <c r="K3" s="182"/>
      <c r="P3" s="182"/>
    </row>
    <row r="4" spans="1:16" ht="14.1" hidden="1" customHeight="1" x14ac:dyDescent="0.5">
      <c r="A4" s="390"/>
      <c r="B4" s="469"/>
      <c r="D4" s="470" t="s">
        <v>2109</v>
      </c>
      <c r="E4" s="470" t="s">
        <v>2110</v>
      </c>
      <c r="F4" s="183"/>
      <c r="G4" s="184"/>
      <c r="K4" s="182"/>
      <c r="P4" s="182"/>
    </row>
    <row r="5" spans="1:16" ht="14.5" hidden="1" customHeight="1" thickBot="1" x14ac:dyDescent="0.55000000000000004">
      <c r="A5" s="471"/>
      <c r="B5" s="472"/>
      <c r="C5" s="448" t="s">
        <v>438</v>
      </c>
      <c r="D5" s="448" t="s">
        <v>2111</v>
      </c>
      <c r="E5" s="448" t="s">
        <v>2112</v>
      </c>
      <c r="F5" s="473" t="s">
        <v>181</v>
      </c>
      <c r="G5" s="448" t="s">
        <v>2113</v>
      </c>
      <c r="K5" s="182"/>
      <c r="P5" s="182"/>
    </row>
    <row r="6" spans="1:16" ht="14.1" hidden="1" customHeight="1" x14ac:dyDescent="0.5">
      <c r="A6" s="390"/>
      <c r="B6" s="469"/>
      <c r="K6" s="182"/>
      <c r="P6" s="182"/>
    </row>
    <row r="7" spans="1:16" ht="14.1" hidden="1" customHeight="1" x14ac:dyDescent="0.5">
      <c r="A7" s="38" t="s">
        <v>2114</v>
      </c>
      <c r="B7" s="469"/>
      <c r="C7" s="185">
        <f>'WSS-28'!G669</f>
        <v>632354479.49888062</v>
      </c>
      <c r="D7" s="185">
        <f>'WSS-28'!G684</f>
        <v>559351961.06544709</v>
      </c>
      <c r="E7" s="185">
        <f t="shared" ref="E7:E21" si="0">C7-D7</f>
        <v>73002518.433433533</v>
      </c>
      <c r="F7" s="185">
        <f>'WSS-28'!G688</f>
        <v>2446199408.7285142</v>
      </c>
      <c r="G7" s="186">
        <f t="shared" ref="G7:G22" si="1">E7/F7</f>
        <v>2.9843240977389815E-2</v>
      </c>
      <c r="K7" s="182"/>
      <c r="P7" s="182"/>
    </row>
    <row r="8" spans="1:16" ht="14.1" hidden="1" customHeight="1" x14ac:dyDescent="0.5">
      <c r="A8" s="38" t="s">
        <v>2185</v>
      </c>
      <c r="B8" s="469"/>
      <c r="C8" s="2">
        <f>'WSS-28'!I669</f>
        <v>229947997.57106671</v>
      </c>
      <c r="D8" s="2">
        <f>'WSS-28'!I684</f>
        <v>160440277.14381036</v>
      </c>
      <c r="E8" s="2">
        <f t="shared" si="0"/>
        <v>69507720.427256346</v>
      </c>
      <c r="F8" s="2">
        <f>'WSS-28'!I688</f>
        <v>610148565.20987535</v>
      </c>
      <c r="G8" s="186">
        <f t="shared" si="1"/>
        <v>0.11391933766712618</v>
      </c>
      <c r="K8" s="182"/>
      <c r="P8" s="182"/>
    </row>
    <row r="9" spans="1:16" ht="14.1" hidden="1" customHeight="1" x14ac:dyDescent="0.5">
      <c r="A9" s="38" t="s">
        <v>2118</v>
      </c>
      <c r="B9" s="469"/>
      <c r="C9" s="2">
        <f>'WSS-28'!J669</f>
        <v>12341104.149929067</v>
      </c>
      <c r="D9" s="2">
        <f>'WSS-28'!J684</f>
        <v>9927788.6146886703</v>
      </c>
      <c r="E9" s="2">
        <f t="shared" si="0"/>
        <v>2413315.5352403969</v>
      </c>
      <c r="F9" s="2">
        <f>'WSS-28'!J688</f>
        <v>38738639.515784226</v>
      </c>
      <c r="G9" s="186">
        <f t="shared" si="1"/>
        <v>6.2297374544015183E-2</v>
      </c>
      <c r="K9" s="182"/>
      <c r="P9" s="182"/>
    </row>
    <row r="10" spans="1:16" ht="14.1" hidden="1" customHeight="1" x14ac:dyDescent="0.5">
      <c r="A10" s="38" t="s">
        <v>2116</v>
      </c>
      <c r="C10" s="2">
        <f>'WSS-28'!K669</f>
        <v>174078593.35727775</v>
      </c>
      <c r="D10" s="2">
        <f>'WSS-28'!K684</f>
        <v>126507563.50226063</v>
      </c>
      <c r="E10" s="2">
        <f t="shared" si="0"/>
        <v>47571029.855017126</v>
      </c>
      <c r="F10" s="2">
        <f>'WSS-28'!K688</f>
        <v>458864450.23790866</v>
      </c>
      <c r="G10" s="186">
        <f t="shared" si="1"/>
        <v>0.10367120362092301</v>
      </c>
    </row>
    <row r="11" spans="1:16" ht="14.1" hidden="1" customHeight="1" x14ac:dyDescent="0.5">
      <c r="A11" s="38" t="s">
        <v>2115</v>
      </c>
      <c r="C11" s="2">
        <f>'WSS-28'!L669</f>
        <v>9618570.9471681006</v>
      </c>
      <c r="D11" s="2">
        <f>'WSS-28'!L684</f>
        <v>5972179.0755347069</v>
      </c>
      <c r="E11" s="2">
        <f t="shared" si="0"/>
        <v>3646391.8716333937</v>
      </c>
      <c r="F11" s="2">
        <f>'WSS-28'!L688</f>
        <v>19887373.090099089</v>
      </c>
      <c r="G11" s="186">
        <f t="shared" si="1"/>
        <v>0.18335211267539134</v>
      </c>
    </row>
    <row r="12" spans="1:16" ht="14.1" hidden="1" customHeight="1" x14ac:dyDescent="0.5">
      <c r="A12" s="38" t="s">
        <v>2125</v>
      </c>
      <c r="C12" s="2">
        <f>'WSS-28'!M669</f>
        <v>137918383.42054722</v>
      </c>
      <c r="D12" s="2">
        <f>'WSS-28'!M684</f>
        <v>119275701.30930579</v>
      </c>
      <c r="E12" s="2">
        <f t="shared" si="0"/>
        <v>18642682.11124143</v>
      </c>
      <c r="F12" s="2">
        <f>'WSS-28'!M688</f>
        <v>424829680.24150598</v>
      </c>
      <c r="G12" s="186">
        <f t="shared" si="1"/>
        <v>4.3882720483755959E-2</v>
      </c>
    </row>
    <row r="13" spans="1:16" ht="14.1" hidden="1" customHeight="1" x14ac:dyDescent="0.5">
      <c r="A13" s="38" t="s">
        <v>2124</v>
      </c>
      <c r="B13" s="469"/>
      <c r="C13" s="2">
        <f>'WSS-28'!N669</f>
        <v>255960630.21993825</v>
      </c>
      <c r="D13" s="2">
        <f>'WSS-28'!N684</f>
        <v>229878385.3482466</v>
      </c>
      <c r="E13" s="2">
        <f t="shared" si="0"/>
        <v>26082244.871691644</v>
      </c>
      <c r="F13" s="2">
        <f>'WSS-28'!N688</f>
        <v>740452252.7798897</v>
      </c>
      <c r="G13" s="186">
        <f t="shared" si="1"/>
        <v>3.5224749163461556E-2</v>
      </c>
    </row>
    <row r="14" spans="1:16" ht="14.1" hidden="1" customHeight="1" x14ac:dyDescent="0.5">
      <c r="A14" s="38" t="s">
        <v>2119</v>
      </c>
      <c r="B14" s="469"/>
      <c r="C14" s="2">
        <f>'WSS-28'!O669</f>
        <v>81116100.933095604</v>
      </c>
      <c r="D14" s="2">
        <f>'WSS-28'!O684</f>
        <v>75434190.139851809</v>
      </c>
      <c r="E14" s="2">
        <f t="shared" si="0"/>
        <v>5681910.7932437956</v>
      </c>
      <c r="F14" s="2">
        <f>'WSS-28'!O688</f>
        <v>225535968.00398141</v>
      </c>
      <c r="G14" s="186">
        <f t="shared" si="1"/>
        <v>2.5192925294928975E-2</v>
      </c>
    </row>
    <row r="15" spans="1:16" ht="14.1" hidden="1" customHeight="1" x14ac:dyDescent="0.5">
      <c r="A15" s="38" t="s">
        <v>2120</v>
      </c>
      <c r="B15" s="469"/>
      <c r="C15" s="2">
        <f>'WSS-28'!P669</f>
        <v>20036277.988449719</v>
      </c>
      <c r="D15" s="2">
        <f>'WSS-28'!P684</f>
        <v>30921073.207255542</v>
      </c>
      <c r="E15" s="2">
        <f t="shared" si="0"/>
        <v>-10884795.218805823</v>
      </c>
      <c r="F15" s="2">
        <f>'WSS-28'!P688</f>
        <v>104333029.76968977</v>
      </c>
      <c r="G15" s="186">
        <f t="shared" si="1"/>
        <v>-0.10432741426980022</v>
      </c>
    </row>
    <row r="16" spans="1:16" ht="14.1" hidden="1" customHeight="1" x14ac:dyDescent="0.5">
      <c r="A16" s="38" t="s">
        <v>2468</v>
      </c>
      <c r="B16" s="469"/>
      <c r="C16" s="2">
        <f>'WSS-28'!Q669</f>
        <v>30869021.862646241</v>
      </c>
      <c r="D16" s="2">
        <f>'WSS-28'!Q684</f>
        <v>16898685.067747034</v>
      </c>
      <c r="E16" s="2">
        <f t="shared" si="0"/>
        <v>13970336.794899207</v>
      </c>
      <c r="F16" s="2">
        <f>'WSS-28'!Q688</f>
        <v>113340011.04474315</v>
      </c>
      <c r="G16" s="186">
        <f t="shared" si="1"/>
        <v>0.12326041497723295</v>
      </c>
    </row>
    <row r="17" spans="1:16" ht="14.1" hidden="1" customHeight="1" x14ac:dyDescent="0.5">
      <c r="A17" s="38" t="s">
        <v>2121</v>
      </c>
      <c r="B17" s="469"/>
      <c r="C17" s="2">
        <f>'WSS-28'!R669</f>
        <v>316348.41382896813</v>
      </c>
      <c r="D17" s="2">
        <f>'WSS-28'!R684</f>
        <v>204375.50850190493</v>
      </c>
      <c r="E17" s="2">
        <f t="shared" si="0"/>
        <v>111972.9053270632</v>
      </c>
      <c r="F17" s="2">
        <f>'WSS-28'!R688</f>
        <v>398642.54509885528</v>
      </c>
      <c r="G17" s="186">
        <f t="shared" si="1"/>
        <v>0.28088548676934666</v>
      </c>
    </row>
    <row r="18" spans="1:16" ht="14.1" hidden="1" customHeight="1" x14ac:dyDescent="0.5">
      <c r="A18" s="38" t="s">
        <v>2346</v>
      </c>
      <c r="C18" s="2">
        <f>'WSS-28'!S669</f>
        <v>274795.72459276643</v>
      </c>
      <c r="D18" s="2">
        <f>'WSS-28'!S684</f>
        <v>196764.78543814423</v>
      </c>
      <c r="E18" s="2">
        <f t="shared" si="0"/>
        <v>78030.939154622203</v>
      </c>
      <c r="F18" s="2">
        <f>'WSS-28'!S688</f>
        <v>615301.08940570417</v>
      </c>
      <c r="G18" s="186">
        <f t="shared" si="1"/>
        <v>0.12681748902799653</v>
      </c>
    </row>
    <row r="19" spans="1:16" ht="14.1" hidden="1" customHeight="1" x14ac:dyDescent="0.5">
      <c r="A19" s="38" t="s">
        <v>2349</v>
      </c>
      <c r="C19" s="2">
        <f>'WSS-28'!T669</f>
        <v>95108.064860777158</v>
      </c>
      <c r="D19" s="2">
        <f>'WSS-28'!T684</f>
        <v>41914.066120693926</v>
      </c>
      <c r="E19" s="2">
        <f t="shared" si="0"/>
        <v>53193.998740083232</v>
      </c>
      <c r="F19" s="2">
        <f>'WSS-28'!T688</f>
        <v>174628.96328485516</v>
      </c>
      <c r="G19" s="186">
        <f t="shared" si="1"/>
        <v>0.30461154747459079</v>
      </c>
    </row>
    <row r="20" spans="1:16" ht="14.1" hidden="1" customHeight="1" x14ac:dyDescent="0.5">
      <c r="A20" s="38" t="s">
        <v>2347</v>
      </c>
      <c r="C20" s="2">
        <f>'WSS-28'!U669</f>
        <v>6746.4824681938508</v>
      </c>
      <c r="D20" s="2">
        <f>'WSS-28'!U684</f>
        <v>35244.54210091164</v>
      </c>
      <c r="E20" s="2">
        <f t="shared" si="0"/>
        <v>-28498.059632717788</v>
      </c>
      <c r="F20" s="2">
        <f>'WSS-28'!U688</f>
        <v>105538.39738445418</v>
      </c>
      <c r="G20" s="186">
        <f t="shared" si="1"/>
        <v>-0.27002551051543217</v>
      </c>
    </row>
    <row r="21" spans="1:16" ht="14.1" hidden="1" customHeight="1" x14ac:dyDescent="0.5">
      <c r="A21" s="188" t="s">
        <v>2348</v>
      </c>
      <c r="B21" s="137"/>
      <c r="C21" s="189">
        <f>'WSS-28'!V669</f>
        <v>162504.0000000002</v>
      </c>
      <c r="D21" s="189">
        <f>'WSS-28'!V684</f>
        <v>196302.7753636514</v>
      </c>
      <c r="E21" s="189">
        <f t="shared" si="0"/>
        <v>-33798.775363651192</v>
      </c>
      <c r="F21" s="189">
        <f>'WSS-28'!V688</f>
        <v>2576969.3631635425</v>
      </c>
      <c r="G21" s="190">
        <f t="shared" si="1"/>
        <v>-1.3115707096400671E-2</v>
      </c>
    </row>
    <row r="22" spans="1:16" ht="14.1" hidden="1" customHeight="1" x14ac:dyDescent="0.5">
      <c r="C22" s="2">
        <f>SUM(C7:C21)</f>
        <v>1585096662.6347501</v>
      </c>
      <c r="D22" s="2">
        <f>SUM(D7:D15)</f>
        <v>1317709119.4064012</v>
      </c>
      <c r="E22" s="2">
        <f>SUM(E7:E15)</f>
        <v>235663018.67995185</v>
      </c>
      <c r="F22" s="2">
        <f>SUM(F7:F15)</f>
        <v>5068989367.5772486</v>
      </c>
      <c r="G22" s="186">
        <f t="shared" si="1"/>
        <v>4.6491125072647035E-2</v>
      </c>
    </row>
    <row r="23" spans="1:16" ht="14.1" hidden="1" customHeight="1" x14ac:dyDescent="0.5">
      <c r="B23" s="469"/>
      <c r="E23" s="185"/>
      <c r="F23" s="2"/>
      <c r="G23" s="186"/>
    </row>
    <row r="24" spans="1:16" ht="14.4" thickBot="1" x14ac:dyDescent="0.55000000000000004">
      <c r="B24" s="469"/>
    </row>
    <row r="25" spans="1:16" ht="17.7" thickBot="1" x14ac:dyDescent="0.6">
      <c r="A25" s="520" t="s">
        <v>1360</v>
      </c>
      <c r="B25" s="521"/>
      <c r="C25" s="521"/>
      <c r="D25" s="521"/>
      <c r="E25" s="521"/>
      <c r="F25" s="521"/>
      <c r="G25" s="521"/>
      <c r="H25" s="521"/>
      <c r="I25" s="522"/>
      <c r="M25" s="390"/>
    </row>
    <row r="26" spans="1:16" x14ac:dyDescent="0.5">
      <c r="G26" s="169" t="s">
        <v>2483</v>
      </c>
      <c r="H26"/>
      <c r="I26" s="169" t="s">
        <v>2486</v>
      </c>
      <c r="J26" s="449"/>
    </row>
    <row r="27" spans="1:16" x14ac:dyDescent="0.5">
      <c r="A27" s="390"/>
      <c r="B27" s="469"/>
      <c r="D27" s="470" t="s">
        <v>2109</v>
      </c>
      <c r="E27" s="470" t="s">
        <v>2110</v>
      </c>
      <c r="F27" s="183"/>
      <c r="G27" s="169" t="s">
        <v>421</v>
      </c>
      <c r="H27" s="470" t="s">
        <v>2486</v>
      </c>
      <c r="I27" s="169" t="s">
        <v>421</v>
      </c>
      <c r="J27" s="470"/>
      <c r="K27" s="182"/>
      <c r="P27" s="182"/>
    </row>
    <row r="28" spans="1:16" ht="14.4" thickBot="1" x14ac:dyDescent="0.55000000000000004">
      <c r="A28" s="471"/>
      <c r="B28" s="472"/>
      <c r="C28" s="448" t="s">
        <v>438</v>
      </c>
      <c r="D28" s="448" t="s">
        <v>2111</v>
      </c>
      <c r="E28" s="448" t="s">
        <v>2112</v>
      </c>
      <c r="F28" s="473" t="s">
        <v>181</v>
      </c>
      <c r="G28" s="448" t="s">
        <v>2484</v>
      </c>
      <c r="H28" s="448" t="s">
        <v>2487</v>
      </c>
      <c r="I28" s="448" t="s">
        <v>2484</v>
      </c>
      <c r="J28" s="448"/>
      <c r="K28" s="182"/>
      <c r="P28" s="182"/>
    </row>
    <row r="29" spans="1:16" x14ac:dyDescent="0.5">
      <c r="A29" s="390"/>
      <c r="B29" s="469"/>
      <c r="K29" s="182"/>
      <c r="P29" s="182"/>
    </row>
    <row r="30" spans="1:16" x14ac:dyDescent="0.5">
      <c r="A30" s="38" t="s">
        <v>2114</v>
      </c>
      <c r="B30" s="469"/>
      <c r="C30" s="185">
        <f>'WSS-28'!G725</f>
        <v>632354479.49888062</v>
      </c>
      <c r="D30" s="185">
        <f>'WSS-28'!G749</f>
        <v>566916865.85970128</v>
      </c>
      <c r="E30" s="185">
        <f t="shared" ref="E30:E46" si="2">C30-D30</f>
        <v>65437613.639179349</v>
      </c>
      <c r="F30" s="185">
        <f>'WSS-28'!G757</f>
        <v>2446199408.7285142</v>
      </c>
      <c r="G30" s="186">
        <f t="shared" ref="G30:G47" si="3">E30/F30</f>
        <v>2.6750727436890567E-2</v>
      </c>
      <c r="H30" s="186">
        <f>'WSS-28'!G782/622450115</f>
        <v>0.10939669424092474</v>
      </c>
      <c r="I30" s="186">
        <f>G56</f>
        <v>4.7544557524880612E-2</v>
      </c>
      <c r="J30" s="186"/>
      <c r="K30" s="182"/>
      <c r="M30" s="466"/>
      <c r="P30" s="182"/>
    </row>
    <row r="31" spans="1:16" x14ac:dyDescent="0.5">
      <c r="A31" s="38" t="s">
        <v>2573</v>
      </c>
      <c r="B31" s="469"/>
      <c r="C31" s="2">
        <f>'WSS-28'!H725</f>
        <v>1051220.687364765</v>
      </c>
      <c r="D31" s="2">
        <f>'WSS-28'!H749</f>
        <v>1128956.2635705511</v>
      </c>
      <c r="E31" s="2">
        <f t="shared" si="2"/>
        <v>-77735.576205786085</v>
      </c>
      <c r="F31" s="2">
        <f>'WSS-28'!H757</f>
        <v>11340629.922834281</v>
      </c>
      <c r="G31" s="186">
        <f t="shared" si="3"/>
        <v>-6.8546083184732121E-3</v>
      </c>
      <c r="H31" s="186"/>
      <c r="I31" s="186"/>
      <c r="J31" s="186"/>
      <c r="K31" s="182"/>
      <c r="M31" s="466"/>
      <c r="P31" s="182"/>
    </row>
    <row r="32" spans="1:16" x14ac:dyDescent="0.5">
      <c r="A32" s="38" t="s">
        <v>2185</v>
      </c>
      <c r="B32" s="469"/>
      <c r="C32" s="2">
        <f>'WSS-28'!I725</f>
        <v>229947997.57106671</v>
      </c>
      <c r="D32" s="2">
        <f>'WSS-28'!I749</f>
        <v>162478930.80483201</v>
      </c>
      <c r="E32" s="2">
        <f t="shared" si="2"/>
        <v>67469066.766234696</v>
      </c>
      <c r="F32" s="2">
        <f>'WSS-28'!I757</f>
        <v>610148565.20987535</v>
      </c>
      <c r="G32" s="186">
        <f t="shared" si="3"/>
        <v>0.1105780962428832</v>
      </c>
      <c r="H32" s="186">
        <f>'WSS-28'!I782/236178596</f>
        <v>0.11319799275968259</v>
      </c>
      <c r="I32" s="186">
        <f>G58</f>
        <v>0.14337951623337433</v>
      </c>
      <c r="J32" s="186"/>
      <c r="K32" s="186"/>
      <c r="M32" s="414"/>
      <c r="N32" s="278"/>
      <c r="P32" s="182"/>
    </row>
    <row r="33" spans="1:16" x14ac:dyDescent="0.5">
      <c r="A33" s="38" t="s">
        <v>2118</v>
      </c>
      <c r="B33" s="469"/>
      <c r="C33" s="2">
        <f>'WSS-28'!J725</f>
        <v>12341104.149929067</v>
      </c>
      <c r="D33" s="2">
        <f>'WSS-28'!J749</f>
        <v>10058341.169260059</v>
      </c>
      <c r="E33" s="2">
        <f t="shared" si="2"/>
        <v>2282762.9806690086</v>
      </c>
      <c r="F33" s="2">
        <f>'WSS-28'!J757</f>
        <v>38738639.515784226</v>
      </c>
      <c r="G33" s="186">
        <f t="shared" si="3"/>
        <v>5.8927288340595622E-2</v>
      </c>
      <c r="H33" s="186">
        <f>'WSS-28'!J782/12903301</f>
        <v>0.11267116840876609</v>
      </c>
      <c r="I33" s="186">
        <f>G59</f>
        <v>8.7291759682562198E-2</v>
      </c>
      <c r="J33" s="186"/>
      <c r="K33" s="186"/>
      <c r="M33" s="414"/>
      <c r="N33" s="278"/>
      <c r="P33" s="182"/>
    </row>
    <row r="34" spans="1:16" x14ac:dyDescent="0.5">
      <c r="A34" s="38" t="s">
        <v>2344</v>
      </c>
      <c r="B34" s="469"/>
      <c r="C34" s="2">
        <f>'WSS-28'!K725</f>
        <v>174078593.35727775</v>
      </c>
      <c r="D34" s="2">
        <f>'WSS-28'!K749</f>
        <v>128407002.18561864</v>
      </c>
      <c r="E34" s="2">
        <f t="shared" si="2"/>
        <v>45671591.171659112</v>
      </c>
      <c r="F34" s="2">
        <f>'WSS-28'!K757</f>
        <v>458864450.23790866</v>
      </c>
      <c r="G34" s="186">
        <f t="shared" si="3"/>
        <v>9.9531770543522469E-2</v>
      </c>
      <c r="H34" s="186"/>
      <c r="I34" s="186"/>
      <c r="J34" s="186"/>
      <c r="K34" s="186"/>
      <c r="M34" s="414"/>
      <c r="N34" s="278"/>
      <c r="P34" s="182"/>
    </row>
    <row r="35" spans="1:16" x14ac:dyDescent="0.5">
      <c r="A35" s="38" t="s">
        <v>2343</v>
      </c>
      <c r="C35" s="2">
        <f>'WSS-28'!L725</f>
        <v>9618570.9471681006</v>
      </c>
      <c r="D35" s="2">
        <f>'WSS-28'!L749</f>
        <v>6054663.2030453244</v>
      </c>
      <c r="E35" s="2">
        <f t="shared" si="2"/>
        <v>3563907.7441227762</v>
      </c>
      <c r="F35" s="2">
        <f>'WSS-28'!L757</f>
        <v>19887373.090099089</v>
      </c>
      <c r="G35" s="186">
        <f t="shared" si="3"/>
        <v>0.17920454994114152</v>
      </c>
      <c r="H35" s="186">
        <f>'WSS-28'!K782/170824745</f>
        <v>0.10860858595164301</v>
      </c>
      <c r="I35" s="186">
        <f>G60</f>
        <v>0.13002378867533318</v>
      </c>
      <c r="J35" s="186"/>
      <c r="K35" s="186"/>
      <c r="M35" s="414"/>
      <c r="N35" s="278"/>
    </row>
    <row r="36" spans="1:16" x14ac:dyDescent="0.5">
      <c r="A36" s="38" t="s">
        <v>2125</v>
      </c>
      <c r="C36" s="2">
        <f>'WSS-28'!M725</f>
        <v>137918383.42054722</v>
      </c>
      <c r="D36" s="2">
        <f>'WSS-28'!M749</f>
        <v>121100555.85402694</v>
      </c>
      <c r="E36" s="2">
        <f t="shared" si="2"/>
        <v>16817827.566520274</v>
      </c>
      <c r="F36" s="2">
        <f>'WSS-28'!M757</f>
        <v>424829680.24150598</v>
      </c>
      <c r="G36" s="186">
        <f t="shared" si="3"/>
        <v>3.9587223653864585E-2</v>
      </c>
      <c r="H36" s="186">
        <f>'WSS-28'!M782/137177942</f>
        <v>0.10592772998446062</v>
      </c>
      <c r="I36" s="186">
        <f t="shared" ref="I36:I44" si="4">G62</f>
        <v>6.5180129311073268E-2</v>
      </c>
      <c r="J36" s="186"/>
      <c r="K36" s="186"/>
      <c r="M36" s="414"/>
      <c r="N36" s="278"/>
    </row>
    <row r="37" spans="1:16" x14ac:dyDescent="0.5">
      <c r="A37" s="38" t="s">
        <v>2124</v>
      </c>
      <c r="B37" s="469"/>
      <c r="C37" s="2">
        <f>'WSS-28'!N725</f>
        <v>255960630.21993825</v>
      </c>
      <c r="D37" s="2">
        <f>'WSS-28'!N749</f>
        <v>232179125.80483481</v>
      </c>
      <c r="E37" s="2">
        <f t="shared" si="2"/>
        <v>23781504.415103436</v>
      </c>
      <c r="F37" s="2">
        <f>'WSS-28'!N757</f>
        <v>740452252.7798897</v>
      </c>
      <c r="G37" s="186">
        <f t="shared" si="3"/>
        <v>3.2117539417052511E-2</v>
      </c>
      <c r="H37" s="186">
        <f>'WSS-28'!N782/260450406</f>
        <v>0.10344419658919633</v>
      </c>
      <c r="I37" s="186">
        <f t="shared" si="4"/>
        <v>5.9293147691825497E-2</v>
      </c>
      <c r="J37" s="186"/>
      <c r="K37" s="186"/>
    </row>
    <row r="38" spans="1:16" x14ac:dyDescent="0.5">
      <c r="A38" s="38" t="s">
        <v>2119</v>
      </c>
      <c r="B38" s="469"/>
      <c r="C38" s="2">
        <f>'WSS-28'!O725</f>
        <v>81116100.933095604</v>
      </c>
      <c r="D38" s="2">
        <f>'WSS-28'!O749</f>
        <v>73131984.320313156</v>
      </c>
      <c r="E38" s="2">
        <f t="shared" si="2"/>
        <v>7984116.6127824485</v>
      </c>
      <c r="F38" s="2">
        <f>'WSS-28'!O757</f>
        <v>225535968.00398141</v>
      </c>
      <c r="G38" s="186">
        <f t="shared" si="3"/>
        <v>3.5400635576856208E-2</v>
      </c>
      <c r="H38" s="186">
        <f>'WSS-28'!O782/87356288</f>
        <v>0.10058967936000211</v>
      </c>
      <c r="I38" s="186">
        <f t="shared" si="4"/>
        <v>6.4490670524080113E-2</v>
      </c>
      <c r="J38" s="186"/>
      <c r="K38" s="186"/>
    </row>
    <row r="39" spans="1:16" x14ac:dyDescent="0.5">
      <c r="A39" s="38" t="s">
        <v>2120</v>
      </c>
      <c r="B39" s="469"/>
      <c r="C39" s="2">
        <f>'WSS-28'!P725</f>
        <v>20036277.988449719</v>
      </c>
      <c r="D39" s="2">
        <f>'WSS-28'!P749</f>
        <v>17154135.818310656</v>
      </c>
      <c r="E39" s="2">
        <f t="shared" si="2"/>
        <v>2882142.1701390631</v>
      </c>
      <c r="F39" s="2">
        <f>'WSS-28'!P757</f>
        <v>104333029.76968977</v>
      </c>
      <c r="G39" s="186">
        <f t="shared" si="3"/>
        <v>2.7624446222842908E-2</v>
      </c>
      <c r="H39" s="186">
        <f>'WSS-28'!P782/33930761</f>
        <v>0.10356732052075107</v>
      </c>
      <c r="I39" s="186">
        <f t="shared" si="4"/>
        <v>5.2770527382666597E-2</v>
      </c>
      <c r="J39" s="186"/>
      <c r="K39" s="186"/>
    </row>
    <row r="40" spans="1:16" x14ac:dyDescent="0.5">
      <c r="A40" s="38" t="s">
        <v>2468</v>
      </c>
      <c r="B40" s="469"/>
      <c r="C40" s="2">
        <f>'WSS-28'!Q725</f>
        <v>30869021.862646241</v>
      </c>
      <c r="D40" s="2">
        <f>'WSS-28'!Q749</f>
        <v>16900146.005577672</v>
      </c>
      <c r="E40" s="2">
        <f t="shared" si="2"/>
        <v>13968875.857068568</v>
      </c>
      <c r="F40" s="2">
        <f>'WSS-28'!Q757</f>
        <v>113340011.04474315</v>
      </c>
      <c r="G40" s="186">
        <f t="shared" si="3"/>
        <v>0.12324752510879927</v>
      </c>
      <c r="H40" s="186">
        <f>'WSS-28'!Q782/31621501</f>
        <v>-4.0795027408724209E-6</v>
      </c>
      <c r="I40" s="186">
        <f t="shared" si="4"/>
        <v>0.1232590585940995</v>
      </c>
      <c r="J40" s="186"/>
      <c r="K40" s="186"/>
    </row>
    <row r="41" spans="1:16" x14ac:dyDescent="0.5">
      <c r="A41" s="38" t="s">
        <v>2121</v>
      </c>
      <c r="B41" s="469"/>
      <c r="C41" s="2">
        <f>'WSS-28'!R725</f>
        <v>316348.41382896813</v>
      </c>
      <c r="D41" s="2">
        <f>'WSS-28'!R749</f>
        <v>204428.66191748853</v>
      </c>
      <c r="E41" s="2">
        <f t="shared" si="2"/>
        <v>111919.7519114796</v>
      </c>
      <c r="F41" s="2">
        <f>'WSS-28'!R757</f>
        <v>398642.54509885528</v>
      </c>
      <c r="G41" s="186">
        <f t="shared" si="3"/>
        <v>0.28075215073625864</v>
      </c>
      <c r="H41" s="186">
        <f>'WSS-28'!R782/104798</f>
        <v>1.7175900303440905E-4</v>
      </c>
      <c r="I41" s="186">
        <f t="shared" si="4"/>
        <v>0.28078586078729367</v>
      </c>
      <c r="J41" s="186"/>
      <c r="K41" s="186"/>
    </row>
    <row r="42" spans="1:16" x14ac:dyDescent="0.5">
      <c r="A42" s="38" t="s">
        <v>2346</v>
      </c>
      <c r="B42" s="469"/>
      <c r="C42" s="2">
        <f>'WSS-28'!S725</f>
        <v>274795.72459276643</v>
      </c>
      <c r="D42" s="2">
        <f>'WSS-28'!S749</f>
        <v>198502.37544828793</v>
      </c>
      <c r="E42" s="2">
        <f t="shared" si="2"/>
        <v>76293.349144478503</v>
      </c>
      <c r="F42" s="2">
        <f>'WSS-28'!S757</f>
        <v>615301.08940570417</v>
      </c>
      <c r="G42" s="186">
        <f t="shared" si="3"/>
        <v>0.12399352196526636</v>
      </c>
      <c r="H42" s="186">
        <f>'WSS-28'!S782/184346</f>
        <v>1.084916407190826E-5</v>
      </c>
      <c r="I42" s="186">
        <f t="shared" si="4"/>
        <v>0.12399594864723675</v>
      </c>
      <c r="J42" s="186"/>
    </row>
    <row r="43" spans="1:16" x14ac:dyDescent="0.5">
      <c r="A43" s="38" t="s">
        <v>2349</v>
      </c>
      <c r="B43" s="469"/>
      <c r="C43" s="2">
        <f>'WSS-28'!T725</f>
        <v>95108.064860777158</v>
      </c>
      <c r="D43" s="2">
        <f>'WSS-28'!T749</f>
        <v>42137.492051855894</v>
      </c>
      <c r="E43" s="2">
        <f t="shared" si="2"/>
        <v>52970.572808921264</v>
      </c>
      <c r="F43" s="2">
        <f>'WSS-28'!T757</f>
        <v>174628.96328485516</v>
      </c>
      <c r="G43" s="186">
        <f t="shared" si="3"/>
        <v>0.30333211520310949</v>
      </c>
      <c r="H43" s="186">
        <f>'WSS-28'!T782/59261</f>
        <v>-8.0356389531057532E-2</v>
      </c>
      <c r="I43" s="186">
        <f t="shared" si="4"/>
        <v>0.2829737140765976</v>
      </c>
      <c r="J43" s="186"/>
    </row>
    <row r="44" spans="1:16" x14ac:dyDescent="0.5">
      <c r="A44" s="38" t="s">
        <v>2347</v>
      </c>
      <c r="B44" s="469"/>
      <c r="C44" s="2">
        <f>'WSS-28'!U725</f>
        <v>6746.4824681938508</v>
      </c>
      <c r="D44" s="2">
        <f>'WSS-28'!U749</f>
        <v>35244.404465940257</v>
      </c>
      <c r="E44" s="2">
        <f t="shared" si="2"/>
        <v>-28497.921997746405</v>
      </c>
      <c r="F44" s="2">
        <f>'WSS-28'!U757</f>
        <v>105538.39738445418</v>
      </c>
      <c r="G44" s="186">
        <f t="shared" si="3"/>
        <v>-0.27002420639319047</v>
      </c>
      <c r="H44" s="186">
        <f>'WSS-28'!U782/2925</f>
        <v>0</v>
      </c>
      <c r="I44" s="186">
        <f t="shared" si="4"/>
        <v>7.2575432369823265E-2</v>
      </c>
      <c r="J44" s="186"/>
    </row>
    <row r="45" spans="1:16" x14ac:dyDescent="0.5">
      <c r="A45" s="413" t="s">
        <v>2348</v>
      </c>
      <c r="B45" s="509"/>
      <c r="C45" s="5">
        <f>'WSS-28'!V725</f>
        <v>162504.0000000002</v>
      </c>
      <c r="D45" s="5">
        <f>'WSS-28'!V749</f>
        <v>196302.7753636514</v>
      </c>
      <c r="E45" s="5">
        <f t="shared" ref="E45" si="5">C45-D45</f>
        <v>-33798.775363651192</v>
      </c>
      <c r="F45" s="5">
        <f>'WSS-28'!V757</f>
        <v>2576969.3631635425</v>
      </c>
      <c r="G45" s="187">
        <f t="shared" ref="G45" si="6">E45/F45</f>
        <v>-1.3115707096400671E-2</v>
      </c>
      <c r="H45" s="187">
        <f>'WSS-28'!V781/53220</f>
        <v>3.0534385569334876</v>
      </c>
      <c r="I45" s="187">
        <f t="shared" ref="I45" si="7">G70</f>
        <v>7.2575432369823265E-2</v>
      </c>
      <c r="J45" s="187"/>
      <c r="K45" s="186"/>
    </row>
    <row r="46" spans="1:16" x14ac:dyDescent="0.5">
      <c r="A46" s="188" t="s">
        <v>2552</v>
      </c>
      <c r="B46" s="474"/>
      <c r="C46" s="189">
        <f>'WSS-28'!W725</f>
        <v>38355.120000000003</v>
      </c>
      <c r="D46" s="189">
        <f>'WSS-28'!W749</f>
        <v>24384.708324035404</v>
      </c>
      <c r="E46" s="189">
        <f t="shared" si="2"/>
        <v>13970.411675964599</v>
      </c>
      <c r="F46" s="189">
        <f>'WSS-28'!W757</f>
        <v>290934.43683645804</v>
      </c>
      <c r="G46" s="190">
        <f t="shared" si="3"/>
        <v>4.801910639343715E-2</v>
      </c>
      <c r="H46" s="190">
        <f>'WSS-28'!V782/53220</f>
        <v>0</v>
      </c>
      <c r="I46" s="190">
        <f t="shared" ref="I46:I47" si="8">G72</f>
        <v>7.2598599663856622E-2</v>
      </c>
      <c r="J46" s="278"/>
      <c r="K46" s="186"/>
    </row>
    <row r="47" spans="1:16" x14ac:dyDescent="0.5">
      <c r="A47" s="38" t="s">
        <v>2488</v>
      </c>
      <c r="C47" s="2">
        <f>SUM(C30:C46)</f>
        <v>1586186238.4421148</v>
      </c>
      <c r="D47" s="2">
        <f>SUM(D30:D46)</f>
        <v>1336211707.7066622</v>
      </c>
      <c r="E47" s="2">
        <f>SUM(E30:E46)</f>
        <v>249974530.73545241</v>
      </c>
      <c r="F47" s="2">
        <f>SUM(F30:F46)</f>
        <v>5197832023.3400011</v>
      </c>
      <c r="G47" s="186">
        <f t="shared" si="3"/>
        <v>4.8092075621717537E-2</v>
      </c>
      <c r="H47" s="186">
        <f>'WSS-28'!F782/1588648074</f>
        <v>0.10685008327401277</v>
      </c>
      <c r="I47" s="186">
        <f t="shared" si="8"/>
        <v>7.2577356599132822E-2</v>
      </c>
      <c r="J47" s="186"/>
    </row>
    <row r="48" spans="1:16" x14ac:dyDescent="0.5">
      <c r="C48" s="2"/>
      <c r="D48" s="2"/>
      <c r="E48" s="2"/>
      <c r="F48" s="2"/>
      <c r="G48" s="186"/>
      <c r="H48" s="186"/>
      <c r="I48" s="186"/>
      <c r="J48" s="186"/>
    </row>
    <row r="49" spans="1:16" x14ac:dyDescent="0.5">
      <c r="B49" s="181"/>
      <c r="F49" s="181"/>
      <c r="G49" s="181"/>
      <c r="H49" s="181"/>
      <c r="I49" s="181"/>
      <c r="J49" s="181"/>
    </row>
    <row r="50" spans="1:16" x14ac:dyDescent="0.5">
      <c r="B50" s="181"/>
      <c r="F50" s="181"/>
      <c r="G50" s="181"/>
      <c r="H50" s="181"/>
      <c r="I50" s="181"/>
      <c r="J50" s="181"/>
    </row>
    <row r="51" spans="1:16" ht="17.399999999999999" x14ac:dyDescent="0.55000000000000004">
      <c r="A51" s="4" t="s">
        <v>1360</v>
      </c>
    </row>
    <row r="52" spans="1:16" x14ac:dyDescent="0.5">
      <c r="A52" s="390" t="s">
        <v>2117</v>
      </c>
    </row>
    <row r="53" spans="1:16" x14ac:dyDescent="0.5">
      <c r="A53" s="390"/>
      <c r="B53" s="469"/>
      <c r="D53" s="470" t="s">
        <v>2109</v>
      </c>
      <c r="E53" s="470" t="s">
        <v>2110</v>
      </c>
      <c r="F53" s="183"/>
      <c r="G53" s="184"/>
      <c r="K53" s="182"/>
      <c r="P53" s="182"/>
    </row>
    <row r="54" spans="1:16" ht="14.4" thickBot="1" x14ac:dyDescent="0.55000000000000004">
      <c r="A54" s="471"/>
      <c r="B54" s="472"/>
      <c r="C54" s="448" t="s">
        <v>438</v>
      </c>
      <c r="D54" s="448" t="s">
        <v>2111</v>
      </c>
      <c r="E54" s="448" t="s">
        <v>2112</v>
      </c>
      <c r="F54" s="473" t="s">
        <v>181</v>
      </c>
      <c r="G54" s="448" t="s">
        <v>2113</v>
      </c>
      <c r="K54" s="182"/>
      <c r="P54" s="182"/>
    </row>
    <row r="55" spans="1:16" x14ac:dyDescent="0.5">
      <c r="A55" s="390"/>
      <c r="B55" s="469"/>
      <c r="K55" s="182"/>
      <c r="P55" s="182"/>
    </row>
    <row r="56" spans="1:16" x14ac:dyDescent="0.5">
      <c r="A56" s="413" t="str">
        <f>A30</f>
        <v>Residential Rate RS</v>
      </c>
      <c r="B56" s="469"/>
      <c r="C56" s="185">
        <f>'WSS-28'!G789</f>
        <v>700487210.28428662</v>
      </c>
      <c r="D56" s="185">
        <f>'WSS-28'!G802</f>
        <v>584183741.77866483</v>
      </c>
      <c r="E56" s="185">
        <f t="shared" ref="E56:E72" si="9">C56-D56</f>
        <v>116303468.50562179</v>
      </c>
      <c r="F56" s="185">
        <f>'WSS-28'!G806</f>
        <v>2446199408.7285142</v>
      </c>
      <c r="G56" s="186">
        <f t="shared" ref="G56:G73" si="10">E56/F56</f>
        <v>4.7544557524880612E-2</v>
      </c>
      <c r="K56" s="182"/>
      <c r="P56" s="182"/>
    </row>
    <row r="57" spans="1:16" x14ac:dyDescent="0.5">
      <c r="A57" s="413" t="str">
        <f>A31</f>
        <v>Residential Net Metering Rate NMS1</v>
      </c>
      <c r="B57" s="469"/>
      <c r="C57" s="2">
        <f>'WSS-28'!H789</f>
        <v>1153558.4659934915</v>
      </c>
      <c r="D57" s="2">
        <f>'WSS-28'!H802</f>
        <v>1154891.7237382957</v>
      </c>
      <c r="E57" s="2">
        <f t="shared" si="9"/>
        <v>-1333.2577448042575</v>
      </c>
      <c r="F57" s="2">
        <f>'WSS-28'!H806</f>
        <v>11340629.922834281</v>
      </c>
      <c r="G57" s="186">
        <f t="shared" si="10"/>
        <v>-1.1756469912837489E-4</v>
      </c>
      <c r="K57" s="182"/>
      <c r="P57" s="182"/>
    </row>
    <row r="58" spans="1:16" x14ac:dyDescent="0.5">
      <c r="A58" s="413" t="str">
        <f t="shared" ref="A58:A72" si="11">A32</f>
        <v>General Service Rate GS</v>
      </c>
      <c r="B58" s="469"/>
      <c r="C58" s="2">
        <f>'WSS-28'!I789</f>
        <v>256755582.31170341</v>
      </c>
      <c r="D58" s="2">
        <f>'WSS-28'!I802</f>
        <v>169272776.20142403</v>
      </c>
      <c r="E58" s="2">
        <f t="shared" si="9"/>
        <v>87482806.110279381</v>
      </c>
      <c r="F58" s="2">
        <f>'WSS-28'!I806</f>
        <v>610148565.20987535</v>
      </c>
      <c r="G58" s="186">
        <f t="shared" si="10"/>
        <v>0.14337951623337433</v>
      </c>
      <c r="K58" s="182"/>
      <c r="P58" s="182"/>
    </row>
    <row r="59" spans="1:16" x14ac:dyDescent="0.5">
      <c r="A59" s="413" t="str">
        <f t="shared" si="11"/>
        <v>All Electric Schools Rate AES</v>
      </c>
      <c r="B59" s="469"/>
      <c r="C59" s="2">
        <f>'WSS-28'!J789</f>
        <v>13812903.159021668</v>
      </c>
      <c r="D59" s="2">
        <f>'WSS-28'!J802</f>
        <v>10431339.147980424</v>
      </c>
      <c r="E59" s="2">
        <f t="shared" si="9"/>
        <v>3381564.0110412445</v>
      </c>
      <c r="F59" s="2">
        <f>'WSS-28'!J806</f>
        <v>38738639.515784226</v>
      </c>
      <c r="G59" s="186">
        <f t="shared" si="10"/>
        <v>8.7291759682562198E-2</v>
      </c>
      <c r="K59" s="182"/>
      <c r="P59" s="182"/>
    </row>
    <row r="60" spans="1:16" x14ac:dyDescent="0.5">
      <c r="A60" s="413" t="str">
        <f t="shared" si="11"/>
        <v>Power Service Secondary Rate PSS</v>
      </c>
      <c r="C60" s="2">
        <f>'WSS-28'!K789</f>
        <v>192819907.0645768</v>
      </c>
      <c r="D60" s="2">
        <f>'WSS-28'!K802</f>
        <v>133156612.75622003</v>
      </c>
      <c r="E60" s="2">
        <f t="shared" si="9"/>
        <v>59663294.308356777</v>
      </c>
      <c r="F60" s="2">
        <f>'WSS-28'!K806</f>
        <v>458864450.23790866</v>
      </c>
      <c r="G60" s="186">
        <f t="shared" si="10"/>
        <v>0.13002378867533318</v>
      </c>
    </row>
    <row r="61" spans="1:16" x14ac:dyDescent="0.5">
      <c r="A61" s="413" t="str">
        <f t="shared" si="11"/>
        <v>Power Service Primary Rate PSP</v>
      </c>
      <c r="C61" s="2">
        <f>'WSS-28'!L789</f>
        <v>10666897.744947476</v>
      </c>
      <c r="D61" s="2">
        <f>'WSS-28'!L802</f>
        <v>6320340.6319567468</v>
      </c>
      <c r="E61" s="2">
        <f t="shared" si="9"/>
        <v>4346557.1129907295</v>
      </c>
      <c r="F61" s="2">
        <f>'WSS-28'!L806</f>
        <v>19887373.090099089</v>
      </c>
      <c r="G61" s="186">
        <f t="shared" si="10"/>
        <v>0.21855863483320775</v>
      </c>
    </row>
    <row r="62" spans="1:16" x14ac:dyDescent="0.5">
      <c r="A62" s="413" t="str">
        <f t="shared" si="11"/>
        <v>Time of Day Secondary Rate TODS</v>
      </c>
      <c r="C62" s="2">
        <f>'WSS-28'!M789</f>
        <v>152481820.86097458</v>
      </c>
      <c r="D62" s="2">
        <f>'WSS-28'!M802</f>
        <v>124791367.36765131</v>
      </c>
      <c r="E62" s="2">
        <f t="shared" si="9"/>
        <v>27690453.493323267</v>
      </c>
      <c r="F62" s="2">
        <f>'WSS-28'!M806</f>
        <v>424829680.24150598</v>
      </c>
      <c r="G62" s="186">
        <f t="shared" si="10"/>
        <v>6.5180129311073268E-2</v>
      </c>
    </row>
    <row r="63" spans="1:16" x14ac:dyDescent="0.5">
      <c r="A63" s="413" t="str">
        <f t="shared" si="11"/>
        <v>Time of Day Primary  Rate TODP</v>
      </c>
      <c r="B63" s="469"/>
      <c r="C63" s="2">
        <f>'WSS-28'!N789</f>
        <v>282913547.64112037</v>
      </c>
      <c r="D63" s="2">
        <f>'WSS-28'!N802</f>
        <v>239009802.85829747</v>
      </c>
      <c r="E63" s="2">
        <f t="shared" si="9"/>
        <v>43903744.782822907</v>
      </c>
      <c r="F63" s="2">
        <f>'WSS-28'!N806</f>
        <v>740452252.7798897</v>
      </c>
      <c r="G63" s="186">
        <f t="shared" si="10"/>
        <v>5.9293147691825497E-2</v>
      </c>
    </row>
    <row r="64" spans="1:16" x14ac:dyDescent="0.5">
      <c r="A64" s="413" t="str">
        <f t="shared" si="11"/>
        <v>Retail Transmission Service Rate RTS</v>
      </c>
      <c r="B64" s="469"/>
      <c r="C64" s="2">
        <f>'WSS-28'!O789</f>
        <v>89904089.9059342</v>
      </c>
      <c r="D64" s="2">
        <f>'WSS-28'!O802</f>
        <v>75359124.10205996</v>
      </c>
      <c r="E64" s="2">
        <f t="shared" si="9"/>
        <v>14544965.803874239</v>
      </c>
      <c r="F64" s="2">
        <f>'WSS-28'!O806</f>
        <v>225535968.00398141</v>
      </c>
      <c r="G64" s="186">
        <f t="shared" si="10"/>
        <v>6.4490670524080113E-2</v>
      </c>
    </row>
    <row r="65" spans="1:7" x14ac:dyDescent="0.5">
      <c r="A65" s="413" t="str">
        <f t="shared" si="11"/>
        <v>Fluctuating Load Service Rate FLS</v>
      </c>
      <c r="B65" s="469"/>
      <c r="C65" s="2">
        <f>'WSS-28'!P789</f>
        <v>23550438.387091648</v>
      </c>
      <c r="D65" s="2">
        <f>'WSS-28'!P802</f>
        <v>18044729.382713664</v>
      </c>
      <c r="E65" s="2">
        <f t="shared" si="9"/>
        <v>5505709.0043779835</v>
      </c>
      <c r="F65" s="2">
        <f>'WSS-28'!P806</f>
        <v>104333029.76968977</v>
      </c>
      <c r="G65" s="186">
        <f t="shared" si="10"/>
        <v>5.2770527382666597E-2</v>
      </c>
    </row>
    <row r="66" spans="1:7" x14ac:dyDescent="0.5">
      <c r="A66" s="413" t="str">
        <f t="shared" si="11"/>
        <v>Lighting Rate LS &amp; RLS</v>
      </c>
      <c r="B66" s="469"/>
      <c r="C66" s="2">
        <f>'WSS-28'!Q789</f>
        <v>30870772.810713783</v>
      </c>
      <c r="D66" s="2">
        <f>'WSS-28'!Q802</f>
        <v>16900589.748293903</v>
      </c>
      <c r="E66" s="2">
        <f t="shared" si="9"/>
        <v>13970183.06241988</v>
      </c>
      <c r="F66" s="2">
        <f>'WSS-28'!Q806</f>
        <v>113340011.04474315</v>
      </c>
      <c r="G66" s="186">
        <f t="shared" si="10"/>
        <v>0.1232590585940995</v>
      </c>
    </row>
    <row r="67" spans="1:7" x14ac:dyDescent="0.5">
      <c r="A67" s="413" t="str">
        <f t="shared" si="11"/>
        <v>Lighting Rate LE</v>
      </c>
      <c r="B67" s="469"/>
      <c r="C67" s="2">
        <f>'WSS-28'!R789</f>
        <v>316366.41382896813</v>
      </c>
      <c r="D67" s="2">
        <f>'WSS-28'!R802</f>
        <v>204433.22365694851</v>
      </c>
      <c r="E67" s="2">
        <f t="shared" si="9"/>
        <v>111933.19017201962</v>
      </c>
      <c r="F67" s="2">
        <f>'WSS-28'!R806</f>
        <v>398642.54509885528</v>
      </c>
      <c r="G67" s="186">
        <f t="shared" si="10"/>
        <v>0.28078586078729367</v>
      </c>
    </row>
    <row r="68" spans="1:7" x14ac:dyDescent="0.5">
      <c r="A68" s="413" t="str">
        <f t="shared" si="11"/>
        <v>Lighting Rate TE</v>
      </c>
      <c r="B68" s="469"/>
      <c r="C68" s="2">
        <f>'WSS-28'!S789</f>
        <v>274797.72459276643</v>
      </c>
      <c r="D68" s="2">
        <f>'WSS-28'!S802</f>
        <v>198502.88230822791</v>
      </c>
      <c r="E68" s="2">
        <f t="shared" si="9"/>
        <v>76294.842284538521</v>
      </c>
      <c r="F68" s="2">
        <f>'WSS-28'!S806</f>
        <v>615301.08940570417</v>
      </c>
      <c r="G68" s="186">
        <f t="shared" si="10"/>
        <v>0.12399594864723675</v>
      </c>
    </row>
    <row r="69" spans="1:7" x14ac:dyDescent="0.5">
      <c r="A69" s="413" t="str">
        <f t="shared" si="11"/>
        <v>Outdoor Sports Lighting Rate OSL</v>
      </c>
      <c r="B69" s="469"/>
      <c r="C69" s="2">
        <f>'WSS-28'!T789</f>
        <v>90346.064860777158</v>
      </c>
      <c r="D69" s="2">
        <f>'WSS-28'!T802</f>
        <v>40930.658534715898</v>
      </c>
      <c r="E69" s="2">
        <f t="shared" si="9"/>
        <v>49415.40632606126</v>
      </c>
      <c r="F69" s="2">
        <f>'WSS-28'!T806</f>
        <v>174628.96328485516</v>
      </c>
      <c r="G69" s="186">
        <f t="shared" si="10"/>
        <v>0.2829737140765976</v>
      </c>
    </row>
    <row r="70" spans="1:7" x14ac:dyDescent="0.5">
      <c r="A70" s="413" t="str">
        <f t="shared" si="11"/>
        <v>Electric Vehicle Charging Rate EV</v>
      </c>
      <c r="B70" s="469"/>
      <c r="C70" s="2">
        <f>'WSS-28'!U789</f>
        <v>55177.862468193845</v>
      </c>
      <c r="D70" s="2">
        <f>'WSS-28'!U802</f>
        <v>47518.36764639886</v>
      </c>
      <c r="E70" s="2">
        <f t="shared" si="9"/>
        <v>7659.4948217949859</v>
      </c>
      <c r="F70" s="2">
        <f>'WSS-28'!U806</f>
        <v>105538.39738445418</v>
      </c>
      <c r="G70" s="186">
        <f t="shared" si="10"/>
        <v>7.2575432369823265E-2</v>
      </c>
    </row>
    <row r="71" spans="1:7" x14ac:dyDescent="0.5">
      <c r="A71" s="413" t="str">
        <f t="shared" si="11"/>
        <v>Solar Share Rate SSP</v>
      </c>
      <c r="B71" s="469"/>
      <c r="C71" s="2">
        <f>'WSS-28'!V789</f>
        <v>458350.02000000025</v>
      </c>
      <c r="D71" s="2">
        <f>'WSS-28'!V802</f>
        <v>271279.02333687083</v>
      </c>
      <c r="E71" s="2">
        <f t="shared" si="9"/>
        <v>187070.99666312942</v>
      </c>
      <c r="F71" s="2">
        <f>'WSS-28'!V806</f>
        <v>2576969.3631635425</v>
      </c>
      <c r="G71" s="186">
        <f t="shared" si="10"/>
        <v>7.2593411212881889E-2</v>
      </c>
    </row>
    <row r="72" spans="1:7" x14ac:dyDescent="0.5">
      <c r="A72" s="188" t="str">
        <f t="shared" si="11"/>
        <v>Business Solar Rate BS</v>
      </c>
      <c r="B72" s="474"/>
      <c r="C72" s="189">
        <f>'WSS-28'!W789</f>
        <v>47933.62</v>
      </c>
      <c r="D72" s="189">
        <f>'WSS-28'!W802</f>
        <v>26812.187291680402</v>
      </c>
      <c r="E72" s="189">
        <f t="shared" si="9"/>
        <v>21121.4327083196</v>
      </c>
      <c r="F72" s="189">
        <f>'WSS-28'!W806</f>
        <v>290934.43683645804</v>
      </c>
      <c r="G72" s="190">
        <f t="shared" si="10"/>
        <v>7.2598599663856622E-2</v>
      </c>
    </row>
    <row r="73" spans="1:7" x14ac:dyDescent="0.5">
      <c r="C73" s="2">
        <f>SUM(C56:C72)</f>
        <v>1756659700.3421144</v>
      </c>
      <c r="D73" s="2">
        <f>SUM(D56:D72)</f>
        <v>1379414792.0417755</v>
      </c>
      <c r="E73" s="2">
        <f>SUM(E56:E72)</f>
        <v>377244908.30033934</v>
      </c>
      <c r="F73" s="2">
        <f>SUM(F56:F72)</f>
        <v>5197832023.3400011</v>
      </c>
      <c r="G73" s="186">
        <f t="shared" si="10"/>
        <v>7.2577356599132822E-2</v>
      </c>
    </row>
  </sheetData>
  <mergeCells count="2">
    <mergeCell ref="M2:P2"/>
    <mergeCell ref="A25:I25"/>
  </mergeCells>
  <conditionalFormatting sqref="K32:K35">
    <cfRule type="cellIs" dxfId="3" priority="1" stopIfTrue="1" operator="lessThan">
      <formula>0</formula>
    </cfRule>
    <cfRule type="cellIs" dxfId="2" priority="2" stopIfTrue="1" operator="greaterThan">
      <formula>0</formula>
    </cfRule>
    <cfRule type="cellIs" dxfId="1" priority="3" stopIfTrue="1" operator="lessThan">
      <formula>0</formula>
    </cfRule>
    <cfRule type="cellIs" dxfId="0" priority="4" stopIfTrue="1" operator="greaterThan">
      <formula>0</formula>
    </cfRule>
  </conditionalFormatting>
  <pageMargins left="0.7" right="0.7" top="0.75" bottom="0.75" header="0.3" footer="0.3"/>
  <pageSetup scale="71" orientation="landscape" r:id="rId1"/>
  <rowBreaks count="1" manualBreakCount="1">
    <brk id="4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V316"/>
  <sheetViews>
    <sheetView zoomScale="75" zoomScaleNormal="75" workbookViewId="0">
      <pane xSplit="1" topLeftCell="B1" activePane="topRight" state="frozen"/>
      <selection activeCell="L34" sqref="L34"/>
      <selection pane="topRight"/>
    </sheetView>
  </sheetViews>
  <sheetFormatPr defaultColWidth="9.15625" defaultRowHeight="15" x14ac:dyDescent="0.5"/>
  <cols>
    <col min="1" max="1" width="61.26171875" style="6" bestFit="1" customWidth="1"/>
    <col min="2" max="2" width="18.41796875" style="10" customWidth="1"/>
    <col min="3" max="3" width="20.578125" style="10" bestFit="1" customWidth="1"/>
    <col min="4" max="4" width="19.41796875" style="15" bestFit="1" customWidth="1"/>
    <col min="5" max="6" width="19.41796875" style="6" customWidth="1"/>
    <col min="7" max="8" width="18.41796875" style="6" bestFit="1" customWidth="1"/>
    <col min="9" max="9" width="18.578125" style="6" bestFit="1" customWidth="1"/>
    <col min="10" max="11" width="18.41796875" style="6" bestFit="1" customWidth="1"/>
    <col min="12" max="12" width="19.83984375" style="6" bestFit="1" customWidth="1"/>
    <col min="13" max="13" width="16" style="6" bestFit="1" customWidth="1"/>
    <col min="14" max="14" width="14" style="6" bestFit="1" customWidth="1"/>
    <col min="15" max="15" width="19.578125" style="6" customWidth="1"/>
    <col min="16" max="16" width="13.15625" style="6" bestFit="1" customWidth="1"/>
    <col min="17" max="17" width="14" style="6" bestFit="1" customWidth="1"/>
    <col min="18" max="18" width="12.578125" style="6" customWidth="1"/>
    <col min="19" max="19" width="11.83984375" style="6" bestFit="1" customWidth="1"/>
    <col min="20" max="20" width="11.578125" style="6" customWidth="1"/>
    <col min="21" max="16384" width="9.15625" style="6"/>
  </cols>
  <sheetData>
    <row r="1" spans="1:20" ht="17.7" x14ac:dyDescent="0.6">
      <c r="A1" s="8" t="s">
        <v>1742</v>
      </c>
    </row>
    <row r="2" spans="1:20" x14ac:dyDescent="0.5">
      <c r="A2" s="6" t="s">
        <v>928</v>
      </c>
    </row>
    <row r="3" spans="1:20" x14ac:dyDescent="0.5">
      <c r="B3" s="276" t="s">
        <v>2168</v>
      </c>
      <c r="O3" s="9"/>
    </row>
    <row r="4" spans="1:20" x14ac:dyDescent="0.5">
      <c r="A4" s="9"/>
      <c r="B4" s="276" t="s">
        <v>2169</v>
      </c>
      <c r="C4" s="168"/>
      <c r="D4" s="442"/>
      <c r="E4" s="167"/>
      <c r="F4" s="167" t="s">
        <v>934</v>
      </c>
      <c r="G4" s="169"/>
      <c r="L4" s="9"/>
      <c r="M4" s="9"/>
      <c r="N4" s="9"/>
      <c r="O4" s="9"/>
      <c r="Q4" s="9"/>
    </row>
    <row r="5" spans="1:20" x14ac:dyDescent="0.5">
      <c r="A5" s="9"/>
      <c r="B5" s="276" t="s">
        <v>2097</v>
      </c>
      <c r="C5" s="167"/>
      <c r="D5" s="443" t="s">
        <v>2098</v>
      </c>
      <c r="E5" s="169" t="s">
        <v>2272</v>
      </c>
      <c r="F5" s="167" t="s">
        <v>856</v>
      </c>
      <c r="G5" s="167" t="s">
        <v>525</v>
      </c>
      <c r="L5" s="9"/>
      <c r="M5" s="9"/>
      <c r="N5" s="9"/>
      <c r="O5" s="9"/>
      <c r="Q5" s="9"/>
      <c r="R5" s="9"/>
      <c r="S5" s="9"/>
      <c r="T5" s="9"/>
    </row>
    <row r="6" spans="1:20" s="15" customFormat="1" ht="15.3" thickBot="1" x14ac:dyDescent="0.55000000000000004">
      <c r="A6" s="397"/>
      <c r="B6" s="277">
        <v>44742</v>
      </c>
      <c r="C6" s="170" t="s">
        <v>2333</v>
      </c>
      <c r="D6" s="170" t="s">
        <v>2099</v>
      </c>
      <c r="E6" s="21" t="s">
        <v>103</v>
      </c>
      <c r="F6" s="21" t="s">
        <v>103</v>
      </c>
      <c r="G6" s="21" t="s">
        <v>526</v>
      </c>
      <c r="N6" s="18"/>
      <c r="O6" s="150"/>
    </row>
    <row r="7" spans="1:20" s="15" customFormat="1" x14ac:dyDescent="0.5">
      <c r="A7" s="150"/>
      <c r="B7" s="151"/>
      <c r="C7" s="18"/>
      <c r="D7" s="18"/>
      <c r="E7" s="18"/>
      <c r="F7" s="18"/>
      <c r="L7" s="18"/>
      <c r="M7" s="18"/>
      <c r="N7" s="153"/>
      <c r="O7" s="150"/>
    </row>
    <row r="8" spans="1:20" s="15" customFormat="1" x14ac:dyDescent="0.5">
      <c r="A8" s="387" t="s">
        <v>2114</v>
      </c>
      <c r="B8" s="403">
        <f>(161405939/365+48922/365)-B10</f>
        <v>441695.83493150683</v>
      </c>
      <c r="C8" s="404">
        <f>(5942534922+152971+1580188+175576-819961-3865)-C10</f>
        <v>5933862870.8046446</v>
      </c>
      <c r="D8" s="404">
        <f>(611318012.98+174784.03)-D10</f>
        <v>610498742.60889256</v>
      </c>
      <c r="E8" s="404">
        <v>1010009.7690536255</v>
      </c>
      <c r="F8" s="404">
        <v>1938073.4555977816</v>
      </c>
      <c r="G8" s="404">
        <v>4306026.4117211783</v>
      </c>
      <c r="H8" s="454"/>
      <c r="L8" s="24"/>
      <c r="M8" s="24"/>
      <c r="N8" s="24"/>
    </row>
    <row r="9" spans="1:20" s="15" customFormat="1" x14ac:dyDescent="0.5">
      <c r="A9" s="213"/>
      <c r="B9" s="403"/>
      <c r="C9" s="404"/>
      <c r="D9" s="404"/>
      <c r="E9" s="404"/>
      <c r="F9" s="404"/>
      <c r="G9" s="404"/>
      <c r="L9" s="18"/>
      <c r="M9" s="18"/>
      <c r="N9" s="171"/>
      <c r="R9" s="163"/>
      <c r="T9" s="163"/>
    </row>
    <row r="10" spans="1:20" s="15" customFormat="1" x14ac:dyDescent="0.5">
      <c r="A10" s="387" t="s">
        <v>2575</v>
      </c>
      <c r="B10" s="403">
        <f>7755/12</f>
        <v>646.25</v>
      </c>
      <c r="C10" s="404">
        <v>9756960.1953553148</v>
      </c>
      <c r="D10" s="404">
        <f>C10*0.08963+(3380363*(C10/C8))+236056*0.53+(C10/(C8+C10))*(3380363-10160333)</f>
        <v>994054.40110739076</v>
      </c>
      <c r="E10" s="404">
        <v>1031.482039309476</v>
      </c>
      <c r="F10" s="404">
        <v>6226.5405145583227</v>
      </c>
      <c r="G10" s="404">
        <v>12948.562385265441</v>
      </c>
      <c r="L10" s="18"/>
      <c r="M10" s="18"/>
      <c r="N10" s="171"/>
      <c r="R10" s="163"/>
      <c r="T10" s="163"/>
    </row>
    <row r="11" spans="1:20" s="15" customFormat="1" x14ac:dyDescent="0.5">
      <c r="A11" s="213"/>
      <c r="B11" s="403"/>
      <c r="C11" s="404"/>
      <c r="D11" s="404"/>
      <c r="E11" s="404"/>
      <c r="F11" s="404"/>
      <c r="G11" s="404"/>
      <c r="L11" s="18"/>
      <c r="M11" s="18"/>
      <c r="N11" s="171"/>
      <c r="R11" s="163"/>
      <c r="T11" s="163"/>
    </row>
    <row r="12" spans="1:20" s="15" customFormat="1" x14ac:dyDescent="0.5">
      <c r="A12" s="387" t="s">
        <v>2185</v>
      </c>
      <c r="B12" s="403">
        <f>23120463/365+7095842/365</f>
        <v>82784.397260273967</v>
      </c>
      <c r="C12" s="404">
        <f>695268477+983167862-286443</f>
        <v>1678149896</v>
      </c>
      <c r="D12" s="404">
        <f>224799513.08</f>
        <v>224799513.08000001</v>
      </c>
      <c r="E12" s="404">
        <v>272317.21231124201</v>
      </c>
      <c r="F12" s="404">
        <v>498640.93691638455</v>
      </c>
      <c r="G12" s="404">
        <v>805142.80538294511</v>
      </c>
      <c r="H12" s="454"/>
      <c r="L12" s="172"/>
      <c r="M12" s="24"/>
      <c r="N12" s="24"/>
    </row>
    <row r="13" spans="1:20" s="15" customFormat="1" x14ac:dyDescent="0.5">
      <c r="A13" s="213"/>
      <c r="B13" s="403"/>
      <c r="C13" s="404"/>
      <c r="D13" s="404"/>
      <c r="E13" s="405"/>
      <c r="F13" s="405"/>
      <c r="G13" s="405"/>
    </row>
    <row r="14" spans="1:20" s="15" customFormat="1" x14ac:dyDescent="0.5">
      <c r="A14" s="387" t="s">
        <v>2118</v>
      </c>
      <c r="B14" s="403">
        <f>68064/365+86627/365</f>
        <v>423.81095890410961</v>
      </c>
      <c r="C14" s="404">
        <f>5699945+122849054</f>
        <v>128548999</v>
      </c>
      <c r="D14" s="404">
        <v>11901436</v>
      </c>
      <c r="E14" s="404">
        <v>17473.851647119453</v>
      </c>
      <c r="F14" s="405">
        <v>51033.053505076692</v>
      </c>
      <c r="G14" s="405">
        <v>58360.99794267011</v>
      </c>
      <c r="H14" s="454"/>
    </row>
    <row r="15" spans="1:20" s="15" customFormat="1" x14ac:dyDescent="0.5">
      <c r="B15" s="403"/>
      <c r="C15" s="404"/>
      <c r="D15" s="404"/>
      <c r="E15" s="405"/>
      <c r="F15" s="405"/>
      <c r="G15" s="405"/>
    </row>
    <row r="16" spans="1:20" s="15" customFormat="1" x14ac:dyDescent="0.5">
      <c r="A16" s="387" t="s">
        <v>2344</v>
      </c>
      <c r="B16" s="403">
        <f>1620856/365</f>
        <v>4440.7013698630135</v>
      </c>
      <c r="C16" s="404">
        <f>1699201046-7741</f>
        <v>1699193305</v>
      </c>
      <c r="D16" s="404">
        <v>169760856.79999998</v>
      </c>
      <c r="E16" s="404">
        <v>253946.70088653482</v>
      </c>
      <c r="F16" s="404">
        <v>444831.27870906284</v>
      </c>
      <c r="G16" s="404">
        <v>594859.36407179828</v>
      </c>
      <c r="H16" s="454"/>
      <c r="N16" s="18"/>
    </row>
    <row r="17" spans="1:20" s="15" customFormat="1" x14ac:dyDescent="0.5">
      <c r="A17" s="213"/>
      <c r="B17" s="403"/>
      <c r="C17" s="404"/>
      <c r="D17" s="404"/>
      <c r="E17" s="404"/>
      <c r="F17" s="404"/>
      <c r="G17" s="404"/>
      <c r="N17" s="18"/>
    </row>
    <row r="18" spans="1:20" s="15" customFormat="1" x14ac:dyDescent="0.5">
      <c r="A18" s="387" t="s">
        <v>2343</v>
      </c>
      <c r="B18" s="403">
        <f>74378/365</f>
        <v>203.77534246575343</v>
      </c>
      <c r="C18" s="404">
        <f>78721459</f>
        <v>78721459</v>
      </c>
      <c r="D18" s="404">
        <v>9429914.5700000003</v>
      </c>
      <c r="E18" s="404">
        <v>11032.760543498471</v>
      </c>
      <c r="F18" s="404">
        <v>19114.763124868594</v>
      </c>
      <c r="G18" s="404">
        <v>24419.755631361306</v>
      </c>
      <c r="H18" s="454"/>
      <c r="N18" s="18"/>
    </row>
    <row r="19" spans="1:20" s="15" customFormat="1" x14ac:dyDescent="0.5">
      <c r="B19" s="403"/>
      <c r="C19" s="404"/>
      <c r="D19" s="404"/>
      <c r="E19" s="404"/>
      <c r="F19" s="404"/>
      <c r="G19" s="404"/>
      <c r="L19" s="18"/>
      <c r="M19" s="18"/>
      <c r="N19" s="153"/>
    </row>
    <row r="20" spans="1:20" s="15" customFormat="1" x14ac:dyDescent="0.5">
      <c r="A20" s="387" t="s">
        <v>2342</v>
      </c>
      <c r="B20" s="403">
        <f>279694/365</f>
        <v>766.28493150684926</v>
      </c>
      <c r="C20" s="404">
        <f>1784203069-645</f>
        <v>1784202424</v>
      </c>
      <c r="D20" s="404">
        <v>134172118.09000002</v>
      </c>
      <c r="E20" s="404">
        <v>244227.26935782068</v>
      </c>
      <c r="F20" s="404">
        <v>393526.60100076534</v>
      </c>
      <c r="G20" s="404">
        <v>507680.84211596829</v>
      </c>
      <c r="H20" s="454"/>
      <c r="L20" s="24"/>
      <c r="M20" s="24"/>
      <c r="N20" s="24"/>
    </row>
    <row r="21" spans="1:20" s="15" customFormat="1" x14ac:dyDescent="0.5">
      <c r="A21" s="213"/>
      <c r="B21" s="403"/>
      <c r="C21" s="404"/>
      <c r="D21" s="404"/>
      <c r="E21" s="404"/>
      <c r="F21" s="404"/>
      <c r="G21" s="404"/>
      <c r="L21" s="18"/>
      <c r="M21" s="18"/>
      <c r="N21" s="171"/>
      <c r="R21" s="163"/>
      <c r="T21" s="163"/>
    </row>
    <row r="22" spans="1:20" s="15" customFormat="1" x14ac:dyDescent="0.5">
      <c r="A22" s="387" t="s">
        <v>2341</v>
      </c>
      <c r="B22" s="403">
        <f>93271/365</f>
        <v>255.53698630136986</v>
      </c>
      <c r="C22" s="404">
        <v>3951918371</v>
      </c>
      <c r="D22" s="404">
        <v>250417885.84999999</v>
      </c>
      <c r="E22" s="404">
        <v>447085.04602882155</v>
      </c>
      <c r="F22" s="404">
        <v>640911.13921073684</v>
      </c>
      <c r="G22" s="404">
        <v>821887.66590567969</v>
      </c>
      <c r="H22" s="454"/>
      <c r="L22" s="18"/>
      <c r="M22" s="18"/>
      <c r="N22" s="171"/>
      <c r="R22" s="163"/>
      <c r="T22" s="163"/>
    </row>
    <row r="23" spans="1:20" s="15" customFormat="1" x14ac:dyDescent="0.5">
      <c r="A23" s="213"/>
      <c r="B23" s="403"/>
      <c r="C23" s="404"/>
      <c r="D23" s="404"/>
      <c r="E23" s="404"/>
      <c r="F23" s="404"/>
      <c r="G23" s="404"/>
      <c r="L23" s="18"/>
      <c r="M23" s="18"/>
      <c r="N23" s="171"/>
      <c r="R23" s="163"/>
      <c r="T23" s="163"/>
    </row>
    <row r="24" spans="1:20" s="15" customFormat="1" x14ac:dyDescent="0.5">
      <c r="A24" s="387" t="s">
        <v>2119</v>
      </c>
      <c r="B24" s="403">
        <f>7300/365</f>
        <v>20</v>
      </c>
      <c r="C24" s="404">
        <v>1404629847</v>
      </c>
      <c r="D24" s="404">
        <v>82247980.760000005</v>
      </c>
      <c r="E24" s="404">
        <v>145532.91289106099</v>
      </c>
      <c r="F24" s="404">
        <v>222254.12773437682</v>
      </c>
      <c r="G24" s="404">
        <v>252917.9920139696</v>
      </c>
      <c r="H24" s="454"/>
      <c r="L24" s="24"/>
      <c r="M24" s="24"/>
      <c r="N24" s="24"/>
    </row>
    <row r="25" spans="1:20" s="15" customFormat="1" x14ac:dyDescent="0.5">
      <c r="A25" s="213"/>
      <c r="B25" s="404"/>
      <c r="C25" s="406"/>
      <c r="D25" s="404"/>
      <c r="E25" s="405"/>
      <c r="F25" s="405"/>
      <c r="G25" s="405"/>
    </row>
    <row r="26" spans="1:20" s="15" customFormat="1" x14ac:dyDescent="0.5">
      <c r="A26" s="387" t="s">
        <v>2120</v>
      </c>
      <c r="B26" s="403">
        <f>365/365</f>
        <v>1</v>
      </c>
      <c r="C26" s="404">
        <v>605890405</v>
      </c>
      <c r="D26" s="404">
        <v>32956814.48</v>
      </c>
      <c r="E26" s="404">
        <v>60264.978990539406</v>
      </c>
      <c r="F26" s="404">
        <v>148927.31322082225</v>
      </c>
      <c r="G26" s="404">
        <v>148927.31322082225</v>
      </c>
      <c r="H26" s="454"/>
      <c r="N26" s="18"/>
    </row>
    <row r="27" spans="1:20" s="15" customFormat="1" x14ac:dyDescent="0.5">
      <c r="A27" s="213"/>
      <c r="B27" s="404"/>
      <c r="C27" s="404"/>
      <c r="D27" s="404"/>
      <c r="E27" s="405"/>
      <c r="F27" s="405"/>
      <c r="G27" s="405"/>
      <c r="L27" s="18"/>
      <c r="M27" s="18"/>
      <c r="N27" s="153"/>
    </row>
    <row r="28" spans="1:20" s="15" customFormat="1" x14ac:dyDescent="0.5">
      <c r="A28" s="387" t="s">
        <v>2335</v>
      </c>
      <c r="B28" s="403">
        <f>2079516/12</f>
        <v>173293</v>
      </c>
      <c r="C28" s="404">
        <v>120148466.08000028</v>
      </c>
      <c r="D28" s="404">
        <v>30555893.249675881</v>
      </c>
      <c r="E28" s="404">
        <v>392.81061927535228</v>
      </c>
      <c r="F28" s="404">
        <v>29995.599539766878</v>
      </c>
      <c r="G28" s="404">
        <f>F28</f>
        <v>29995.599539766878</v>
      </c>
      <c r="H28" s="454"/>
      <c r="L28" s="24"/>
      <c r="M28" s="24"/>
      <c r="N28" s="24"/>
    </row>
    <row r="29" spans="1:20" s="15" customFormat="1" x14ac:dyDescent="0.5">
      <c r="A29" s="213"/>
      <c r="B29" s="404"/>
      <c r="C29" s="406"/>
      <c r="D29" s="404"/>
      <c r="E29" s="404"/>
      <c r="F29" s="404"/>
      <c r="G29" s="404"/>
      <c r="L29" s="24"/>
      <c r="M29" s="24"/>
      <c r="N29" s="24"/>
    </row>
    <row r="30" spans="1:20" s="15" customFormat="1" x14ac:dyDescent="0.5">
      <c r="A30" s="387" t="s">
        <v>2103</v>
      </c>
      <c r="B30" s="403">
        <f>39420/365</f>
        <v>108</v>
      </c>
      <c r="C30" s="404">
        <v>4371371</v>
      </c>
      <c r="D30" s="404">
        <v>307245.55999999994</v>
      </c>
      <c r="E30" s="404">
        <v>14.291659449941212</v>
      </c>
      <c r="F30" s="404">
        <v>1091.3322415009927</v>
      </c>
      <c r="G30" s="404">
        <f>F30</f>
        <v>1091.3322415009927</v>
      </c>
      <c r="H30" s="454"/>
      <c r="L30" s="24"/>
      <c r="M30" s="24"/>
      <c r="N30" s="24"/>
    </row>
    <row r="31" spans="1:20" s="15" customFormat="1" x14ac:dyDescent="0.5">
      <c r="A31" s="213"/>
      <c r="B31" s="404"/>
      <c r="C31" s="407"/>
      <c r="D31" s="404"/>
      <c r="E31" s="404"/>
      <c r="F31" s="404"/>
      <c r="G31" s="404"/>
      <c r="L31" s="24"/>
      <c r="M31" s="24"/>
      <c r="N31" s="24"/>
    </row>
    <row r="32" spans="1:20" s="15" customFormat="1" x14ac:dyDescent="0.5">
      <c r="A32" s="395" t="s">
        <v>2345</v>
      </c>
      <c r="B32" s="403">
        <f>485815/365</f>
        <v>1331</v>
      </c>
      <c r="C32" s="404">
        <v>2392654</v>
      </c>
      <c r="D32" s="404">
        <v>271290.95</v>
      </c>
      <c r="E32" s="404">
        <v>233.70122555804252</v>
      </c>
      <c r="F32" s="404">
        <v>294.03156148068956</v>
      </c>
      <c r="G32" s="404">
        <f>F32</f>
        <v>294.03156148068956</v>
      </c>
      <c r="H32" s="454"/>
      <c r="L32" s="24"/>
      <c r="M32" s="24"/>
      <c r="N32" s="24"/>
    </row>
    <row r="33" spans="1:22" s="15" customFormat="1" x14ac:dyDescent="0.5">
      <c r="A33" s="213"/>
      <c r="B33" s="404"/>
      <c r="C33" s="407"/>
      <c r="D33" s="404"/>
      <c r="E33" s="404"/>
      <c r="F33" s="404"/>
      <c r="G33" s="404"/>
      <c r="L33" s="24"/>
      <c r="M33" s="24"/>
      <c r="N33" s="24"/>
    </row>
    <row r="34" spans="1:22" s="15" customFormat="1" x14ac:dyDescent="0.5">
      <c r="A34" s="395" t="s">
        <v>2349</v>
      </c>
      <c r="B34" s="403">
        <f>1460/365</f>
        <v>4</v>
      </c>
      <c r="C34" s="404">
        <v>326405</v>
      </c>
      <c r="D34" s="404">
        <v>92319.950000000012</v>
      </c>
      <c r="E34" s="404">
        <v>30.081348263269305</v>
      </c>
      <c r="F34" s="405">
        <v>414.04436710277866</v>
      </c>
      <c r="G34" s="405">
        <v>705.08575977897306</v>
      </c>
      <c r="H34" s="454"/>
      <c r="L34" s="24"/>
      <c r="M34" s="24"/>
      <c r="N34" s="24"/>
    </row>
    <row r="35" spans="1:22" s="15" customFormat="1" x14ac:dyDescent="0.5">
      <c r="A35" s="395"/>
      <c r="B35" s="403"/>
      <c r="C35" s="404"/>
      <c r="D35" s="404"/>
      <c r="E35" s="404"/>
      <c r="F35" s="405"/>
      <c r="G35" s="405"/>
      <c r="L35" s="24"/>
      <c r="M35" s="24"/>
      <c r="N35" s="24"/>
    </row>
    <row r="36" spans="1:22" s="15" customFormat="1" x14ac:dyDescent="0.5">
      <c r="A36" s="395" t="s">
        <v>2347</v>
      </c>
      <c r="B36" s="403">
        <v>10</v>
      </c>
      <c r="C36" s="404">
        <v>10950</v>
      </c>
      <c r="D36" s="404">
        <v>1533</v>
      </c>
      <c r="E36" s="404">
        <v>2.0341450058514727</v>
      </c>
      <c r="F36" s="405">
        <v>2.5836240000000004</v>
      </c>
      <c r="G36" s="405">
        <f>F36</f>
        <v>2.5836240000000004</v>
      </c>
      <c r="L36" s="24"/>
      <c r="M36" s="24"/>
      <c r="N36" s="24"/>
    </row>
    <row r="37" spans="1:22" s="15" customFormat="1" x14ac:dyDescent="0.5">
      <c r="A37" s="395"/>
      <c r="B37" s="403"/>
      <c r="C37" s="404"/>
      <c r="D37" s="404"/>
      <c r="E37" s="404"/>
      <c r="F37" s="405"/>
      <c r="G37" s="405"/>
      <c r="L37" s="24"/>
      <c r="M37" s="24"/>
      <c r="N37" s="24"/>
    </row>
    <row r="38" spans="1:22" s="15" customFormat="1" x14ac:dyDescent="0.5">
      <c r="A38" s="395" t="s">
        <v>2348</v>
      </c>
      <c r="B38" s="460"/>
      <c r="C38" s="407"/>
      <c r="D38" s="407">
        <v>162504.0000000002</v>
      </c>
      <c r="E38" s="407"/>
      <c r="F38" s="461"/>
      <c r="G38" s="461"/>
      <c r="L38" s="24"/>
      <c r="M38" s="24"/>
      <c r="N38" s="24"/>
    </row>
    <row r="39" spans="1:22" s="15" customFormat="1" x14ac:dyDescent="0.5">
      <c r="A39" s="395"/>
      <c r="B39" s="460"/>
      <c r="C39" s="407"/>
      <c r="D39" s="407"/>
      <c r="E39" s="407"/>
      <c r="F39" s="461"/>
      <c r="G39" s="461"/>
      <c r="L39" s="24"/>
      <c r="M39" s="24"/>
      <c r="N39" s="24"/>
    </row>
    <row r="40" spans="1:22" s="15" customFormat="1" x14ac:dyDescent="0.5">
      <c r="A40" s="396" t="s">
        <v>2549</v>
      </c>
      <c r="B40" s="409"/>
      <c r="C40" s="410"/>
      <c r="D40" s="410">
        <v>38355.120000000003</v>
      </c>
      <c r="E40" s="410"/>
      <c r="F40" s="411"/>
      <c r="G40" s="411"/>
      <c r="L40" s="24"/>
      <c r="M40" s="24"/>
      <c r="N40" s="24"/>
    </row>
    <row r="41" spans="1:22" s="15" customFormat="1" x14ac:dyDescent="0.5">
      <c r="B41" s="404">
        <f t="shared" ref="B41:G41" si="0">SUM(B8:B40)</f>
        <v>705983.59178082191</v>
      </c>
      <c r="C41" s="404">
        <f t="shared" si="0"/>
        <v>17402124383.080002</v>
      </c>
      <c r="D41" s="408">
        <f t="shared" si="0"/>
        <v>1558608458.4696758</v>
      </c>
      <c r="E41" s="404">
        <f t="shared" si="0"/>
        <v>2463594.9027471254</v>
      </c>
      <c r="F41" s="404">
        <f t="shared" si="0"/>
        <v>4395336.8008682849</v>
      </c>
      <c r="G41" s="404">
        <f t="shared" si="0"/>
        <v>7565260.3431181861</v>
      </c>
      <c r="L41" s="24"/>
      <c r="M41" s="24"/>
      <c r="N41" s="24"/>
      <c r="P41" s="166"/>
      <c r="Q41" s="166"/>
      <c r="R41" s="166"/>
      <c r="S41" s="166"/>
      <c r="T41" s="166"/>
      <c r="U41" s="166"/>
      <c r="V41" s="166"/>
    </row>
    <row r="42" spans="1:22" s="15" customFormat="1" x14ac:dyDescent="0.5">
      <c r="B42" s="18"/>
      <c r="C42" s="18"/>
      <c r="D42" s="18"/>
      <c r="E42" s="18"/>
      <c r="F42" s="18"/>
      <c r="G42" s="18"/>
      <c r="H42" s="156"/>
      <c r="I42" s="18"/>
      <c r="J42" s="157"/>
      <c r="K42" s="18"/>
      <c r="L42" s="24"/>
      <c r="M42" s="24"/>
      <c r="N42" s="24"/>
      <c r="P42" s="166"/>
      <c r="Q42" s="166"/>
      <c r="R42" s="166"/>
      <c r="S42" s="166"/>
      <c r="T42" s="166"/>
      <c r="U42" s="166"/>
      <c r="V42" s="166"/>
    </row>
    <row r="43" spans="1:22" s="15" customFormat="1" x14ac:dyDescent="0.5">
      <c r="B43" s="18"/>
      <c r="C43" s="18"/>
      <c r="D43" s="18"/>
      <c r="E43" s="18"/>
      <c r="F43" s="18"/>
      <c r="G43" s="18"/>
      <c r="H43" s="156"/>
      <c r="I43" s="18"/>
      <c r="J43" s="157"/>
      <c r="K43" s="18"/>
      <c r="L43" s="24"/>
      <c r="M43" s="24"/>
      <c r="N43" s="24"/>
      <c r="P43" s="166"/>
      <c r="Q43" s="166"/>
      <c r="R43" s="166"/>
      <c r="S43" s="166"/>
      <c r="T43" s="166"/>
      <c r="U43" s="166"/>
      <c r="V43" s="166"/>
    </row>
    <row r="44" spans="1:22" s="34" customFormat="1" x14ac:dyDescent="0.5">
      <c r="B44" s="398"/>
      <c r="C44" s="398"/>
      <c r="D44" s="158"/>
      <c r="E44" s="398"/>
      <c r="F44" s="398"/>
      <c r="G44" s="398"/>
      <c r="H44" s="399"/>
      <c r="I44" s="398"/>
      <c r="J44" s="400"/>
      <c r="K44" s="398"/>
      <c r="L44" s="401"/>
      <c r="M44" s="401"/>
      <c r="N44" s="401"/>
    </row>
    <row r="46" spans="1:22" x14ac:dyDescent="0.5">
      <c r="D46" s="18"/>
      <c r="E46" s="10"/>
      <c r="F46" s="10"/>
      <c r="G46" s="10"/>
      <c r="H46" s="13"/>
      <c r="I46" s="10"/>
      <c r="J46" s="11"/>
      <c r="K46" s="10"/>
      <c r="L46" s="12"/>
      <c r="M46" s="12"/>
      <c r="N46" s="12"/>
      <c r="P46" s="34"/>
      <c r="Q46" s="34"/>
      <c r="R46" s="34"/>
      <c r="S46" s="34"/>
      <c r="T46" s="34"/>
      <c r="U46" s="34"/>
      <c r="V46" s="34"/>
    </row>
    <row r="47" spans="1:22" x14ac:dyDescent="0.5">
      <c r="C47" s="179"/>
      <c r="D47" s="444"/>
      <c r="E47" s="180"/>
      <c r="F47" s="180"/>
      <c r="G47" s="10"/>
      <c r="H47" s="13"/>
      <c r="I47" s="10"/>
      <c r="J47" s="11"/>
      <c r="K47" s="10"/>
      <c r="L47" s="12"/>
      <c r="M47" s="12"/>
      <c r="N47" s="12"/>
      <c r="P47" s="34"/>
      <c r="Q47" s="34"/>
      <c r="R47" s="34"/>
      <c r="S47" s="34"/>
      <c r="T47" s="34"/>
      <c r="U47" s="34"/>
      <c r="V47" s="34"/>
    </row>
    <row r="48" spans="1:22" x14ac:dyDescent="0.5">
      <c r="C48" s="178"/>
      <c r="D48" s="109"/>
      <c r="E48" s="109"/>
      <c r="F48" s="109"/>
      <c r="G48" s="10"/>
      <c r="H48" s="13"/>
      <c r="I48" s="10"/>
      <c r="J48" s="11"/>
      <c r="K48" s="10"/>
      <c r="L48" s="12"/>
      <c r="M48" s="12"/>
      <c r="N48" s="12"/>
      <c r="P48" s="34"/>
      <c r="Q48" s="34"/>
      <c r="R48" s="34"/>
      <c r="S48" s="34"/>
      <c r="T48" s="34"/>
      <c r="U48" s="34"/>
      <c r="V48" s="34"/>
    </row>
    <row r="49" spans="1:22" x14ac:dyDescent="0.5">
      <c r="C49" s="178"/>
      <c r="D49" s="37"/>
      <c r="E49" s="37"/>
      <c r="F49" s="37"/>
      <c r="G49" s="10"/>
      <c r="H49" s="13"/>
      <c r="I49" s="10"/>
      <c r="J49" s="11"/>
      <c r="K49" s="10"/>
      <c r="L49" s="12"/>
      <c r="M49" s="12"/>
      <c r="N49" s="12"/>
      <c r="P49" s="34"/>
      <c r="Q49" s="34"/>
      <c r="R49" s="34"/>
      <c r="S49" s="34"/>
      <c r="T49" s="34"/>
      <c r="U49" s="34"/>
      <c r="V49" s="34"/>
    </row>
    <row r="50" spans="1:22" x14ac:dyDescent="0.5">
      <c r="C50" s="178"/>
      <c r="D50" s="109"/>
      <c r="E50" s="109"/>
      <c r="F50" s="109"/>
      <c r="G50" s="10"/>
      <c r="H50" s="13"/>
      <c r="I50" s="10"/>
      <c r="J50" s="11"/>
      <c r="K50" s="10"/>
      <c r="L50" s="12"/>
      <c r="M50" s="12"/>
      <c r="N50" s="12"/>
    </row>
    <row r="51" spans="1:22" x14ac:dyDescent="0.5">
      <c r="C51" s="178"/>
      <c r="D51" s="109"/>
      <c r="E51" s="109"/>
      <c r="F51" s="109"/>
      <c r="G51" s="10"/>
      <c r="H51" s="13"/>
      <c r="I51" s="10"/>
      <c r="J51" s="11"/>
      <c r="K51" s="10"/>
      <c r="L51" s="12"/>
      <c r="M51" s="12"/>
      <c r="N51" s="12"/>
    </row>
    <row r="52" spans="1:22" x14ac:dyDescent="0.5">
      <c r="C52" s="178"/>
      <c r="D52" s="109"/>
      <c r="E52" s="109"/>
      <c r="F52" s="109"/>
      <c r="G52" s="10"/>
      <c r="H52" s="13"/>
      <c r="I52" s="10"/>
      <c r="J52" s="11"/>
      <c r="K52" s="10"/>
      <c r="L52" s="12"/>
      <c r="M52" s="12"/>
      <c r="N52" s="12"/>
    </row>
    <row r="53" spans="1:22" x14ac:dyDescent="0.5">
      <c r="A53" s="176"/>
      <c r="D53" s="18"/>
      <c r="E53" s="10"/>
      <c r="F53" s="10"/>
      <c r="G53" s="166"/>
      <c r="H53" s="165"/>
      <c r="I53" s="166"/>
      <c r="J53" s="165"/>
      <c r="K53" s="10"/>
      <c r="L53" s="12"/>
      <c r="M53" s="12"/>
      <c r="N53" s="12"/>
    </row>
    <row r="54" spans="1:22" x14ac:dyDescent="0.5">
      <c r="A54" s="177"/>
      <c r="D54" s="18"/>
      <c r="E54" s="10"/>
      <c r="F54" s="10"/>
      <c r="G54" s="166"/>
      <c r="H54" s="165"/>
      <c r="I54" s="166"/>
      <c r="J54" s="165"/>
      <c r="K54" s="10"/>
      <c r="L54" s="12"/>
      <c r="M54" s="12"/>
      <c r="N54" s="12"/>
    </row>
    <row r="55" spans="1:22" x14ac:dyDescent="0.5">
      <c r="C55" s="178"/>
      <c r="D55" s="18"/>
      <c r="E55" s="10"/>
      <c r="F55" s="10"/>
      <c r="G55" s="166"/>
      <c r="H55" s="165"/>
      <c r="I55" s="166"/>
      <c r="J55" s="165"/>
      <c r="K55" s="10"/>
      <c r="L55" s="12"/>
      <c r="M55" s="12"/>
      <c r="N55" s="12"/>
    </row>
    <row r="56" spans="1:22" x14ac:dyDescent="0.5">
      <c r="C56" s="178"/>
      <c r="D56" s="18"/>
      <c r="E56" s="10"/>
      <c r="F56" s="10"/>
      <c r="G56" s="166"/>
      <c r="H56" s="165"/>
      <c r="I56" s="166"/>
      <c r="J56" s="165"/>
      <c r="K56" s="10"/>
      <c r="L56" s="12"/>
      <c r="M56" s="12"/>
      <c r="N56" s="12"/>
    </row>
    <row r="57" spans="1:22" x14ac:dyDescent="0.5">
      <c r="C57" s="178"/>
      <c r="D57" s="18"/>
      <c r="E57" s="10"/>
      <c r="F57" s="10"/>
      <c r="G57" s="166"/>
      <c r="H57" s="165"/>
      <c r="I57" s="166"/>
      <c r="J57" s="165"/>
      <c r="K57" s="10"/>
      <c r="L57" s="12"/>
      <c r="M57" s="12"/>
      <c r="N57" s="12"/>
    </row>
    <row r="58" spans="1:22" x14ac:dyDescent="0.5">
      <c r="A58" s="176"/>
      <c r="D58" s="18"/>
      <c r="E58" s="10"/>
      <c r="F58" s="10"/>
      <c r="G58" s="166"/>
      <c r="H58" s="166"/>
      <c r="I58" s="166"/>
      <c r="J58" s="166"/>
      <c r="K58" s="10"/>
      <c r="L58" s="12"/>
      <c r="M58" s="12"/>
      <c r="N58" s="12"/>
    </row>
    <row r="59" spans="1:22" x14ac:dyDescent="0.5">
      <c r="D59" s="18"/>
      <c r="E59" s="10"/>
      <c r="F59" s="10"/>
      <c r="G59" s="166"/>
      <c r="H59" s="166"/>
      <c r="I59" s="166"/>
      <c r="J59" s="166"/>
      <c r="K59" s="10"/>
      <c r="L59" s="12"/>
      <c r="M59" s="12"/>
      <c r="N59" s="12"/>
    </row>
    <row r="60" spans="1:22" x14ac:dyDescent="0.5">
      <c r="D60" s="18"/>
      <c r="E60" s="10"/>
      <c r="F60" s="10"/>
      <c r="G60" s="166"/>
      <c r="H60" s="166"/>
      <c r="I60" s="166"/>
      <c r="J60" s="166"/>
      <c r="K60" s="10"/>
      <c r="L60" s="12"/>
      <c r="M60" s="12"/>
      <c r="N60" s="12"/>
    </row>
    <row r="61" spans="1:22" x14ac:dyDescent="0.5">
      <c r="D61" s="18"/>
      <c r="E61" s="10"/>
      <c r="F61" s="10"/>
      <c r="G61" s="166"/>
      <c r="H61" s="166"/>
      <c r="I61" s="166"/>
      <c r="J61" s="166"/>
      <c r="K61" s="10"/>
      <c r="L61" s="12"/>
      <c r="M61" s="12"/>
      <c r="N61" s="12"/>
    </row>
    <row r="62" spans="1:22" x14ac:dyDescent="0.5">
      <c r="D62" s="18"/>
      <c r="E62" s="10"/>
      <c r="F62" s="10"/>
      <c r="G62" s="166"/>
      <c r="H62" s="166"/>
      <c r="I62" s="166"/>
      <c r="J62" s="166"/>
      <c r="K62" s="10"/>
      <c r="L62" s="12"/>
      <c r="M62" s="12"/>
      <c r="N62" s="12"/>
    </row>
    <row r="63" spans="1:22" x14ac:dyDescent="0.5">
      <c r="D63" s="18"/>
      <c r="E63" s="10"/>
      <c r="F63" s="10"/>
      <c r="G63" s="166"/>
      <c r="H63" s="166"/>
      <c r="I63" s="166"/>
      <c r="J63" s="166"/>
      <c r="K63" s="10"/>
      <c r="L63" s="12"/>
      <c r="M63" s="12"/>
      <c r="N63" s="12"/>
    </row>
    <row r="64" spans="1:22" x14ac:dyDescent="0.5">
      <c r="D64" s="18"/>
      <c r="E64" s="10"/>
      <c r="F64" s="10"/>
      <c r="G64" s="166"/>
      <c r="H64" s="166"/>
      <c r="I64" s="166"/>
      <c r="J64" s="166"/>
      <c r="K64" s="10"/>
      <c r="L64" s="12"/>
      <c r="M64" s="12"/>
      <c r="N64" s="12"/>
    </row>
    <row r="65" spans="1:20" x14ac:dyDescent="0.5">
      <c r="D65" s="18"/>
      <c r="E65" s="10"/>
      <c r="F65" s="10"/>
      <c r="G65" s="166"/>
      <c r="H65" s="166"/>
      <c r="I65" s="166"/>
      <c r="J65" s="166"/>
      <c r="K65" s="10"/>
      <c r="L65" s="12"/>
      <c r="M65" s="12"/>
      <c r="N65" s="12"/>
    </row>
    <row r="66" spans="1:20" x14ac:dyDescent="0.5">
      <c r="D66" s="18"/>
      <c r="E66" s="10"/>
      <c r="F66" s="10"/>
      <c r="G66" s="10"/>
      <c r="H66" s="13"/>
      <c r="I66" s="10"/>
      <c r="J66" s="11"/>
      <c r="K66" s="10"/>
      <c r="L66" s="12"/>
      <c r="M66" s="12"/>
      <c r="N66" s="12"/>
    </row>
    <row r="67" spans="1:20" x14ac:dyDescent="0.5">
      <c r="D67" s="18"/>
      <c r="E67" s="10"/>
      <c r="F67" s="10"/>
      <c r="G67" s="10"/>
      <c r="H67" s="13"/>
      <c r="I67" s="10"/>
      <c r="J67" s="11"/>
      <c r="K67" s="10"/>
      <c r="L67" s="12"/>
      <c r="M67" s="12"/>
      <c r="N67" s="12"/>
    </row>
    <row r="68" spans="1:20" x14ac:dyDescent="0.5">
      <c r="D68" s="18"/>
      <c r="E68" s="10"/>
      <c r="F68" s="10"/>
      <c r="G68" s="10"/>
      <c r="H68" s="13"/>
      <c r="I68" s="10"/>
      <c r="J68" s="11"/>
      <c r="K68" s="10"/>
      <c r="L68" s="12"/>
      <c r="M68" s="12"/>
      <c r="N68" s="12"/>
    </row>
    <row r="69" spans="1:20" x14ac:dyDescent="0.5">
      <c r="D69" s="18"/>
      <c r="E69" s="10"/>
      <c r="F69" s="10"/>
      <c r="G69" s="10"/>
      <c r="H69" s="13"/>
      <c r="I69" s="10"/>
      <c r="J69" s="11"/>
      <c r="K69" s="10"/>
      <c r="L69" s="12"/>
      <c r="M69" s="12"/>
      <c r="N69" s="12"/>
    </row>
    <row r="70" spans="1:20" x14ac:dyDescent="0.5">
      <c r="D70" s="18"/>
      <c r="E70" s="10"/>
      <c r="F70" s="10"/>
      <c r="G70" s="10"/>
      <c r="H70" s="13"/>
      <c r="I70" s="10"/>
      <c r="J70" s="11"/>
      <c r="K70" s="10"/>
      <c r="L70" s="12"/>
      <c r="M70" s="12"/>
      <c r="N70" s="12"/>
    </row>
    <row r="71" spans="1:20" x14ac:dyDescent="0.5">
      <c r="D71" s="18"/>
      <c r="E71" s="10"/>
      <c r="F71" s="10"/>
      <c r="G71" s="10"/>
      <c r="H71" s="13"/>
      <c r="I71" s="10"/>
      <c r="J71" s="11"/>
      <c r="K71" s="10"/>
      <c r="L71" s="12"/>
      <c r="M71" s="12"/>
      <c r="N71" s="12"/>
    </row>
    <row r="72" spans="1:20" x14ac:dyDescent="0.5">
      <c r="D72" s="18"/>
      <c r="E72" s="10"/>
      <c r="F72" s="10"/>
      <c r="G72" s="10"/>
      <c r="H72" s="13"/>
      <c r="I72" s="10"/>
      <c r="J72" s="11"/>
      <c r="K72" s="10"/>
      <c r="L72" s="12"/>
      <c r="M72" s="12"/>
      <c r="N72" s="12"/>
    </row>
    <row r="73" spans="1:20" x14ac:dyDescent="0.5">
      <c r="D73" s="18"/>
      <c r="E73" s="10"/>
      <c r="F73" s="10"/>
      <c r="G73" s="10"/>
      <c r="H73" s="13"/>
      <c r="I73" s="10"/>
      <c r="J73" s="11"/>
      <c r="K73" s="10"/>
      <c r="L73" s="12"/>
      <c r="M73" s="12"/>
      <c r="N73" s="12"/>
    </row>
    <row r="74" spans="1:20" x14ac:dyDescent="0.5">
      <c r="J74" s="11"/>
      <c r="K74" s="10"/>
      <c r="L74" s="12"/>
      <c r="M74" s="12"/>
      <c r="N74" s="12"/>
    </row>
    <row r="75" spans="1:20" x14ac:dyDescent="0.5">
      <c r="D75" s="18"/>
      <c r="E75" s="10"/>
      <c r="F75" s="10"/>
      <c r="G75" s="10"/>
      <c r="H75" s="13"/>
      <c r="I75" s="10"/>
      <c r="J75" s="11"/>
      <c r="K75" s="10"/>
      <c r="L75" s="12"/>
      <c r="M75" s="12"/>
      <c r="N75" s="12"/>
    </row>
    <row r="76" spans="1:20" x14ac:dyDescent="0.5">
      <c r="D76" s="18"/>
      <c r="E76" s="10"/>
      <c r="F76" s="10"/>
      <c r="G76" s="10"/>
      <c r="H76" s="13"/>
      <c r="I76" s="10"/>
      <c r="J76" s="11"/>
      <c r="K76" s="10"/>
      <c r="L76" s="12"/>
      <c r="M76" s="12"/>
      <c r="N76" s="12"/>
    </row>
    <row r="77" spans="1:20" s="15" customFormat="1" x14ac:dyDescent="0.5">
      <c r="A77" s="150"/>
      <c r="B77" s="151"/>
      <c r="C77" s="151"/>
      <c r="D77" s="152"/>
      <c r="E77" s="152"/>
      <c r="F77" s="152"/>
      <c r="G77" s="152"/>
      <c r="H77" s="152"/>
      <c r="I77" s="152"/>
      <c r="J77" s="152"/>
      <c r="K77" s="152"/>
      <c r="L77" s="152"/>
      <c r="M77" s="152"/>
      <c r="N77" s="152"/>
      <c r="O77" s="152"/>
      <c r="P77" s="152"/>
      <c r="S77" s="152"/>
      <c r="T77" s="152"/>
    </row>
    <row r="78" spans="1:20" s="15" customFormat="1" x14ac:dyDescent="0.5">
      <c r="A78" s="150"/>
      <c r="B78" s="151"/>
      <c r="C78" s="151"/>
      <c r="D78" s="152"/>
      <c r="E78" s="152"/>
      <c r="F78" s="152"/>
      <c r="G78" s="152"/>
      <c r="H78" s="152"/>
      <c r="I78" s="152"/>
      <c r="J78" s="152"/>
      <c r="K78" s="152"/>
      <c r="L78" s="152"/>
    </row>
    <row r="79" spans="1:20" s="15" customFormat="1" x14ac:dyDescent="0.5">
      <c r="A79" s="14"/>
      <c r="B79" s="17"/>
      <c r="C79" s="17"/>
      <c r="D79" s="152"/>
      <c r="E79" s="152"/>
      <c r="F79" s="152"/>
      <c r="G79" s="152"/>
      <c r="H79" s="152"/>
      <c r="I79" s="152"/>
      <c r="J79" s="152"/>
      <c r="K79" s="152"/>
      <c r="L79" s="152"/>
      <c r="M79" s="153"/>
    </row>
    <row r="80" spans="1:20" s="15" customFormat="1" x14ac:dyDescent="0.5">
      <c r="B80" s="18"/>
      <c r="C80" s="18"/>
      <c r="D80" s="152"/>
      <c r="E80" s="152"/>
      <c r="F80" s="152"/>
      <c r="G80" s="152"/>
      <c r="H80" s="152"/>
      <c r="I80" s="152"/>
      <c r="J80" s="152"/>
      <c r="K80" s="152"/>
      <c r="L80" s="152"/>
    </row>
    <row r="81" spans="1:17" s="15" customFormat="1" x14ac:dyDescent="0.5">
      <c r="B81" s="18"/>
      <c r="C81" s="18"/>
      <c r="D81" s="154"/>
      <c r="E81" s="154"/>
      <c r="F81" s="154"/>
      <c r="G81" s="154"/>
      <c r="H81" s="154"/>
      <c r="I81" s="154"/>
      <c r="J81" s="154"/>
      <c r="K81" s="154"/>
      <c r="L81" s="155"/>
    </row>
    <row r="82" spans="1:17" s="15" customFormat="1" x14ac:dyDescent="0.5">
      <c r="B82" s="18"/>
      <c r="C82" s="18"/>
      <c r="D82" s="152"/>
      <c r="E82" s="152"/>
      <c r="F82" s="152"/>
      <c r="G82" s="152"/>
      <c r="H82" s="152"/>
      <c r="I82" s="152"/>
      <c r="J82" s="152"/>
      <c r="K82" s="152"/>
      <c r="L82" s="152"/>
      <c r="M82" s="153"/>
      <c r="N82" s="153"/>
    </row>
    <row r="83" spans="1:17" s="15" customFormat="1" x14ac:dyDescent="0.5">
      <c r="B83" s="18"/>
      <c r="C83" s="18"/>
      <c r="D83" s="154"/>
      <c r="E83" s="154"/>
      <c r="F83" s="154"/>
      <c r="G83" s="154"/>
      <c r="H83" s="154"/>
      <c r="I83" s="154"/>
      <c r="J83" s="154"/>
      <c r="K83" s="154"/>
      <c r="L83" s="154"/>
    </row>
    <row r="84" spans="1:17" s="15" customFormat="1" x14ac:dyDescent="0.5">
      <c r="B84" s="18"/>
      <c r="C84" s="18"/>
      <c r="D84" s="152"/>
      <c r="E84" s="152"/>
      <c r="F84" s="152"/>
      <c r="G84" s="152"/>
      <c r="H84" s="152"/>
      <c r="I84" s="152"/>
      <c r="J84" s="152"/>
      <c r="K84" s="152"/>
      <c r="L84" s="152"/>
      <c r="M84" s="153"/>
      <c r="O84" s="153"/>
      <c r="P84" s="153"/>
      <c r="Q84" s="153"/>
    </row>
    <row r="85" spans="1:17" s="15" customFormat="1" x14ac:dyDescent="0.5">
      <c r="B85" s="18"/>
      <c r="C85" s="18"/>
      <c r="D85" s="154"/>
      <c r="E85" s="154"/>
      <c r="F85" s="154"/>
      <c r="G85" s="154"/>
      <c r="H85" s="154"/>
      <c r="I85" s="154"/>
      <c r="J85" s="154"/>
      <c r="K85" s="154"/>
      <c r="L85" s="152"/>
      <c r="M85" s="153"/>
    </row>
    <row r="86" spans="1:17" s="15" customFormat="1" x14ac:dyDescent="0.5">
      <c r="B86" s="18"/>
      <c r="C86" s="18"/>
      <c r="D86" s="152"/>
      <c r="E86" s="152"/>
      <c r="F86" s="152"/>
      <c r="G86" s="152"/>
      <c r="H86" s="152"/>
      <c r="I86" s="152"/>
      <c r="J86" s="152"/>
      <c r="K86" s="152"/>
      <c r="L86" s="152"/>
      <c r="M86" s="153"/>
      <c r="N86" s="153"/>
    </row>
    <row r="87" spans="1:17" s="15" customFormat="1" x14ac:dyDescent="0.5">
      <c r="A87" s="150"/>
      <c r="B87" s="151"/>
      <c r="C87" s="151"/>
      <c r="D87" s="152"/>
      <c r="E87" s="152"/>
      <c r="F87" s="152"/>
      <c r="G87" s="152"/>
      <c r="H87" s="152"/>
      <c r="I87" s="152"/>
      <c r="J87" s="152"/>
      <c r="K87" s="152"/>
      <c r="L87" s="152"/>
    </row>
    <row r="88" spans="1:17" s="15" customFormat="1" x14ac:dyDescent="0.5">
      <c r="A88" s="14"/>
      <c r="B88" s="17"/>
      <c r="C88" s="17"/>
      <c r="D88" s="152"/>
      <c r="E88" s="152"/>
      <c r="F88" s="152"/>
      <c r="G88" s="152"/>
      <c r="H88" s="152"/>
      <c r="I88" s="152"/>
      <c r="J88" s="152"/>
      <c r="K88" s="152"/>
      <c r="L88" s="152"/>
      <c r="M88" s="153"/>
    </row>
    <row r="89" spans="1:17" s="15" customFormat="1" x14ac:dyDescent="0.5">
      <c r="B89" s="18"/>
      <c r="C89" s="18"/>
      <c r="D89" s="152"/>
      <c r="E89" s="152"/>
      <c r="F89" s="152"/>
      <c r="G89" s="152"/>
      <c r="H89" s="152"/>
      <c r="I89" s="152"/>
      <c r="J89" s="152"/>
      <c r="K89" s="152"/>
      <c r="L89" s="152"/>
    </row>
    <row r="90" spans="1:17" s="15" customFormat="1" x14ac:dyDescent="0.5">
      <c r="B90" s="18"/>
      <c r="C90" s="18"/>
      <c r="D90" s="154"/>
      <c r="E90" s="154"/>
      <c r="F90" s="154"/>
      <c r="G90" s="154"/>
      <c r="H90" s="154"/>
      <c r="I90" s="154"/>
      <c r="J90" s="154"/>
      <c r="K90" s="154"/>
      <c r="L90" s="155"/>
    </row>
    <row r="91" spans="1:17" s="15" customFormat="1" x14ac:dyDescent="0.5">
      <c r="B91" s="18"/>
      <c r="C91" s="18"/>
      <c r="D91" s="152"/>
      <c r="E91" s="152"/>
      <c r="F91" s="152"/>
      <c r="G91" s="152"/>
      <c r="H91" s="152"/>
      <c r="I91" s="152"/>
      <c r="J91" s="152"/>
      <c r="K91" s="152"/>
      <c r="L91" s="152"/>
      <c r="M91" s="153"/>
      <c r="N91" s="153"/>
    </row>
    <row r="92" spans="1:17" s="15" customFormat="1" x14ac:dyDescent="0.5">
      <c r="B92" s="18"/>
      <c r="C92" s="18"/>
      <c r="D92" s="154"/>
      <c r="E92" s="154"/>
      <c r="F92" s="154"/>
      <c r="G92" s="154"/>
      <c r="H92" s="154"/>
      <c r="I92" s="154"/>
      <c r="J92" s="154"/>
      <c r="K92" s="154"/>
      <c r="L92" s="154"/>
    </row>
    <row r="93" spans="1:17" s="15" customFormat="1" x14ac:dyDescent="0.5">
      <c r="B93" s="18"/>
      <c r="C93" s="18"/>
      <c r="D93" s="152"/>
      <c r="E93" s="152"/>
      <c r="F93" s="152"/>
      <c r="G93" s="152"/>
      <c r="H93" s="152"/>
      <c r="I93" s="152"/>
      <c r="J93" s="152"/>
      <c r="K93" s="152"/>
      <c r="L93" s="152"/>
      <c r="M93" s="153"/>
      <c r="O93" s="153"/>
      <c r="P93" s="153"/>
    </row>
    <row r="94" spans="1:17" s="15" customFormat="1" x14ac:dyDescent="0.5">
      <c r="B94" s="18"/>
      <c r="C94" s="18"/>
      <c r="D94" s="154"/>
      <c r="E94" s="154"/>
      <c r="F94" s="154"/>
      <c r="G94" s="154"/>
      <c r="H94" s="154"/>
      <c r="I94" s="154"/>
      <c r="J94" s="154"/>
      <c r="K94" s="154"/>
      <c r="L94" s="152"/>
      <c r="M94" s="153"/>
    </row>
    <row r="95" spans="1:17" s="15" customFormat="1" x14ac:dyDescent="0.5">
      <c r="B95" s="18"/>
      <c r="C95" s="18"/>
      <c r="D95" s="152"/>
      <c r="E95" s="152"/>
      <c r="F95" s="152"/>
      <c r="G95" s="152"/>
      <c r="H95" s="152"/>
      <c r="I95" s="152"/>
      <c r="J95" s="152"/>
      <c r="K95" s="152"/>
      <c r="L95" s="152"/>
      <c r="M95" s="153"/>
      <c r="N95" s="153"/>
    </row>
    <row r="96" spans="1:17" s="15" customFormat="1" x14ac:dyDescent="0.5">
      <c r="A96" s="150"/>
      <c r="B96" s="151"/>
      <c r="C96" s="151"/>
      <c r="D96" s="18"/>
      <c r="E96" s="18"/>
      <c r="F96" s="18"/>
      <c r="G96" s="18"/>
      <c r="H96" s="156"/>
      <c r="I96" s="18"/>
      <c r="J96" s="157"/>
      <c r="K96" s="18"/>
      <c r="N96" s="153"/>
    </row>
    <row r="97" spans="1:16" s="15" customFormat="1" x14ac:dyDescent="0.5">
      <c r="A97" s="14"/>
      <c r="B97" s="17"/>
      <c r="C97" s="17"/>
      <c r="D97" s="18"/>
      <c r="E97" s="18"/>
      <c r="F97" s="18"/>
      <c r="G97" s="18"/>
      <c r="H97" s="18"/>
      <c r="I97" s="18"/>
      <c r="J97" s="18"/>
      <c r="K97" s="18"/>
      <c r="L97" s="152"/>
      <c r="M97" s="153"/>
      <c r="N97" s="153"/>
    </row>
    <row r="98" spans="1:16" s="15" customFormat="1" x14ac:dyDescent="0.5">
      <c r="B98" s="18"/>
      <c r="C98" s="18"/>
      <c r="D98" s="152"/>
      <c r="E98" s="152"/>
      <c r="F98" s="152"/>
      <c r="G98" s="152"/>
      <c r="H98" s="152"/>
      <c r="I98" s="152"/>
      <c r="J98" s="152"/>
      <c r="K98" s="152"/>
      <c r="L98" s="152"/>
      <c r="M98" s="18"/>
      <c r="N98" s="153"/>
    </row>
    <row r="99" spans="1:16" s="15" customFormat="1" x14ac:dyDescent="0.5">
      <c r="B99" s="18"/>
      <c r="C99" s="18"/>
      <c r="D99" s="154"/>
      <c r="E99" s="154"/>
      <c r="F99" s="154"/>
      <c r="G99" s="154"/>
      <c r="H99" s="154"/>
      <c r="I99" s="154"/>
      <c r="J99" s="154"/>
      <c r="K99" s="154"/>
      <c r="L99" s="152"/>
      <c r="M99" s="18"/>
      <c r="N99" s="153"/>
    </row>
    <row r="100" spans="1:16" s="15" customFormat="1" x14ac:dyDescent="0.5">
      <c r="B100" s="18"/>
      <c r="C100" s="18"/>
      <c r="D100" s="152"/>
      <c r="E100" s="152"/>
      <c r="F100" s="152"/>
      <c r="G100" s="152"/>
      <c r="H100" s="152"/>
      <c r="I100" s="152"/>
      <c r="J100" s="152"/>
      <c r="K100" s="152"/>
      <c r="L100" s="152"/>
      <c r="M100" s="153"/>
      <c r="N100" s="153"/>
    </row>
    <row r="101" spans="1:16" s="15" customFormat="1" x14ac:dyDescent="0.5">
      <c r="B101" s="18"/>
      <c r="C101" s="18"/>
      <c r="D101" s="154"/>
      <c r="E101" s="154"/>
      <c r="F101" s="154"/>
      <c r="G101" s="154"/>
      <c r="H101" s="154"/>
      <c r="I101" s="154"/>
      <c r="J101" s="154"/>
      <c r="K101" s="154"/>
      <c r="L101" s="154"/>
      <c r="M101" s="18"/>
      <c r="N101" s="153"/>
    </row>
    <row r="102" spans="1:16" s="15" customFormat="1" x14ac:dyDescent="0.5">
      <c r="B102" s="18"/>
      <c r="C102" s="18"/>
      <c r="D102" s="152"/>
      <c r="E102" s="152"/>
      <c r="F102" s="152"/>
      <c r="G102" s="152"/>
      <c r="H102" s="152"/>
      <c r="I102" s="152"/>
      <c r="J102" s="152"/>
      <c r="K102" s="152"/>
      <c r="L102" s="152"/>
      <c r="M102" s="153"/>
      <c r="N102" s="153"/>
      <c r="O102" s="153"/>
      <c r="P102" s="153"/>
    </row>
    <row r="103" spans="1:16" s="15" customFormat="1" x14ac:dyDescent="0.5">
      <c r="B103" s="18"/>
      <c r="C103" s="18"/>
      <c r="D103" s="154"/>
      <c r="E103" s="154"/>
      <c r="F103" s="154"/>
      <c r="G103" s="154"/>
      <c r="H103" s="154"/>
      <c r="I103" s="154"/>
      <c r="J103" s="154"/>
      <c r="K103" s="154"/>
      <c r="L103" s="152"/>
      <c r="M103" s="153"/>
    </row>
    <row r="104" spans="1:16" s="15" customFormat="1" x14ac:dyDescent="0.5">
      <c r="B104" s="18"/>
      <c r="C104" s="18"/>
      <c r="D104" s="152"/>
      <c r="E104" s="152"/>
      <c r="F104" s="152"/>
      <c r="G104" s="152"/>
      <c r="H104" s="152"/>
      <c r="I104" s="152"/>
      <c r="J104" s="152"/>
      <c r="K104" s="152"/>
      <c r="L104" s="152"/>
      <c r="M104" s="153"/>
      <c r="N104" s="153"/>
    </row>
    <row r="105" spans="1:16" s="15" customFormat="1" x14ac:dyDescent="0.5">
      <c r="A105" s="150"/>
      <c r="B105" s="151"/>
      <c r="C105" s="151"/>
      <c r="D105" s="159"/>
      <c r="E105" s="159"/>
      <c r="F105" s="159"/>
      <c r="G105" s="158"/>
      <c r="H105" s="160"/>
      <c r="I105" s="158"/>
      <c r="J105" s="161"/>
      <c r="K105" s="158"/>
      <c r="L105" s="24"/>
      <c r="M105" s="24"/>
      <c r="N105" s="24"/>
    </row>
    <row r="106" spans="1:16" s="15" customFormat="1" x14ac:dyDescent="0.5">
      <c r="A106" s="14"/>
      <c r="B106" s="17"/>
      <c r="C106" s="17"/>
      <c r="D106" s="18"/>
      <c r="E106" s="18"/>
      <c r="F106" s="18"/>
      <c r="G106" s="18"/>
      <c r="H106" s="18"/>
      <c r="I106" s="18"/>
      <c r="J106" s="18"/>
      <c r="K106" s="18"/>
      <c r="L106" s="152"/>
      <c r="M106" s="153"/>
      <c r="N106" s="153"/>
    </row>
    <row r="107" spans="1:16" s="15" customFormat="1" x14ac:dyDescent="0.5">
      <c r="B107" s="18"/>
      <c r="C107" s="18"/>
      <c r="D107" s="152"/>
      <c r="E107" s="152"/>
      <c r="F107" s="152"/>
      <c r="G107" s="152"/>
      <c r="H107" s="152"/>
      <c r="I107" s="152"/>
      <c r="J107" s="152"/>
      <c r="K107" s="152"/>
      <c r="L107" s="152"/>
      <c r="N107" s="153"/>
    </row>
    <row r="108" spans="1:16" s="15" customFormat="1" x14ac:dyDescent="0.5">
      <c r="B108" s="18"/>
      <c r="C108" s="18"/>
      <c r="D108" s="154"/>
      <c r="E108" s="154"/>
      <c r="F108" s="154"/>
      <c r="G108" s="154"/>
      <c r="H108" s="154"/>
      <c r="I108" s="154"/>
      <c r="J108" s="154"/>
      <c r="K108" s="154"/>
      <c r="L108" s="152"/>
      <c r="N108" s="153"/>
    </row>
    <row r="109" spans="1:16" s="15" customFormat="1" x14ac:dyDescent="0.5">
      <c r="B109" s="18"/>
      <c r="C109" s="18"/>
      <c r="D109" s="152"/>
      <c r="E109" s="152"/>
      <c r="F109" s="152"/>
      <c r="G109" s="152"/>
      <c r="H109" s="152"/>
      <c r="I109" s="152"/>
      <c r="J109" s="152"/>
      <c r="K109" s="152"/>
      <c r="L109" s="152"/>
      <c r="M109" s="153"/>
      <c r="N109" s="153"/>
    </row>
    <row r="110" spans="1:16" s="15" customFormat="1" x14ac:dyDescent="0.5">
      <c r="B110" s="18"/>
      <c r="C110" s="18"/>
      <c r="D110" s="154"/>
      <c r="E110" s="154"/>
      <c r="F110" s="154"/>
      <c r="G110" s="154"/>
      <c r="H110" s="154"/>
      <c r="I110" s="154"/>
      <c r="J110" s="154"/>
      <c r="K110" s="154"/>
      <c r="L110" s="154"/>
      <c r="N110" s="153"/>
    </row>
    <row r="111" spans="1:16" s="15" customFormat="1" x14ac:dyDescent="0.5">
      <c r="B111" s="18"/>
      <c r="C111" s="18"/>
      <c r="D111" s="152"/>
      <c r="E111" s="152"/>
      <c r="F111" s="152"/>
      <c r="G111" s="152"/>
      <c r="H111" s="152"/>
      <c r="I111" s="152"/>
      <c r="J111" s="152"/>
      <c r="K111" s="152"/>
      <c r="L111" s="152"/>
      <c r="M111" s="153"/>
      <c r="N111" s="153"/>
      <c r="O111" s="153"/>
      <c r="P111" s="153"/>
    </row>
    <row r="112" spans="1:16" s="15" customFormat="1" x14ac:dyDescent="0.5">
      <c r="B112" s="18"/>
      <c r="C112" s="18"/>
      <c r="D112" s="154"/>
      <c r="E112" s="154"/>
      <c r="F112" s="154"/>
      <c r="G112" s="154"/>
      <c r="H112" s="154"/>
      <c r="I112" s="154"/>
      <c r="J112" s="154"/>
      <c r="K112" s="154"/>
      <c r="L112" s="152"/>
      <c r="M112" s="153"/>
    </row>
    <row r="113" spans="1:20" s="15" customFormat="1" x14ac:dyDescent="0.5">
      <c r="B113" s="18"/>
      <c r="C113" s="18"/>
      <c r="D113" s="152"/>
      <c r="E113" s="152"/>
      <c r="F113" s="152"/>
      <c r="G113" s="152"/>
      <c r="H113" s="152"/>
      <c r="I113" s="152"/>
      <c r="J113" s="152"/>
      <c r="K113" s="152"/>
      <c r="L113" s="152"/>
      <c r="M113" s="153"/>
      <c r="N113" s="153"/>
    </row>
    <row r="114" spans="1:20" s="15" customFormat="1" x14ac:dyDescent="0.5">
      <c r="A114" s="150"/>
      <c r="B114" s="151"/>
      <c r="C114" s="151"/>
      <c r="D114" s="18"/>
      <c r="E114" s="18"/>
      <c r="F114" s="18"/>
      <c r="G114" s="18"/>
      <c r="H114" s="18"/>
      <c r="I114" s="18"/>
      <c r="J114" s="18"/>
      <c r="K114" s="18"/>
      <c r="L114" s="18"/>
      <c r="M114" s="18"/>
      <c r="N114" s="153"/>
    </row>
    <row r="115" spans="1:20" s="15" customFormat="1" x14ac:dyDescent="0.5">
      <c r="A115" s="14"/>
      <c r="B115" s="17"/>
      <c r="C115" s="17"/>
      <c r="D115" s="18"/>
      <c r="E115" s="18"/>
      <c r="F115" s="18"/>
      <c r="G115" s="18"/>
      <c r="H115" s="18"/>
      <c r="I115" s="18"/>
      <c r="J115" s="18"/>
      <c r="K115" s="18"/>
      <c r="L115" s="153"/>
      <c r="M115" s="153"/>
      <c r="N115" s="24"/>
      <c r="R115" s="163"/>
      <c r="T115" s="163"/>
    </row>
    <row r="116" spans="1:20" s="15" customFormat="1" x14ac:dyDescent="0.5">
      <c r="B116" s="18"/>
      <c r="C116" s="18"/>
      <c r="D116" s="152"/>
      <c r="E116" s="152"/>
      <c r="F116" s="152"/>
      <c r="G116" s="152"/>
      <c r="H116" s="152"/>
      <c r="I116" s="152"/>
      <c r="J116" s="152"/>
      <c r="K116" s="152"/>
      <c r="L116" s="152"/>
      <c r="N116" s="24"/>
      <c r="R116" s="163"/>
      <c r="T116" s="163"/>
    </row>
    <row r="117" spans="1:20" s="15" customFormat="1" x14ac:dyDescent="0.5">
      <c r="B117" s="18"/>
      <c r="C117" s="18"/>
      <c r="D117" s="154"/>
      <c r="E117" s="154"/>
      <c r="F117" s="154"/>
      <c r="G117" s="154"/>
      <c r="H117" s="154"/>
      <c r="I117" s="154"/>
      <c r="J117" s="154"/>
      <c r="K117" s="154"/>
      <c r="L117" s="152"/>
      <c r="N117" s="153"/>
      <c r="R117" s="163"/>
      <c r="T117" s="163"/>
    </row>
    <row r="118" spans="1:20" s="15" customFormat="1" x14ac:dyDescent="0.5">
      <c r="B118" s="18"/>
      <c r="C118" s="18"/>
      <c r="D118" s="152"/>
      <c r="E118" s="152"/>
      <c r="F118" s="152"/>
      <c r="G118" s="152"/>
      <c r="H118" s="152"/>
      <c r="I118" s="152"/>
      <c r="J118" s="152"/>
      <c r="K118" s="152"/>
      <c r="L118" s="153"/>
      <c r="M118" s="153"/>
      <c r="N118" s="153"/>
      <c r="R118" s="163"/>
      <c r="T118" s="163"/>
    </row>
    <row r="119" spans="1:20" s="15" customFormat="1" x14ac:dyDescent="0.5">
      <c r="B119" s="18"/>
      <c r="C119" s="18"/>
      <c r="D119" s="154"/>
      <c r="E119" s="154"/>
      <c r="F119" s="154"/>
      <c r="G119" s="154"/>
      <c r="H119" s="154"/>
      <c r="I119" s="154"/>
      <c r="J119" s="154"/>
      <c r="K119" s="154"/>
      <c r="L119" s="154"/>
      <c r="M119" s="24"/>
      <c r="N119" s="24"/>
      <c r="R119" s="163"/>
      <c r="T119" s="163"/>
    </row>
    <row r="120" spans="1:20" s="15" customFormat="1" x14ac:dyDescent="0.5">
      <c r="B120" s="18"/>
      <c r="C120" s="18"/>
      <c r="D120" s="152"/>
      <c r="E120" s="152"/>
      <c r="F120" s="152"/>
      <c r="G120" s="152"/>
      <c r="H120" s="152"/>
      <c r="I120" s="152"/>
      <c r="J120" s="152"/>
      <c r="K120" s="152"/>
      <c r="L120" s="153"/>
      <c r="M120" s="153"/>
      <c r="N120" s="24"/>
      <c r="O120" s="153"/>
      <c r="P120" s="153"/>
      <c r="R120" s="163"/>
      <c r="T120" s="163"/>
    </row>
    <row r="121" spans="1:20" s="15" customFormat="1" x14ac:dyDescent="0.5">
      <c r="B121" s="18"/>
      <c r="C121" s="18"/>
      <c r="D121" s="154"/>
      <c r="E121" s="154"/>
      <c r="F121" s="154"/>
      <c r="G121" s="154"/>
      <c r="H121" s="154"/>
      <c r="I121" s="154"/>
      <c r="J121" s="154"/>
      <c r="K121" s="154"/>
      <c r="L121" s="152"/>
      <c r="M121" s="153"/>
    </row>
    <row r="122" spans="1:20" s="15" customFormat="1" x14ac:dyDescent="0.5">
      <c r="B122" s="18"/>
      <c r="C122" s="18"/>
      <c r="D122" s="152"/>
      <c r="E122" s="152"/>
      <c r="F122" s="152"/>
      <c r="G122" s="152"/>
      <c r="H122" s="152"/>
      <c r="I122" s="152"/>
      <c r="J122" s="152"/>
      <c r="K122" s="152"/>
      <c r="L122" s="152"/>
      <c r="M122" s="153"/>
      <c r="N122" s="153"/>
    </row>
    <row r="123" spans="1:20" s="15" customFormat="1" x14ac:dyDescent="0.5">
      <c r="B123" s="18"/>
      <c r="C123" s="18"/>
      <c r="D123" s="152"/>
      <c r="E123" s="152"/>
      <c r="F123" s="152"/>
      <c r="G123" s="152"/>
      <c r="H123" s="152"/>
      <c r="I123" s="152"/>
      <c r="J123" s="152"/>
      <c r="K123" s="152"/>
      <c r="L123" s="152"/>
      <c r="M123" s="153"/>
    </row>
    <row r="124" spans="1:20" s="15" customFormat="1" x14ac:dyDescent="0.5">
      <c r="A124" s="14"/>
      <c r="B124" s="17"/>
      <c r="C124" s="17"/>
      <c r="D124" s="18"/>
      <c r="E124" s="18"/>
      <c r="F124" s="18"/>
      <c r="G124" s="18"/>
      <c r="H124" s="18"/>
      <c r="I124" s="18"/>
      <c r="J124" s="18"/>
      <c r="K124" s="18"/>
      <c r="L124" s="153"/>
      <c r="M124" s="153"/>
      <c r="N124" s="24"/>
      <c r="R124" s="163"/>
      <c r="T124" s="163"/>
    </row>
    <row r="125" spans="1:20" s="15" customFormat="1" x14ac:dyDescent="0.5">
      <c r="B125" s="18"/>
      <c r="C125" s="18"/>
      <c r="D125" s="152"/>
      <c r="E125" s="152"/>
      <c r="F125" s="152"/>
      <c r="G125" s="152"/>
      <c r="H125" s="152"/>
      <c r="I125" s="152"/>
      <c r="J125" s="152"/>
      <c r="K125" s="152"/>
      <c r="L125" s="152"/>
      <c r="N125" s="24"/>
      <c r="R125" s="163"/>
      <c r="T125" s="163"/>
    </row>
    <row r="126" spans="1:20" s="15" customFormat="1" x14ac:dyDescent="0.5">
      <c r="B126" s="18"/>
      <c r="C126" s="18"/>
      <c r="D126" s="154"/>
      <c r="E126" s="154"/>
      <c r="F126" s="154"/>
      <c r="G126" s="154"/>
      <c r="H126" s="154"/>
      <c r="I126" s="154"/>
      <c r="J126" s="154"/>
      <c r="K126" s="154"/>
      <c r="L126" s="152"/>
      <c r="N126" s="153"/>
      <c r="R126" s="163"/>
      <c r="T126" s="163"/>
    </row>
    <row r="127" spans="1:20" s="15" customFormat="1" x14ac:dyDescent="0.5">
      <c r="B127" s="18"/>
      <c r="C127" s="18"/>
      <c r="D127" s="152"/>
      <c r="E127" s="152"/>
      <c r="F127" s="152"/>
      <c r="G127" s="152"/>
      <c r="H127" s="152"/>
      <c r="I127" s="152"/>
      <c r="J127" s="152"/>
      <c r="K127" s="152"/>
      <c r="L127" s="153"/>
      <c r="M127" s="153"/>
      <c r="N127" s="153"/>
      <c r="R127" s="163"/>
      <c r="T127" s="163"/>
    </row>
    <row r="128" spans="1:20" s="15" customFormat="1" x14ac:dyDescent="0.5">
      <c r="B128" s="18"/>
      <c r="C128" s="18"/>
      <c r="D128" s="154"/>
      <c r="E128" s="154"/>
      <c r="F128" s="154"/>
      <c r="G128" s="154"/>
      <c r="H128" s="154"/>
      <c r="I128" s="154"/>
      <c r="J128" s="154"/>
      <c r="K128" s="154"/>
      <c r="L128" s="154"/>
      <c r="M128" s="24"/>
      <c r="N128" s="24"/>
      <c r="R128" s="163"/>
      <c r="T128" s="163"/>
    </row>
    <row r="129" spans="1:20" s="15" customFormat="1" x14ac:dyDescent="0.5">
      <c r="B129" s="18"/>
      <c r="C129" s="18"/>
      <c r="D129" s="152"/>
      <c r="E129" s="152"/>
      <c r="F129" s="152"/>
      <c r="G129" s="152"/>
      <c r="H129" s="152"/>
      <c r="I129" s="152"/>
      <c r="J129" s="152"/>
      <c r="K129" s="152"/>
      <c r="L129" s="153"/>
      <c r="M129" s="153"/>
      <c r="N129" s="24"/>
      <c r="O129" s="153"/>
      <c r="P129" s="153"/>
      <c r="R129" s="163"/>
      <c r="T129" s="163"/>
    </row>
    <row r="130" spans="1:20" s="15" customFormat="1" x14ac:dyDescent="0.5">
      <c r="B130" s="18"/>
      <c r="C130" s="18"/>
      <c r="D130" s="154"/>
      <c r="E130" s="154"/>
      <c r="F130" s="154"/>
      <c r="G130" s="154"/>
      <c r="H130" s="154"/>
      <c r="I130" s="154"/>
      <c r="J130" s="154"/>
      <c r="K130" s="154"/>
      <c r="L130" s="152"/>
      <c r="M130" s="153"/>
    </row>
    <row r="131" spans="1:20" s="15" customFormat="1" x14ac:dyDescent="0.5">
      <c r="B131" s="18"/>
      <c r="C131" s="18"/>
      <c r="D131" s="152"/>
      <c r="E131" s="152"/>
      <c r="F131" s="152"/>
      <c r="G131" s="152"/>
      <c r="H131" s="152"/>
      <c r="I131" s="152"/>
      <c r="J131" s="152"/>
      <c r="K131" s="152"/>
      <c r="L131" s="152"/>
      <c r="M131" s="153"/>
      <c r="N131" s="153"/>
    </row>
    <row r="132" spans="1:20" s="15" customFormat="1" x14ac:dyDescent="0.5">
      <c r="B132" s="18"/>
      <c r="C132" s="18"/>
      <c r="D132" s="152"/>
      <c r="E132" s="152"/>
      <c r="F132" s="152"/>
      <c r="G132" s="152"/>
      <c r="H132" s="152"/>
      <c r="I132" s="152"/>
      <c r="J132" s="152"/>
      <c r="K132" s="152"/>
      <c r="L132" s="152"/>
      <c r="M132" s="153"/>
    </row>
    <row r="133" spans="1:20" s="15" customFormat="1" x14ac:dyDescent="0.5">
      <c r="A133" s="14"/>
      <c r="B133" s="17"/>
      <c r="C133" s="17"/>
      <c r="D133" s="152"/>
      <c r="E133" s="152"/>
      <c r="F133" s="152"/>
      <c r="G133" s="152"/>
      <c r="H133" s="152"/>
      <c r="I133" s="152"/>
      <c r="J133" s="152"/>
      <c r="K133" s="152"/>
      <c r="L133" s="153"/>
      <c r="M133" s="153"/>
      <c r="N133" s="24"/>
    </row>
    <row r="134" spans="1:20" s="15" customFormat="1" x14ac:dyDescent="0.5">
      <c r="B134" s="18"/>
      <c r="C134" s="18"/>
      <c r="D134" s="152"/>
      <c r="E134" s="152"/>
      <c r="F134" s="152"/>
      <c r="G134" s="152"/>
      <c r="H134" s="152"/>
      <c r="I134" s="152"/>
      <c r="J134" s="152"/>
      <c r="K134" s="152"/>
      <c r="L134" s="153"/>
      <c r="M134" s="153"/>
      <c r="N134" s="24"/>
    </row>
    <row r="135" spans="1:20" s="15" customFormat="1" x14ac:dyDescent="0.5">
      <c r="B135" s="18"/>
      <c r="C135" s="18"/>
      <c r="D135" s="154"/>
      <c r="E135" s="154"/>
      <c r="F135" s="154"/>
      <c r="G135" s="154"/>
      <c r="H135" s="154"/>
      <c r="I135" s="154"/>
      <c r="J135" s="154"/>
      <c r="K135" s="154"/>
      <c r="L135" s="154"/>
      <c r="M135" s="153"/>
      <c r="N135" s="24"/>
    </row>
    <row r="136" spans="1:20" s="15" customFormat="1" x14ac:dyDescent="0.5">
      <c r="B136" s="18"/>
      <c r="C136" s="18"/>
      <c r="D136" s="152"/>
      <c r="E136" s="152"/>
      <c r="F136" s="152"/>
      <c r="G136" s="152"/>
      <c r="H136" s="152"/>
      <c r="I136" s="152"/>
      <c r="J136" s="152"/>
      <c r="K136" s="152"/>
      <c r="L136" s="153"/>
      <c r="M136" s="153"/>
      <c r="N136" s="153"/>
    </row>
    <row r="137" spans="1:20" s="15" customFormat="1" x14ac:dyDescent="0.5">
      <c r="B137" s="18"/>
      <c r="C137" s="18"/>
      <c r="D137" s="154"/>
      <c r="E137" s="154"/>
      <c r="F137" s="154"/>
      <c r="G137" s="154"/>
      <c r="H137" s="154"/>
      <c r="I137" s="154"/>
      <c r="J137" s="154"/>
      <c r="K137" s="154"/>
      <c r="L137" s="154"/>
      <c r="M137" s="24"/>
      <c r="N137" s="24"/>
    </row>
    <row r="138" spans="1:20" s="15" customFormat="1" x14ac:dyDescent="0.5">
      <c r="B138" s="18"/>
      <c r="C138" s="18"/>
      <c r="D138" s="152"/>
      <c r="E138" s="152"/>
      <c r="F138" s="152"/>
      <c r="G138" s="152"/>
      <c r="H138" s="152"/>
      <c r="I138" s="152"/>
      <c r="J138" s="152"/>
      <c r="K138" s="152"/>
      <c r="L138" s="153"/>
      <c r="M138" s="153"/>
      <c r="O138" s="153"/>
      <c r="P138" s="153"/>
    </row>
    <row r="139" spans="1:20" s="15" customFormat="1" x14ac:dyDescent="0.5">
      <c r="B139" s="18"/>
      <c r="C139" s="18"/>
      <c r="D139" s="154"/>
      <c r="E139" s="154"/>
      <c r="F139" s="154"/>
      <c r="G139" s="154"/>
      <c r="H139" s="154"/>
      <c r="I139" s="154"/>
      <c r="J139" s="154"/>
      <c r="K139" s="154"/>
      <c r="L139" s="154"/>
      <c r="M139" s="153"/>
      <c r="N139" s="153"/>
      <c r="O139" s="153"/>
      <c r="P139" s="153"/>
    </row>
    <row r="140" spans="1:20" s="15" customFormat="1" x14ac:dyDescent="0.5">
      <c r="B140" s="18"/>
      <c r="C140" s="18"/>
      <c r="D140" s="152"/>
      <c r="E140" s="152"/>
      <c r="F140" s="152"/>
      <c r="G140" s="152"/>
      <c r="H140" s="152"/>
      <c r="I140" s="152"/>
      <c r="J140" s="152"/>
      <c r="K140" s="152"/>
      <c r="L140" s="153"/>
      <c r="M140" s="153"/>
      <c r="N140" s="153"/>
      <c r="O140" s="153"/>
      <c r="P140" s="153"/>
    </row>
    <row r="141" spans="1:20" s="15" customFormat="1" x14ac:dyDescent="0.5">
      <c r="B141" s="18"/>
      <c r="C141" s="18"/>
      <c r="D141" s="152"/>
      <c r="E141" s="152"/>
      <c r="F141" s="152"/>
      <c r="G141" s="152"/>
      <c r="H141" s="152"/>
      <c r="I141" s="152"/>
      <c r="J141" s="152"/>
      <c r="K141" s="152"/>
      <c r="L141" s="153"/>
      <c r="M141" s="153"/>
      <c r="N141" s="24"/>
      <c r="O141" s="153"/>
      <c r="P141" s="153"/>
    </row>
    <row r="142" spans="1:20" s="15" customFormat="1" x14ac:dyDescent="0.5">
      <c r="A142" s="14"/>
      <c r="B142" s="17"/>
      <c r="C142" s="17"/>
      <c r="D142" s="18"/>
      <c r="E142" s="18"/>
      <c r="F142" s="18"/>
      <c r="G142" s="18"/>
      <c r="H142" s="18"/>
      <c r="I142" s="18"/>
      <c r="J142" s="18"/>
      <c r="K142" s="18"/>
      <c r="L142" s="153"/>
      <c r="M142" s="18"/>
      <c r="N142" s="24"/>
      <c r="R142" s="163"/>
      <c r="T142" s="163"/>
    </row>
    <row r="143" spans="1:20" s="15" customFormat="1" x14ac:dyDescent="0.5">
      <c r="B143" s="18"/>
      <c r="C143" s="18"/>
      <c r="D143" s="152"/>
      <c r="E143" s="152"/>
      <c r="F143" s="152"/>
      <c r="G143" s="152"/>
      <c r="H143" s="152"/>
      <c r="I143" s="152"/>
      <c r="J143" s="152"/>
      <c r="K143" s="152"/>
      <c r="L143" s="152"/>
      <c r="N143" s="24"/>
      <c r="R143" s="163"/>
      <c r="T143" s="163"/>
    </row>
    <row r="144" spans="1:20" s="15" customFormat="1" x14ac:dyDescent="0.5">
      <c r="B144" s="18"/>
      <c r="C144" s="18"/>
      <c r="D144" s="154"/>
      <c r="E144" s="154"/>
      <c r="F144" s="154"/>
      <c r="G144" s="154"/>
      <c r="H144" s="154"/>
      <c r="I144" s="154"/>
      <c r="J144" s="154"/>
      <c r="K144" s="154"/>
      <c r="L144" s="152"/>
      <c r="N144" s="153"/>
      <c r="R144" s="163"/>
      <c r="T144" s="163"/>
    </row>
    <row r="145" spans="1:20" s="15" customFormat="1" x14ac:dyDescent="0.5">
      <c r="B145" s="18"/>
      <c r="C145" s="18"/>
      <c r="D145" s="152"/>
      <c r="E145" s="152"/>
      <c r="F145" s="152"/>
      <c r="G145" s="152"/>
      <c r="H145" s="152"/>
      <c r="I145" s="152"/>
      <c r="J145" s="152"/>
      <c r="K145" s="152"/>
      <c r="L145" s="153"/>
      <c r="M145" s="153"/>
      <c r="N145" s="153"/>
      <c r="R145" s="163"/>
      <c r="T145" s="163"/>
    </row>
    <row r="146" spans="1:20" s="15" customFormat="1" x14ac:dyDescent="0.5">
      <c r="B146" s="18"/>
      <c r="C146" s="18"/>
      <c r="D146" s="154"/>
      <c r="E146" s="154"/>
      <c r="F146" s="154"/>
      <c r="G146" s="154"/>
      <c r="H146" s="154"/>
      <c r="I146" s="154"/>
      <c r="J146" s="154"/>
      <c r="K146" s="154"/>
      <c r="L146" s="154"/>
      <c r="M146" s="24"/>
      <c r="N146" s="24"/>
      <c r="R146" s="163"/>
      <c r="T146" s="163"/>
    </row>
    <row r="147" spans="1:20" s="15" customFormat="1" x14ac:dyDescent="0.5">
      <c r="B147" s="18"/>
      <c r="C147" s="18"/>
      <c r="D147" s="152"/>
      <c r="E147" s="152"/>
      <c r="F147" s="152"/>
      <c r="G147" s="152"/>
      <c r="H147" s="152"/>
      <c r="I147" s="152"/>
      <c r="J147" s="152"/>
      <c r="K147" s="152"/>
      <c r="L147" s="153"/>
      <c r="M147" s="153"/>
      <c r="N147" s="24"/>
      <c r="O147" s="153"/>
      <c r="P147" s="153"/>
      <c r="R147" s="163"/>
      <c r="T147" s="163"/>
    </row>
    <row r="148" spans="1:20" s="15" customFormat="1" x14ac:dyDescent="0.5">
      <c r="B148" s="18"/>
      <c r="C148" s="18"/>
      <c r="D148" s="154"/>
      <c r="E148" s="154"/>
      <c r="F148" s="154"/>
      <c r="G148" s="154"/>
      <c r="H148" s="154"/>
      <c r="I148" s="154"/>
      <c r="J148" s="154"/>
      <c r="K148" s="154"/>
      <c r="L148" s="152"/>
      <c r="M148" s="153"/>
    </row>
    <row r="149" spans="1:20" s="15" customFormat="1" x14ac:dyDescent="0.5">
      <c r="B149" s="18"/>
      <c r="C149" s="18"/>
      <c r="D149" s="152"/>
      <c r="E149" s="152"/>
      <c r="F149" s="152"/>
      <c r="G149" s="152"/>
      <c r="H149" s="152"/>
      <c r="I149" s="152"/>
      <c r="J149" s="152"/>
      <c r="K149" s="152"/>
      <c r="L149" s="152"/>
      <c r="M149" s="153"/>
      <c r="N149" s="153"/>
    </row>
    <row r="150" spans="1:20" s="15" customFormat="1" x14ac:dyDescent="0.5">
      <c r="B150" s="18"/>
      <c r="C150" s="18"/>
      <c r="D150" s="152"/>
      <c r="E150" s="152"/>
      <c r="F150" s="152"/>
      <c r="G150" s="152"/>
      <c r="H150" s="152"/>
      <c r="I150" s="152"/>
      <c r="J150" s="152"/>
      <c r="K150" s="152"/>
      <c r="L150" s="153"/>
      <c r="M150" s="153"/>
      <c r="N150" s="24"/>
      <c r="O150" s="153"/>
      <c r="P150" s="153"/>
    </row>
    <row r="151" spans="1:20" s="15" customFormat="1" x14ac:dyDescent="0.5">
      <c r="A151" s="14"/>
      <c r="B151" s="17"/>
      <c r="C151" s="17"/>
      <c r="D151" s="18"/>
      <c r="E151" s="18"/>
      <c r="F151" s="18"/>
      <c r="G151" s="18"/>
      <c r="H151" s="18"/>
      <c r="I151" s="18"/>
      <c r="J151" s="18"/>
      <c r="K151" s="18"/>
      <c r="L151" s="153"/>
      <c r="M151" s="24"/>
      <c r="N151" s="24"/>
      <c r="R151" s="163"/>
      <c r="T151" s="163"/>
    </row>
    <row r="152" spans="1:20" s="15" customFormat="1" x14ac:dyDescent="0.5">
      <c r="B152" s="18"/>
      <c r="C152" s="18"/>
      <c r="D152" s="152"/>
      <c r="E152" s="152"/>
      <c r="F152" s="152"/>
      <c r="G152" s="152"/>
      <c r="H152" s="152"/>
      <c r="I152" s="152"/>
      <c r="J152" s="152"/>
      <c r="K152" s="152"/>
      <c r="L152" s="152"/>
      <c r="N152" s="24"/>
      <c r="R152" s="163"/>
      <c r="T152" s="163"/>
    </row>
    <row r="153" spans="1:20" s="15" customFormat="1" x14ac:dyDescent="0.5">
      <c r="B153" s="18"/>
      <c r="C153" s="18"/>
      <c r="D153" s="154"/>
      <c r="E153" s="154"/>
      <c r="F153" s="154"/>
      <c r="G153" s="154"/>
      <c r="H153" s="154"/>
      <c r="I153" s="154"/>
      <c r="J153" s="154"/>
      <c r="K153" s="154"/>
      <c r="L153" s="152"/>
      <c r="N153" s="153"/>
      <c r="R153" s="163"/>
      <c r="T153" s="163"/>
    </row>
    <row r="154" spans="1:20" s="15" customFormat="1" x14ac:dyDescent="0.5">
      <c r="B154" s="18"/>
      <c r="C154" s="18"/>
      <c r="D154" s="152"/>
      <c r="E154" s="152"/>
      <c r="F154" s="152"/>
      <c r="G154" s="152"/>
      <c r="H154" s="152"/>
      <c r="I154" s="152"/>
      <c r="J154" s="152"/>
      <c r="K154" s="152"/>
      <c r="L154" s="153"/>
      <c r="M154" s="153"/>
      <c r="N154" s="153"/>
      <c r="R154" s="163"/>
      <c r="T154" s="163"/>
    </row>
    <row r="155" spans="1:20" s="15" customFormat="1" x14ac:dyDescent="0.5">
      <c r="B155" s="18"/>
      <c r="C155" s="18"/>
      <c r="D155" s="154"/>
      <c r="E155" s="154"/>
      <c r="F155" s="154"/>
      <c r="G155" s="154"/>
      <c r="H155" s="154"/>
      <c r="I155" s="154"/>
      <c r="J155" s="154"/>
      <c r="K155" s="154"/>
      <c r="L155" s="154"/>
      <c r="M155" s="24"/>
      <c r="N155" s="24"/>
      <c r="R155" s="163"/>
      <c r="T155" s="163"/>
    </row>
    <row r="156" spans="1:20" s="15" customFormat="1" x14ac:dyDescent="0.5">
      <c r="B156" s="18"/>
      <c r="C156" s="18"/>
      <c r="D156" s="152"/>
      <c r="E156" s="152"/>
      <c r="F156" s="152"/>
      <c r="G156" s="152"/>
      <c r="H156" s="152"/>
      <c r="I156" s="152"/>
      <c r="J156" s="152"/>
      <c r="K156" s="152"/>
      <c r="L156" s="153"/>
      <c r="M156" s="153"/>
      <c r="N156" s="24"/>
      <c r="O156" s="153"/>
      <c r="P156" s="153"/>
      <c r="R156" s="163"/>
      <c r="T156" s="163"/>
    </row>
    <row r="157" spans="1:20" s="15" customFormat="1" x14ac:dyDescent="0.5">
      <c r="B157" s="18"/>
      <c r="C157" s="18"/>
      <c r="D157" s="154"/>
      <c r="E157" s="154"/>
      <c r="F157" s="154"/>
      <c r="G157" s="154"/>
      <c r="H157" s="154"/>
      <c r="I157" s="154"/>
      <c r="J157" s="154"/>
      <c r="K157" s="154"/>
      <c r="L157" s="152"/>
      <c r="M157" s="153"/>
    </row>
    <row r="158" spans="1:20" s="15" customFormat="1" x14ac:dyDescent="0.5">
      <c r="B158" s="18"/>
      <c r="C158" s="18"/>
      <c r="D158" s="152"/>
      <c r="E158" s="152"/>
      <c r="F158" s="152"/>
      <c r="G158" s="152"/>
      <c r="H158" s="152"/>
      <c r="I158" s="152"/>
      <c r="J158" s="152"/>
      <c r="K158" s="152"/>
      <c r="L158" s="152"/>
      <c r="M158" s="153"/>
      <c r="N158" s="153"/>
    </row>
    <row r="159" spans="1:20" s="15" customFormat="1" x14ac:dyDescent="0.5">
      <c r="B159" s="18"/>
      <c r="C159" s="18"/>
      <c r="D159" s="152"/>
      <c r="E159" s="152"/>
      <c r="F159" s="152"/>
      <c r="G159" s="152"/>
      <c r="H159" s="152"/>
      <c r="I159" s="152"/>
      <c r="J159" s="152"/>
      <c r="K159" s="152"/>
      <c r="L159" s="152"/>
      <c r="M159" s="153"/>
    </row>
    <row r="160" spans="1:20" s="15" customFormat="1" x14ac:dyDescent="0.5">
      <c r="B160" s="18"/>
      <c r="C160" s="18"/>
      <c r="D160" s="18"/>
      <c r="E160" s="18"/>
      <c r="F160" s="18"/>
      <c r="G160" s="18"/>
      <c r="H160" s="18"/>
      <c r="I160" s="18"/>
      <c r="J160" s="18"/>
      <c r="K160" s="18"/>
      <c r="L160" s="153"/>
      <c r="M160" s="24"/>
      <c r="N160" s="24"/>
      <c r="R160" s="163"/>
      <c r="T160" s="163"/>
    </row>
    <row r="161" spans="2:20" s="15" customFormat="1" x14ac:dyDescent="0.5">
      <c r="B161" s="18"/>
      <c r="C161" s="18"/>
      <c r="D161" s="152"/>
      <c r="E161" s="152"/>
      <c r="F161" s="152"/>
      <c r="G161" s="152"/>
      <c r="H161" s="152"/>
      <c r="I161" s="152"/>
      <c r="J161" s="152"/>
      <c r="K161" s="152"/>
      <c r="L161" s="152"/>
      <c r="N161" s="24"/>
      <c r="R161" s="163"/>
      <c r="T161" s="163"/>
    </row>
    <row r="162" spans="2:20" s="15" customFormat="1" x14ac:dyDescent="0.5">
      <c r="B162" s="18"/>
      <c r="C162" s="18"/>
      <c r="D162" s="154"/>
      <c r="E162" s="154"/>
      <c r="F162" s="154"/>
      <c r="G162" s="154"/>
      <c r="H162" s="154"/>
      <c r="I162" s="154"/>
      <c r="J162" s="154"/>
      <c r="K162" s="154"/>
      <c r="L162" s="152"/>
      <c r="N162" s="153"/>
      <c r="R162" s="163"/>
      <c r="T162" s="163"/>
    </row>
    <row r="163" spans="2:20" s="15" customFormat="1" x14ac:dyDescent="0.5">
      <c r="B163" s="18"/>
      <c r="C163" s="18"/>
      <c r="D163" s="152"/>
      <c r="E163" s="152"/>
      <c r="F163" s="152"/>
      <c r="G163" s="152"/>
      <c r="H163" s="152"/>
      <c r="I163" s="152"/>
      <c r="J163" s="152"/>
      <c r="K163" s="152"/>
      <c r="L163" s="153"/>
      <c r="M163" s="153"/>
      <c r="N163" s="153"/>
      <c r="R163" s="163"/>
      <c r="T163" s="163"/>
    </row>
    <row r="164" spans="2:20" s="15" customFormat="1" x14ac:dyDescent="0.5">
      <c r="B164" s="18"/>
      <c r="C164" s="18"/>
      <c r="D164" s="154"/>
      <c r="E164" s="154"/>
      <c r="F164" s="154"/>
      <c r="G164" s="154"/>
      <c r="H164" s="154"/>
      <c r="I164" s="154"/>
      <c r="J164" s="154"/>
      <c r="K164" s="154"/>
      <c r="L164" s="154"/>
      <c r="M164" s="24"/>
      <c r="N164" s="24"/>
      <c r="R164" s="163"/>
      <c r="T164" s="163"/>
    </row>
    <row r="165" spans="2:20" s="15" customFormat="1" x14ac:dyDescent="0.5">
      <c r="B165" s="18"/>
      <c r="C165" s="18"/>
      <c r="D165" s="152"/>
      <c r="E165" s="152"/>
      <c r="F165" s="152"/>
      <c r="G165" s="152"/>
      <c r="H165" s="152"/>
      <c r="I165" s="152"/>
      <c r="J165" s="152"/>
      <c r="K165" s="152"/>
      <c r="L165" s="153"/>
      <c r="M165" s="153"/>
      <c r="N165" s="24"/>
      <c r="O165" s="153"/>
      <c r="P165" s="153"/>
      <c r="R165" s="163"/>
      <c r="T165" s="163"/>
    </row>
    <row r="166" spans="2:20" s="15" customFormat="1" x14ac:dyDescent="0.5">
      <c r="B166" s="18"/>
      <c r="C166" s="18"/>
      <c r="D166" s="154"/>
      <c r="E166" s="154"/>
      <c r="F166" s="154"/>
      <c r="G166" s="154"/>
      <c r="H166" s="154"/>
      <c r="I166" s="154"/>
      <c r="J166" s="154"/>
      <c r="K166" s="154"/>
      <c r="L166" s="152"/>
      <c r="M166" s="153"/>
    </row>
    <row r="167" spans="2:20" s="15" customFormat="1" x14ac:dyDescent="0.5">
      <c r="B167" s="18"/>
      <c r="C167" s="18"/>
      <c r="D167" s="152"/>
      <c r="E167" s="152"/>
      <c r="F167" s="152"/>
      <c r="G167" s="152"/>
      <c r="H167" s="152"/>
      <c r="I167" s="152"/>
      <c r="J167" s="152"/>
      <c r="K167" s="152"/>
      <c r="L167" s="152"/>
      <c r="M167" s="153"/>
      <c r="N167" s="153"/>
    </row>
    <row r="168" spans="2:20" s="15" customFormat="1" x14ac:dyDescent="0.5">
      <c r="B168" s="18"/>
      <c r="C168" s="18"/>
      <c r="D168" s="152"/>
      <c r="E168" s="152"/>
      <c r="F168" s="152"/>
      <c r="G168" s="152"/>
      <c r="H168" s="152"/>
      <c r="I168" s="152"/>
      <c r="J168" s="152"/>
      <c r="K168" s="152"/>
      <c r="L168" s="152"/>
      <c r="M168" s="153"/>
    </row>
    <row r="169" spans="2:20" s="15" customFormat="1" x14ac:dyDescent="0.5">
      <c r="B169" s="18"/>
      <c r="C169" s="18"/>
      <c r="D169" s="18"/>
      <c r="E169" s="18"/>
      <c r="F169" s="18"/>
      <c r="G169" s="18"/>
      <c r="H169" s="18"/>
      <c r="I169" s="18"/>
      <c r="J169" s="18"/>
      <c r="K169" s="18"/>
      <c r="L169" s="153"/>
      <c r="M169" s="24"/>
      <c r="N169" s="24"/>
      <c r="R169" s="163"/>
      <c r="T169" s="163"/>
    </row>
    <row r="170" spans="2:20" s="15" customFormat="1" x14ac:dyDescent="0.5">
      <c r="B170" s="18"/>
      <c r="C170" s="18"/>
      <c r="D170" s="152"/>
      <c r="E170" s="152"/>
      <c r="F170" s="152"/>
      <c r="G170" s="152"/>
      <c r="H170" s="152"/>
      <c r="I170" s="152"/>
      <c r="J170" s="152"/>
      <c r="K170" s="152"/>
      <c r="L170" s="152"/>
      <c r="N170" s="24"/>
      <c r="R170" s="163"/>
      <c r="T170" s="163"/>
    </row>
    <row r="171" spans="2:20" s="15" customFormat="1" x14ac:dyDescent="0.5">
      <c r="B171" s="18"/>
      <c r="C171" s="18"/>
      <c r="D171" s="154"/>
      <c r="E171" s="154"/>
      <c r="F171" s="154"/>
      <c r="G171" s="154"/>
      <c r="H171" s="154"/>
      <c r="I171" s="154"/>
      <c r="J171" s="154"/>
      <c r="K171" s="154"/>
      <c r="L171" s="152"/>
      <c r="N171" s="153"/>
      <c r="R171" s="163"/>
      <c r="T171" s="163"/>
    </row>
    <row r="172" spans="2:20" s="15" customFormat="1" x14ac:dyDescent="0.5">
      <c r="B172" s="18"/>
      <c r="C172" s="18"/>
      <c r="D172" s="152"/>
      <c r="E172" s="152"/>
      <c r="F172" s="152"/>
      <c r="G172" s="152"/>
      <c r="H172" s="152"/>
      <c r="I172" s="152"/>
      <c r="J172" s="152"/>
      <c r="K172" s="152"/>
      <c r="L172" s="153"/>
      <c r="M172" s="153"/>
      <c r="N172" s="153"/>
      <c r="R172" s="163"/>
      <c r="T172" s="163"/>
    </row>
    <row r="173" spans="2:20" s="15" customFormat="1" x14ac:dyDescent="0.5">
      <c r="B173" s="18"/>
      <c r="C173" s="18"/>
      <c r="D173" s="154"/>
      <c r="E173" s="154"/>
      <c r="F173" s="154"/>
      <c r="G173" s="154"/>
      <c r="H173" s="154"/>
      <c r="I173" s="154"/>
      <c r="J173" s="154"/>
      <c r="K173" s="154"/>
      <c r="L173" s="154"/>
      <c r="M173" s="24"/>
      <c r="N173" s="24"/>
      <c r="R173" s="163"/>
      <c r="T173" s="163"/>
    </row>
    <row r="174" spans="2:20" s="15" customFormat="1" x14ac:dyDescent="0.5">
      <c r="B174" s="18"/>
      <c r="C174" s="18"/>
      <c r="D174" s="152"/>
      <c r="E174" s="152"/>
      <c r="F174" s="152"/>
      <c r="G174" s="152"/>
      <c r="H174" s="152"/>
      <c r="I174" s="152"/>
      <c r="J174" s="152"/>
      <c r="K174" s="152"/>
      <c r="L174" s="153"/>
      <c r="M174" s="153"/>
      <c r="N174" s="24"/>
      <c r="O174" s="153"/>
      <c r="P174" s="153"/>
      <c r="R174" s="163"/>
      <c r="T174" s="163"/>
    </row>
    <row r="175" spans="2:20" s="15" customFormat="1" x14ac:dyDescent="0.5">
      <c r="B175" s="18"/>
      <c r="C175" s="18"/>
      <c r="D175" s="154"/>
      <c r="E175" s="154"/>
      <c r="F175" s="154"/>
      <c r="G175" s="154"/>
      <c r="H175" s="154"/>
      <c r="I175" s="154"/>
      <c r="J175" s="154"/>
      <c r="K175" s="154"/>
      <c r="L175" s="152"/>
      <c r="M175" s="153"/>
    </row>
    <row r="176" spans="2:20" s="15" customFormat="1" x14ac:dyDescent="0.5">
      <c r="B176" s="18"/>
      <c r="C176" s="18"/>
      <c r="D176" s="152"/>
      <c r="E176" s="152"/>
      <c r="F176" s="152"/>
      <c r="G176" s="152"/>
      <c r="H176" s="152"/>
      <c r="I176" s="152"/>
      <c r="J176" s="152"/>
      <c r="K176" s="152"/>
      <c r="L176" s="152"/>
      <c r="M176" s="153"/>
      <c r="N176" s="153"/>
    </row>
    <row r="177" spans="2:20" s="15" customFormat="1" x14ac:dyDescent="0.5">
      <c r="B177" s="18"/>
      <c r="C177" s="18"/>
      <c r="D177" s="152"/>
      <c r="E177" s="152"/>
      <c r="F177" s="152"/>
      <c r="G177" s="152"/>
      <c r="H177" s="152"/>
      <c r="I177" s="152"/>
      <c r="J177" s="152"/>
      <c r="K177" s="152"/>
      <c r="L177" s="152"/>
      <c r="M177" s="153"/>
    </row>
    <row r="178" spans="2:20" s="15" customFormat="1" x14ac:dyDescent="0.5">
      <c r="B178" s="18"/>
      <c r="C178" s="18"/>
      <c r="D178" s="18"/>
      <c r="E178" s="18"/>
      <c r="F178" s="18"/>
      <c r="G178" s="18"/>
      <c r="H178" s="18"/>
      <c r="I178" s="18"/>
      <c r="J178" s="18"/>
      <c r="K178" s="18"/>
      <c r="L178" s="153"/>
      <c r="M178" s="24"/>
      <c r="N178" s="24"/>
      <c r="R178" s="163"/>
      <c r="T178" s="163"/>
    </row>
    <row r="179" spans="2:20" s="15" customFormat="1" x14ac:dyDescent="0.5">
      <c r="B179" s="18"/>
      <c r="C179" s="18"/>
      <c r="D179" s="152"/>
      <c r="E179" s="152"/>
      <c r="F179" s="152"/>
      <c r="G179" s="152"/>
      <c r="H179" s="152"/>
      <c r="I179" s="152"/>
      <c r="J179" s="152"/>
      <c r="K179" s="152"/>
      <c r="L179" s="152"/>
      <c r="N179" s="24"/>
      <c r="R179" s="163"/>
      <c r="T179" s="163"/>
    </row>
    <row r="180" spans="2:20" s="15" customFormat="1" x14ac:dyDescent="0.5">
      <c r="B180" s="18"/>
      <c r="C180" s="18"/>
      <c r="D180" s="154"/>
      <c r="E180" s="154"/>
      <c r="F180" s="154"/>
      <c r="G180" s="154"/>
      <c r="H180" s="154"/>
      <c r="I180" s="154"/>
      <c r="J180" s="154"/>
      <c r="K180" s="154"/>
      <c r="L180" s="152"/>
      <c r="N180" s="153"/>
      <c r="R180" s="163"/>
      <c r="T180" s="163"/>
    </row>
    <row r="181" spans="2:20" s="15" customFormat="1" x14ac:dyDescent="0.5">
      <c r="B181" s="18"/>
      <c r="C181" s="18"/>
      <c r="D181" s="152"/>
      <c r="E181" s="152"/>
      <c r="F181" s="152"/>
      <c r="G181" s="152"/>
      <c r="H181" s="152"/>
      <c r="I181" s="152"/>
      <c r="J181" s="152"/>
      <c r="K181" s="152"/>
      <c r="L181" s="153"/>
      <c r="M181" s="153"/>
      <c r="N181" s="153"/>
      <c r="R181" s="163"/>
      <c r="T181" s="163"/>
    </row>
    <row r="182" spans="2:20" s="15" customFormat="1" x14ac:dyDescent="0.5">
      <c r="B182" s="18"/>
      <c r="C182" s="18"/>
      <c r="D182" s="154"/>
      <c r="E182" s="154"/>
      <c r="F182" s="154"/>
      <c r="G182" s="154"/>
      <c r="H182" s="154"/>
      <c r="I182" s="154"/>
      <c r="J182" s="154"/>
      <c r="K182" s="154"/>
      <c r="L182" s="154"/>
      <c r="M182" s="24"/>
      <c r="N182" s="24"/>
      <c r="R182" s="163"/>
      <c r="T182" s="163"/>
    </row>
    <row r="183" spans="2:20" s="15" customFormat="1" x14ac:dyDescent="0.5">
      <c r="B183" s="18"/>
      <c r="C183" s="18"/>
      <c r="D183" s="152"/>
      <c r="E183" s="152"/>
      <c r="F183" s="152"/>
      <c r="G183" s="152"/>
      <c r="H183" s="152"/>
      <c r="I183" s="152"/>
      <c r="J183" s="152"/>
      <c r="K183" s="152"/>
      <c r="L183" s="153"/>
      <c r="M183" s="153"/>
      <c r="N183" s="24"/>
      <c r="O183" s="153"/>
      <c r="P183" s="153"/>
      <c r="R183" s="163"/>
      <c r="T183" s="163"/>
    </row>
    <row r="184" spans="2:20" s="15" customFormat="1" x14ac:dyDescent="0.5">
      <c r="B184" s="18"/>
      <c r="C184" s="18"/>
      <c r="D184" s="154"/>
      <c r="E184" s="154"/>
      <c r="F184" s="154"/>
      <c r="G184" s="154"/>
      <c r="H184" s="154"/>
      <c r="I184" s="154"/>
      <c r="J184" s="154"/>
      <c r="K184" s="154"/>
      <c r="L184" s="152"/>
      <c r="M184" s="153"/>
    </row>
    <row r="185" spans="2:20" s="15" customFormat="1" x14ac:dyDescent="0.5">
      <c r="B185" s="18"/>
      <c r="C185" s="18"/>
      <c r="D185" s="152"/>
      <c r="E185" s="152"/>
      <c r="F185" s="152"/>
      <c r="G185" s="152"/>
      <c r="H185" s="152"/>
      <c r="I185" s="152"/>
      <c r="J185" s="152"/>
      <c r="K185" s="152"/>
      <c r="L185" s="152"/>
      <c r="M185" s="153"/>
      <c r="N185" s="153"/>
    </row>
    <row r="186" spans="2:20" s="15" customFormat="1" x14ac:dyDescent="0.5">
      <c r="B186" s="18"/>
      <c r="C186" s="18"/>
      <c r="D186" s="152"/>
      <c r="E186" s="152"/>
      <c r="F186" s="152"/>
      <c r="G186" s="152"/>
      <c r="H186" s="152"/>
      <c r="I186" s="152"/>
      <c r="J186" s="152"/>
      <c r="K186" s="152"/>
      <c r="L186" s="152"/>
      <c r="M186" s="153"/>
    </row>
    <row r="187" spans="2:20" s="15" customFormat="1" x14ac:dyDescent="0.5">
      <c r="B187" s="18"/>
      <c r="C187" s="18"/>
      <c r="D187" s="18"/>
      <c r="E187" s="18"/>
      <c r="F187" s="18"/>
      <c r="G187" s="18"/>
      <c r="H187" s="18"/>
      <c r="I187" s="18"/>
      <c r="J187" s="18"/>
      <c r="K187" s="18"/>
      <c r="L187" s="153"/>
      <c r="M187" s="24"/>
      <c r="N187" s="24"/>
    </row>
    <row r="188" spans="2:20" s="15" customFormat="1" x14ac:dyDescent="0.5">
      <c r="B188" s="18"/>
      <c r="C188" s="18"/>
      <c r="D188" s="152"/>
      <c r="E188" s="152"/>
      <c r="F188" s="152"/>
      <c r="G188" s="152"/>
      <c r="H188" s="152"/>
      <c r="I188" s="152"/>
      <c r="J188" s="152"/>
      <c r="K188" s="152"/>
      <c r="L188" s="152"/>
      <c r="N188" s="24"/>
    </row>
    <row r="189" spans="2:20" s="15" customFormat="1" x14ac:dyDescent="0.5">
      <c r="B189" s="18"/>
      <c r="C189" s="18"/>
      <c r="D189" s="154"/>
      <c r="E189" s="154"/>
      <c r="F189" s="154"/>
      <c r="G189" s="154"/>
      <c r="H189" s="154"/>
      <c r="I189" s="154"/>
      <c r="J189" s="154"/>
      <c r="K189" s="154"/>
      <c r="L189" s="152"/>
      <c r="N189" s="153"/>
    </row>
    <row r="190" spans="2:20" s="15" customFormat="1" x14ac:dyDescent="0.5">
      <c r="B190" s="18"/>
      <c r="C190" s="18"/>
      <c r="D190" s="152"/>
      <c r="E190" s="152"/>
      <c r="F190" s="152"/>
      <c r="G190" s="152"/>
      <c r="H190" s="152"/>
      <c r="I190" s="152"/>
      <c r="J190" s="164"/>
      <c r="K190" s="152"/>
      <c r="L190" s="153"/>
      <c r="M190" s="153"/>
      <c r="N190" s="153"/>
    </row>
    <row r="191" spans="2:20" s="15" customFormat="1" x14ac:dyDescent="0.5">
      <c r="B191" s="18"/>
      <c r="C191" s="18"/>
      <c r="D191" s="154"/>
      <c r="E191" s="154"/>
      <c r="F191" s="154"/>
      <c r="G191" s="154"/>
      <c r="H191" s="154"/>
      <c r="I191" s="154"/>
      <c r="J191" s="154"/>
      <c r="K191" s="154"/>
      <c r="L191" s="154"/>
      <c r="M191" s="24"/>
      <c r="N191" s="24"/>
    </row>
    <row r="192" spans="2:20" s="15" customFormat="1" x14ac:dyDescent="0.5">
      <c r="B192" s="18"/>
      <c r="C192" s="18"/>
      <c r="D192" s="152"/>
      <c r="E192" s="152"/>
      <c r="F192" s="152"/>
      <c r="G192" s="152"/>
      <c r="H192" s="152"/>
      <c r="I192" s="152"/>
      <c r="J192" s="152"/>
      <c r="K192" s="152"/>
      <c r="L192" s="153"/>
      <c r="M192" s="153"/>
      <c r="N192" s="24"/>
      <c r="O192" s="153"/>
      <c r="P192" s="153"/>
    </row>
    <row r="193" spans="2:20" s="15" customFormat="1" x14ac:dyDescent="0.5">
      <c r="B193" s="18"/>
      <c r="C193" s="18"/>
      <c r="D193" s="154"/>
      <c r="E193" s="154"/>
      <c r="F193" s="154"/>
      <c r="G193" s="154"/>
      <c r="H193" s="154"/>
      <c r="I193" s="154"/>
      <c r="J193" s="154"/>
      <c r="K193" s="154"/>
      <c r="L193" s="152"/>
      <c r="M193" s="153"/>
    </row>
    <row r="194" spans="2:20" s="15" customFormat="1" x14ac:dyDescent="0.5">
      <c r="B194" s="18"/>
      <c r="C194" s="18"/>
      <c r="D194" s="152"/>
      <c r="E194" s="152"/>
      <c r="F194" s="152"/>
      <c r="G194" s="152"/>
      <c r="H194" s="152"/>
      <c r="I194" s="152"/>
      <c r="J194" s="152"/>
      <c r="K194" s="152"/>
      <c r="L194" s="152"/>
      <c r="M194" s="153"/>
      <c r="N194" s="153"/>
    </row>
    <row r="195" spans="2:20" s="15" customFormat="1" x14ac:dyDescent="0.5">
      <c r="B195" s="18"/>
      <c r="C195" s="18"/>
      <c r="D195" s="152"/>
      <c r="E195" s="152"/>
      <c r="F195" s="152"/>
      <c r="G195" s="152"/>
      <c r="H195" s="152"/>
      <c r="I195" s="152"/>
      <c r="J195" s="152"/>
      <c r="K195" s="152"/>
      <c r="L195" s="152"/>
      <c r="M195" s="153"/>
    </row>
    <row r="196" spans="2:20" s="15" customFormat="1" x14ac:dyDescent="0.5">
      <c r="B196" s="18"/>
      <c r="C196" s="18"/>
      <c r="D196" s="18"/>
      <c r="E196" s="18"/>
      <c r="F196" s="18"/>
      <c r="G196" s="18"/>
      <c r="H196" s="18"/>
      <c r="I196" s="18"/>
      <c r="J196" s="18"/>
      <c r="K196" s="18"/>
      <c r="L196" s="153"/>
      <c r="M196" s="24"/>
      <c r="N196" s="24"/>
      <c r="R196" s="163"/>
      <c r="T196" s="163"/>
    </row>
    <row r="197" spans="2:20" s="15" customFormat="1" x14ac:dyDescent="0.5">
      <c r="B197" s="18"/>
      <c r="C197" s="18"/>
      <c r="D197" s="152"/>
      <c r="E197" s="152"/>
      <c r="F197" s="152"/>
      <c r="G197" s="152"/>
      <c r="H197" s="152"/>
      <c r="I197" s="152"/>
      <c r="J197" s="152"/>
      <c r="K197" s="152"/>
      <c r="L197" s="153"/>
      <c r="N197" s="24"/>
      <c r="R197" s="163"/>
      <c r="T197" s="163"/>
    </row>
    <row r="198" spans="2:20" s="15" customFormat="1" x14ac:dyDescent="0.5">
      <c r="B198" s="18"/>
      <c r="C198" s="18"/>
      <c r="D198" s="154"/>
      <c r="E198" s="154"/>
      <c r="F198" s="154"/>
      <c r="G198" s="154"/>
      <c r="H198" s="154"/>
      <c r="I198" s="154"/>
      <c r="J198" s="154"/>
      <c r="K198" s="154"/>
      <c r="L198" s="152"/>
      <c r="N198" s="153"/>
      <c r="R198" s="163"/>
      <c r="T198" s="163"/>
    </row>
    <row r="199" spans="2:20" s="15" customFormat="1" x14ac:dyDescent="0.5">
      <c r="B199" s="18"/>
      <c r="C199" s="18"/>
      <c r="D199" s="152"/>
      <c r="E199" s="152"/>
      <c r="F199" s="152"/>
      <c r="G199" s="152"/>
      <c r="H199" s="152"/>
      <c r="I199" s="152"/>
      <c r="J199" s="152"/>
      <c r="K199" s="152"/>
      <c r="L199" s="153"/>
      <c r="M199" s="153"/>
      <c r="N199" s="153"/>
      <c r="R199" s="163"/>
      <c r="T199" s="163"/>
    </row>
    <row r="200" spans="2:20" s="15" customFormat="1" x14ac:dyDescent="0.5">
      <c r="B200" s="18"/>
      <c r="C200" s="18"/>
      <c r="D200" s="154"/>
      <c r="E200" s="154"/>
      <c r="F200" s="154"/>
      <c r="G200" s="154"/>
      <c r="H200" s="154"/>
      <c r="I200" s="154"/>
      <c r="J200" s="154"/>
      <c r="K200" s="154"/>
      <c r="L200" s="154"/>
      <c r="M200" s="24"/>
      <c r="N200" s="24"/>
      <c r="R200" s="163"/>
      <c r="T200" s="163"/>
    </row>
    <row r="201" spans="2:20" s="15" customFormat="1" x14ac:dyDescent="0.5">
      <c r="B201" s="18"/>
      <c r="C201" s="18"/>
      <c r="D201" s="152"/>
      <c r="E201" s="152"/>
      <c r="F201" s="152"/>
      <c r="G201" s="152"/>
      <c r="H201" s="152"/>
      <c r="I201" s="152"/>
      <c r="J201" s="152"/>
      <c r="K201" s="152"/>
      <c r="L201" s="153"/>
      <c r="M201" s="153"/>
      <c r="N201" s="24"/>
      <c r="O201" s="153"/>
      <c r="P201" s="153"/>
      <c r="R201" s="163"/>
      <c r="T201" s="163"/>
    </row>
    <row r="202" spans="2:20" s="15" customFormat="1" x14ac:dyDescent="0.5">
      <c r="B202" s="18"/>
      <c r="C202" s="18"/>
      <c r="D202" s="154"/>
      <c r="E202" s="154"/>
      <c r="F202" s="154"/>
      <c r="G202" s="154"/>
      <c r="H202" s="154"/>
      <c r="I202" s="154"/>
      <c r="J202" s="154"/>
      <c r="K202" s="154"/>
      <c r="L202" s="152"/>
      <c r="M202" s="153"/>
    </row>
    <row r="203" spans="2:20" s="15" customFormat="1" x14ac:dyDescent="0.5">
      <c r="B203" s="18"/>
      <c r="C203" s="18"/>
      <c r="D203" s="152"/>
      <c r="E203" s="152"/>
      <c r="F203" s="152"/>
      <c r="G203" s="152"/>
      <c r="H203" s="152"/>
      <c r="I203" s="152"/>
      <c r="J203" s="152"/>
      <c r="K203" s="152"/>
      <c r="L203" s="152"/>
      <c r="M203" s="153"/>
      <c r="N203" s="153"/>
    </row>
    <row r="204" spans="2:20" s="15" customFormat="1" x14ac:dyDescent="0.5">
      <c r="B204" s="18"/>
      <c r="C204" s="18"/>
      <c r="D204" s="152"/>
      <c r="E204" s="152"/>
      <c r="F204" s="152"/>
      <c r="G204" s="152"/>
      <c r="H204" s="152"/>
      <c r="I204" s="152"/>
      <c r="J204" s="152"/>
      <c r="K204" s="152"/>
      <c r="L204" s="152"/>
      <c r="M204" s="153"/>
    </row>
    <row r="205" spans="2:20" s="15" customFormat="1" x14ac:dyDescent="0.5">
      <c r="B205" s="18"/>
      <c r="C205" s="18"/>
      <c r="D205" s="18"/>
      <c r="E205" s="18"/>
      <c r="F205" s="18"/>
      <c r="G205" s="18"/>
      <c r="H205" s="18"/>
      <c r="I205" s="18"/>
      <c r="J205" s="18"/>
      <c r="K205" s="18"/>
      <c r="L205" s="153"/>
      <c r="M205" s="24"/>
      <c r="N205" s="24"/>
      <c r="R205" s="163"/>
      <c r="T205" s="163"/>
    </row>
    <row r="206" spans="2:20" s="15" customFormat="1" x14ac:dyDescent="0.5">
      <c r="B206" s="18"/>
      <c r="C206" s="18"/>
      <c r="D206" s="152"/>
      <c r="E206" s="152"/>
      <c r="F206" s="152"/>
      <c r="G206" s="152"/>
      <c r="H206" s="152"/>
      <c r="I206" s="152"/>
      <c r="J206" s="152"/>
      <c r="K206" s="152"/>
      <c r="L206" s="152"/>
      <c r="N206" s="24"/>
      <c r="R206" s="163"/>
      <c r="T206" s="163"/>
    </row>
    <row r="207" spans="2:20" s="15" customFormat="1" x14ac:dyDescent="0.5">
      <c r="B207" s="18"/>
      <c r="C207" s="18"/>
      <c r="D207" s="154"/>
      <c r="E207" s="154"/>
      <c r="F207" s="154"/>
      <c r="G207" s="154"/>
      <c r="H207" s="154"/>
      <c r="I207" s="154"/>
      <c r="J207" s="154"/>
      <c r="K207" s="154"/>
      <c r="L207" s="152"/>
      <c r="N207" s="153"/>
      <c r="R207" s="163"/>
      <c r="T207" s="163"/>
    </row>
    <row r="208" spans="2:20" s="15" customFormat="1" x14ac:dyDescent="0.5">
      <c r="B208" s="18"/>
      <c r="C208" s="18"/>
      <c r="D208" s="152"/>
      <c r="E208" s="152"/>
      <c r="F208" s="152"/>
      <c r="G208" s="152"/>
      <c r="H208" s="152"/>
      <c r="I208" s="152"/>
      <c r="J208" s="152"/>
      <c r="K208" s="152"/>
      <c r="L208" s="153"/>
      <c r="M208" s="153"/>
      <c r="N208" s="153"/>
      <c r="R208" s="163"/>
      <c r="T208" s="163"/>
    </row>
    <row r="209" spans="1:20" s="15" customFormat="1" x14ac:dyDescent="0.5">
      <c r="B209" s="18"/>
      <c r="C209" s="18"/>
      <c r="D209" s="154"/>
      <c r="E209" s="154"/>
      <c r="F209" s="154"/>
      <c r="G209" s="154"/>
      <c r="H209" s="154"/>
      <c r="I209" s="154"/>
      <c r="J209" s="154"/>
      <c r="K209" s="154"/>
      <c r="L209" s="154"/>
      <c r="M209" s="24"/>
      <c r="N209" s="24"/>
      <c r="R209" s="163"/>
      <c r="T209" s="163"/>
    </row>
    <row r="210" spans="1:20" s="15" customFormat="1" x14ac:dyDescent="0.5">
      <c r="B210" s="18"/>
      <c r="C210" s="18"/>
      <c r="D210" s="152"/>
      <c r="E210" s="152"/>
      <c r="F210" s="152"/>
      <c r="G210" s="152"/>
      <c r="H210" s="152"/>
      <c r="I210" s="152"/>
      <c r="J210" s="152"/>
      <c r="K210" s="152"/>
      <c r="L210" s="153"/>
      <c r="M210" s="153"/>
      <c r="N210" s="24"/>
      <c r="O210" s="153"/>
      <c r="P210" s="153"/>
      <c r="R210" s="163"/>
      <c r="T210" s="163"/>
    </row>
    <row r="211" spans="1:20" s="15" customFormat="1" x14ac:dyDescent="0.5">
      <c r="B211" s="18"/>
      <c r="C211" s="18"/>
      <c r="D211" s="154"/>
      <c r="E211" s="154"/>
      <c r="F211" s="154"/>
      <c r="G211" s="154"/>
      <c r="H211" s="154"/>
      <c r="I211" s="154"/>
      <c r="J211" s="154"/>
      <c r="K211" s="154"/>
      <c r="L211" s="152"/>
      <c r="M211" s="153"/>
    </row>
    <row r="212" spans="1:20" s="15" customFormat="1" x14ac:dyDescent="0.5">
      <c r="B212" s="18"/>
      <c r="C212" s="18"/>
      <c r="D212" s="152"/>
      <c r="E212" s="152"/>
      <c r="F212" s="152"/>
      <c r="G212" s="152"/>
      <c r="H212" s="152"/>
      <c r="I212" s="152"/>
      <c r="J212" s="152"/>
      <c r="K212" s="152"/>
      <c r="L212" s="152"/>
      <c r="M212" s="153"/>
      <c r="N212" s="153"/>
    </row>
    <row r="213" spans="1:20" s="15" customFormat="1" x14ac:dyDescent="0.5">
      <c r="B213" s="18"/>
      <c r="C213" s="18"/>
      <c r="D213" s="152"/>
      <c r="E213" s="152"/>
      <c r="F213" s="152"/>
      <c r="G213" s="152"/>
      <c r="H213" s="152"/>
      <c r="I213" s="152"/>
      <c r="J213" s="152"/>
      <c r="K213" s="152"/>
      <c r="L213" s="152"/>
      <c r="M213" s="153"/>
    </row>
    <row r="214" spans="1:20" s="15" customFormat="1" x14ac:dyDescent="0.5">
      <c r="A214" s="14"/>
      <c r="B214" s="17"/>
      <c r="C214" s="17"/>
      <c r="D214" s="18"/>
      <c r="E214" s="18"/>
      <c r="F214" s="18"/>
      <c r="G214" s="18"/>
      <c r="H214" s="18"/>
      <c r="I214" s="18"/>
      <c r="J214" s="18"/>
      <c r="K214" s="18"/>
      <c r="L214" s="153"/>
      <c r="M214" s="24"/>
      <c r="N214" s="24"/>
      <c r="R214" s="163"/>
      <c r="T214" s="163"/>
    </row>
    <row r="215" spans="1:20" s="15" customFormat="1" x14ac:dyDescent="0.5">
      <c r="B215" s="18"/>
      <c r="C215" s="18"/>
      <c r="D215" s="152"/>
      <c r="E215" s="152"/>
      <c r="F215" s="152"/>
      <c r="G215" s="152"/>
      <c r="H215" s="152"/>
      <c r="I215" s="152"/>
      <c r="J215" s="152"/>
      <c r="K215" s="152"/>
      <c r="L215" s="152"/>
      <c r="N215" s="24"/>
      <c r="R215" s="163"/>
      <c r="T215" s="163"/>
    </row>
    <row r="216" spans="1:20" s="15" customFormat="1" x14ac:dyDescent="0.5">
      <c r="B216" s="18"/>
      <c r="C216" s="18"/>
      <c r="D216" s="154"/>
      <c r="E216" s="154"/>
      <c r="F216" s="154"/>
      <c r="G216" s="154"/>
      <c r="H216" s="154"/>
      <c r="I216" s="154"/>
      <c r="J216" s="154"/>
      <c r="K216" s="154"/>
      <c r="L216" s="152"/>
      <c r="N216" s="153"/>
      <c r="R216" s="163"/>
      <c r="T216" s="163"/>
    </row>
    <row r="217" spans="1:20" s="15" customFormat="1" x14ac:dyDescent="0.5">
      <c r="B217" s="18"/>
      <c r="C217" s="18"/>
      <c r="D217" s="152"/>
      <c r="E217" s="152"/>
      <c r="F217" s="152"/>
      <c r="G217" s="152"/>
      <c r="H217" s="152"/>
      <c r="I217" s="152"/>
      <c r="J217" s="152"/>
      <c r="K217" s="152"/>
      <c r="L217" s="153"/>
      <c r="M217" s="153"/>
      <c r="N217" s="153"/>
      <c r="R217" s="163"/>
      <c r="T217" s="163"/>
    </row>
    <row r="218" spans="1:20" s="15" customFormat="1" x14ac:dyDescent="0.5">
      <c r="B218" s="18"/>
      <c r="C218" s="18"/>
      <c r="D218" s="154"/>
      <c r="E218" s="154"/>
      <c r="F218" s="154"/>
      <c r="G218" s="154"/>
      <c r="H218" s="154"/>
      <c r="I218" s="154"/>
      <c r="J218" s="154"/>
      <c r="K218" s="154"/>
      <c r="L218" s="154"/>
      <c r="M218" s="24"/>
      <c r="N218" s="24"/>
      <c r="R218" s="163"/>
      <c r="T218" s="163"/>
    </row>
    <row r="219" spans="1:20" s="15" customFormat="1" x14ac:dyDescent="0.5">
      <c r="B219" s="18"/>
      <c r="C219" s="18"/>
      <c r="D219" s="152"/>
      <c r="E219" s="152"/>
      <c r="F219" s="152"/>
      <c r="G219" s="152"/>
      <c r="H219" s="152"/>
      <c r="I219" s="152"/>
      <c r="J219" s="152"/>
      <c r="K219" s="152"/>
      <c r="L219" s="153"/>
      <c r="M219" s="153"/>
      <c r="N219" s="24"/>
      <c r="O219" s="153"/>
      <c r="P219" s="153"/>
      <c r="R219" s="163"/>
      <c r="T219" s="163"/>
    </row>
    <row r="220" spans="1:20" s="15" customFormat="1" x14ac:dyDescent="0.5">
      <c r="B220" s="18"/>
      <c r="C220" s="18"/>
      <c r="D220" s="154"/>
      <c r="E220" s="154"/>
      <c r="F220" s="154"/>
      <c r="G220" s="154"/>
      <c r="H220" s="154"/>
      <c r="I220" s="154"/>
      <c r="J220" s="154"/>
      <c r="K220" s="154"/>
      <c r="L220" s="154"/>
      <c r="M220" s="153"/>
    </row>
    <row r="221" spans="1:20" s="15" customFormat="1" x14ac:dyDescent="0.5">
      <c r="B221" s="18"/>
      <c r="C221" s="18"/>
      <c r="D221" s="152"/>
      <c r="E221" s="152"/>
      <c r="F221" s="152"/>
      <c r="G221" s="152"/>
      <c r="H221" s="152"/>
      <c r="I221" s="152"/>
      <c r="J221" s="152"/>
      <c r="K221" s="152"/>
      <c r="L221" s="152"/>
      <c r="M221" s="153"/>
      <c r="N221" s="153"/>
    </row>
    <row r="222" spans="1:20" s="15" customFormat="1" x14ac:dyDescent="0.5">
      <c r="B222" s="18"/>
      <c r="C222" s="18"/>
      <c r="D222" s="152"/>
      <c r="E222" s="152"/>
      <c r="F222" s="152"/>
      <c r="G222" s="152"/>
      <c r="H222" s="152"/>
      <c r="I222" s="152"/>
      <c r="J222" s="152"/>
      <c r="K222" s="152"/>
      <c r="L222" s="152"/>
      <c r="M222" s="153"/>
    </row>
    <row r="223" spans="1:20" s="15" customFormat="1" x14ac:dyDescent="0.5">
      <c r="B223" s="18"/>
      <c r="C223" s="18"/>
      <c r="D223" s="18"/>
      <c r="E223" s="18"/>
      <c r="F223" s="18"/>
      <c r="G223" s="18"/>
      <c r="H223" s="18"/>
      <c r="I223" s="18"/>
      <c r="J223" s="18"/>
      <c r="K223" s="18"/>
      <c r="L223" s="153"/>
      <c r="M223" s="24"/>
      <c r="N223" s="24"/>
      <c r="R223" s="163"/>
      <c r="T223" s="163"/>
    </row>
    <row r="224" spans="1:20" s="15" customFormat="1" x14ac:dyDescent="0.5">
      <c r="B224" s="18"/>
      <c r="C224" s="18"/>
      <c r="D224" s="152"/>
      <c r="E224" s="152"/>
      <c r="F224" s="152"/>
      <c r="G224" s="152"/>
      <c r="H224" s="152"/>
      <c r="I224" s="152"/>
      <c r="J224" s="152"/>
      <c r="K224" s="152"/>
      <c r="L224" s="152"/>
      <c r="N224" s="24"/>
      <c r="R224" s="163"/>
      <c r="T224" s="163"/>
    </row>
    <row r="225" spans="2:20" s="15" customFormat="1" x14ac:dyDescent="0.5">
      <c r="B225" s="18"/>
      <c r="C225" s="18"/>
      <c r="D225" s="154"/>
      <c r="E225" s="154"/>
      <c r="F225" s="154"/>
      <c r="G225" s="154"/>
      <c r="H225" s="154"/>
      <c r="I225" s="154"/>
      <c r="J225" s="154"/>
      <c r="K225" s="154"/>
      <c r="L225" s="152"/>
      <c r="N225" s="153"/>
      <c r="R225" s="163"/>
      <c r="T225" s="163"/>
    </row>
    <row r="226" spans="2:20" s="15" customFormat="1" x14ac:dyDescent="0.5">
      <c r="B226" s="18"/>
      <c r="C226" s="18"/>
      <c r="D226" s="152"/>
      <c r="E226" s="152"/>
      <c r="F226" s="152"/>
      <c r="G226" s="152"/>
      <c r="H226" s="152"/>
      <c r="I226" s="152"/>
      <c r="J226" s="152"/>
      <c r="K226" s="152"/>
      <c r="L226" s="153"/>
      <c r="M226" s="153"/>
      <c r="N226" s="153"/>
      <c r="R226" s="163"/>
      <c r="T226" s="163"/>
    </row>
    <row r="227" spans="2:20" s="15" customFormat="1" x14ac:dyDescent="0.5">
      <c r="B227" s="18"/>
      <c r="C227" s="18"/>
      <c r="D227" s="154"/>
      <c r="E227" s="154"/>
      <c r="F227" s="154"/>
      <c r="G227" s="154"/>
      <c r="H227" s="154"/>
      <c r="I227" s="154"/>
      <c r="J227" s="154"/>
      <c r="K227" s="154"/>
      <c r="L227" s="154"/>
      <c r="M227" s="24"/>
      <c r="N227" s="24"/>
      <c r="R227" s="163"/>
      <c r="T227" s="163"/>
    </row>
    <row r="228" spans="2:20" s="15" customFormat="1" x14ac:dyDescent="0.5">
      <c r="B228" s="18"/>
      <c r="C228" s="18"/>
      <c r="D228" s="152"/>
      <c r="E228" s="152"/>
      <c r="F228" s="152"/>
      <c r="G228" s="152"/>
      <c r="H228" s="152"/>
      <c r="I228" s="152"/>
      <c r="J228" s="152"/>
      <c r="K228" s="152"/>
      <c r="L228" s="153"/>
      <c r="M228" s="153"/>
      <c r="N228" s="24"/>
      <c r="O228" s="153"/>
      <c r="P228" s="153"/>
      <c r="R228" s="163"/>
      <c r="T228" s="163"/>
    </row>
    <row r="229" spans="2:20" s="15" customFormat="1" x14ac:dyDescent="0.5">
      <c r="B229" s="18"/>
      <c r="C229" s="18"/>
      <c r="D229" s="154"/>
      <c r="E229" s="154"/>
      <c r="F229" s="154"/>
      <c r="G229" s="154"/>
      <c r="H229" s="154"/>
      <c r="I229" s="154"/>
      <c r="J229" s="154"/>
      <c r="K229" s="154"/>
      <c r="L229" s="154"/>
      <c r="M229" s="153"/>
    </row>
    <row r="230" spans="2:20" s="15" customFormat="1" x14ac:dyDescent="0.5">
      <c r="B230" s="18"/>
      <c r="C230" s="18"/>
      <c r="D230" s="152"/>
      <c r="E230" s="152"/>
      <c r="F230" s="152"/>
      <c r="G230" s="152"/>
      <c r="H230" s="152"/>
      <c r="I230" s="152"/>
      <c r="J230" s="152"/>
      <c r="K230" s="152"/>
      <c r="L230" s="152"/>
      <c r="M230" s="153"/>
      <c r="N230" s="153"/>
    </row>
    <row r="231" spans="2:20" s="15" customFormat="1" x14ac:dyDescent="0.5">
      <c r="B231" s="18"/>
      <c r="C231" s="18"/>
      <c r="D231" s="152"/>
      <c r="E231" s="152"/>
      <c r="F231" s="152"/>
      <c r="G231" s="152"/>
      <c r="H231" s="152"/>
      <c r="I231" s="152"/>
      <c r="J231" s="152"/>
      <c r="K231" s="152"/>
      <c r="L231" s="152"/>
      <c r="M231" s="153"/>
    </row>
    <row r="232" spans="2:20" s="15" customFormat="1" x14ac:dyDescent="0.5">
      <c r="B232" s="18"/>
      <c r="C232" s="18"/>
      <c r="D232" s="18"/>
      <c r="E232" s="18"/>
      <c r="F232" s="18"/>
      <c r="G232" s="18"/>
      <c r="H232" s="18"/>
      <c r="I232" s="18"/>
      <c r="J232" s="18"/>
      <c r="K232" s="18"/>
      <c r="L232" s="153"/>
      <c r="M232" s="24"/>
      <c r="N232" s="24"/>
      <c r="R232" s="163"/>
      <c r="T232" s="163"/>
    </row>
    <row r="233" spans="2:20" s="15" customFormat="1" x14ac:dyDescent="0.5">
      <c r="B233" s="18"/>
      <c r="C233" s="18"/>
      <c r="D233" s="152"/>
      <c r="E233" s="152"/>
      <c r="F233" s="152"/>
      <c r="G233" s="152"/>
      <c r="H233" s="152"/>
      <c r="I233" s="152"/>
      <c r="J233" s="152"/>
      <c r="K233" s="152"/>
      <c r="L233" s="152"/>
      <c r="N233" s="24"/>
      <c r="R233" s="163"/>
      <c r="T233" s="163"/>
    </row>
    <row r="234" spans="2:20" s="15" customFormat="1" x14ac:dyDescent="0.5">
      <c r="B234" s="18"/>
      <c r="C234" s="18"/>
      <c r="D234" s="154"/>
      <c r="E234" s="154"/>
      <c r="F234" s="154"/>
      <c r="G234" s="154"/>
      <c r="H234" s="154"/>
      <c r="I234" s="154"/>
      <c r="J234" s="154"/>
      <c r="K234" s="154"/>
      <c r="L234" s="152"/>
      <c r="N234" s="153"/>
      <c r="R234" s="163"/>
      <c r="T234" s="163"/>
    </row>
    <row r="235" spans="2:20" s="15" customFormat="1" x14ac:dyDescent="0.5">
      <c r="B235" s="18"/>
      <c r="C235" s="18"/>
      <c r="D235" s="152"/>
      <c r="E235" s="152"/>
      <c r="F235" s="152"/>
      <c r="G235" s="152"/>
      <c r="H235" s="152"/>
      <c r="I235" s="152"/>
      <c r="J235" s="152"/>
      <c r="K235" s="152"/>
      <c r="L235" s="153"/>
      <c r="M235" s="153"/>
      <c r="N235" s="153"/>
      <c r="R235" s="163"/>
      <c r="T235" s="163"/>
    </row>
    <row r="236" spans="2:20" s="15" customFormat="1" x14ac:dyDescent="0.5">
      <c r="B236" s="18"/>
      <c r="C236" s="18"/>
      <c r="D236" s="154"/>
      <c r="E236" s="154"/>
      <c r="F236" s="154"/>
      <c r="G236" s="154"/>
      <c r="H236" s="154"/>
      <c r="I236" s="154"/>
      <c r="J236" s="154"/>
      <c r="K236" s="154"/>
      <c r="L236" s="154"/>
      <c r="M236" s="24"/>
      <c r="N236" s="24"/>
      <c r="R236" s="163"/>
      <c r="T236" s="163"/>
    </row>
    <row r="237" spans="2:20" s="15" customFormat="1" x14ac:dyDescent="0.5">
      <c r="B237" s="18"/>
      <c r="C237" s="18"/>
      <c r="D237" s="152"/>
      <c r="E237" s="152"/>
      <c r="F237" s="152"/>
      <c r="G237" s="152"/>
      <c r="H237" s="152"/>
      <c r="I237" s="152"/>
      <c r="J237" s="152"/>
      <c r="K237" s="152"/>
      <c r="L237" s="153"/>
      <c r="M237" s="153"/>
      <c r="N237" s="24"/>
      <c r="O237" s="153"/>
      <c r="P237" s="153"/>
      <c r="R237" s="163"/>
      <c r="T237" s="163"/>
    </row>
    <row r="238" spans="2:20" s="15" customFormat="1" x14ac:dyDescent="0.5">
      <c r="B238" s="18"/>
      <c r="C238" s="18"/>
      <c r="D238" s="154"/>
      <c r="E238" s="154"/>
      <c r="F238" s="154"/>
      <c r="G238" s="154"/>
      <c r="H238" s="154"/>
      <c r="I238" s="154"/>
      <c r="J238" s="154"/>
      <c r="K238" s="154"/>
      <c r="L238" s="154"/>
      <c r="M238" s="153"/>
    </row>
    <row r="239" spans="2:20" s="15" customFormat="1" x14ac:dyDescent="0.5">
      <c r="B239" s="18"/>
      <c r="C239" s="18"/>
      <c r="D239" s="152"/>
      <c r="E239" s="152"/>
      <c r="F239" s="152"/>
      <c r="G239" s="152"/>
      <c r="H239" s="152"/>
      <c r="I239" s="152"/>
      <c r="J239" s="152"/>
      <c r="K239" s="152"/>
      <c r="L239" s="152"/>
      <c r="M239" s="153"/>
      <c r="N239" s="153"/>
    </row>
    <row r="240" spans="2:20" s="15" customFormat="1" x14ac:dyDescent="0.5">
      <c r="B240" s="18"/>
      <c r="C240" s="18"/>
      <c r="D240" s="152"/>
      <c r="E240" s="152"/>
      <c r="F240" s="152"/>
      <c r="G240" s="152"/>
      <c r="H240" s="152"/>
      <c r="I240" s="152"/>
      <c r="J240" s="152"/>
      <c r="K240" s="152"/>
      <c r="L240" s="152"/>
      <c r="M240" s="153"/>
    </row>
    <row r="241" spans="1:20" s="15" customFormat="1" x14ac:dyDescent="0.5">
      <c r="B241" s="18"/>
      <c r="C241" s="18"/>
      <c r="D241" s="18"/>
      <c r="E241" s="18"/>
      <c r="F241" s="18"/>
      <c r="G241" s="18"/>
      <c r="H241" s="18"/>
      <c r="I241" s="18"/>
      <c r="J241" s="18"/>
      <c r="K241" s="18"/>
      <c r="L241" s="153"/>
      <c r="M241" s="24"/>
      <c r="N241" s="24"/>
      <c r="R241" s="163"/>
      <c r="T241" s="163"/>
    </row>
    <row r="242" spans="1:20" s="15" customFormat="1" x14ac:dyDescent="0.5">
      <c r="B242" s="18"/>
      <c r="C242" s="18"/>
      <c r="D242" s="152"/>
      <c r="E242" s="152"/>
      <c r="F242" s="152"/>
      <c r="G242" s="152"/>
      <c r="H242" s="152"/>
      <c r="I242" s="152"/>
      <c r="J242" s="152"/>
      <c r="K242" s="152"/>
      <c r="L242" s="152"/>
      <c r="N242" s="24"/>
      <c r="R242" s="163"/>
      <c r="T242" s="163"/>
    </row>
    <row r="243" spans="1:20" s="15" customFormat="1" x14ac:dyDescent="0.5">
      <c r="B243" s="18"/>
      <c r="C243" s="18"/>
      <c r="D243" s="154"/>
      <c r="E243" s="154"/>
      <c r="F243" s="154"/>
      <c r="G243" s="154"/>
      <c r="H243" s="154"/>
      <c r="I243" s="154"/>
      <c r="J243" s="154"/>
      <c r="K243" s="154"/>
      <c r="L243" s="152"/>
      <c r="N243" s="153"/>
      <c r="R243" s="163"/>
      <c r="T243" s="163"/>
    </row>
    <row r="244" spans="1:20" s="15" customFormat="1" x14ac:dyDescent="0.5">
      <c r="B244" s="18"/>
      <c r="C244" s="18"/>
      <c r="D244" s="152"/>
      <c r="E244" s="152"/>
      <c r="F244" s="152"/>
      <c r="G244" s="152"/>
      <c r="H244" s="152"/>
      <c r="I244" s="152"/>
      <c r="J244" s="152"/>
      <c r="K244" s="152"/>
      <c r="L244" s="153"/>
      <c r="M244" s="153"/>
      <c r="N244" s="153"/>
      <c r="R244" s="163"/>
      <c r="T244" s="163"/>
    </row>
    <row r="245" spans="1:20" s="15" customFormat="1" x14ac:dyDescent="0.5">
      <c r="B245" s="18"/>
      <c r="C245" s="18"/>
      <c r="D245" s="154"/>
      <c r="E245" s="154"/>
      <c r="F245" s="154"/>
      <c r="G245" s="154"/>
      <c r="H245" s="154"/>
      <c r="I245" s="154"/>
      <c r="J245" s="154"/>
      <c r="K245" s="154"/>
      <c r="L245" s="154"/>
      <c r="M245" s="24"/>
      <c r="N245" s="24"/>
      <c r="R245" s="163"/>
      <c r="T245" s="163"/>
    </row>
    <row r="246" spans="1:20" s="15" customFormat="1" x14ac:dyDescent="0.5">
      <c r="B246" s="18"/>
      <c r="C246" s="18"/>
      <c r="D246" s="152"/>
      <c r="E246" s="152"/>
      <c r="F246" s="152"/>
      <c r="G246" s="152"/>
      <c r="H246" s="152"/>
      <c r="I246" s="152"/>
      <c r="J246" s="152"/>
      <c r="K246" s="152"/>
      <c r="L246" s="153"/>
      <c r="M246" s="153"/>
      <c r="N246" s="24"/>
      <c r="O246" s="153"/>
      <c r="P246" s="153"/>
      <c r="R246" s="163"/>
      <c r="T246" s="163"/>
    </row>
    <row r="247" spans="1:20" s="15" customFormat="1" x14ac:dyDescent="0.5">
      <c r="B247" s="18"/>
      <c r="C247" s="18"/>
      <c r="D247" s="154"/>
      <c r="E247" s="154"/>
      <c r="F247" s="154"/>
      <c r="G247" s="154"/>
      <c r="H247" s="154"/>
      <c r="I247" s="154"/>
      <c r="J247" s="154"/>
      <c r="K247" s="154"/>
      <c r="L247" s="154"/>
      <c r="M247" s="153"/>
    </row>
    <row r="248" spans="1:20" s="15" customFormat="1" x14ac:dyDescent="0.5">
      <c r="B248" s="18"/>
      <c r="C248" s="18"/>
      <c r="D248" s="152"/>
      <c r="E248" s="152"/>
      <c r="F248" s="152"/>
      <c r="G248" s="152"/>
      <c r="H248" s="152"/>
      <c r="I248" s="152"/>
      <c r="J248" s="152"/>
      <c r="K248" s="152"/>
      <c r="L248" s="152"/>
      <c r="M248" s="153"/>
      <c r="N248" s="153"/>
    </row>
    <row r="249" spans="1:20" s="15" customFormat="1" x14ac:dyDescent="0.5">
      <c r="B249" s="18"/>
      <c r="C249" s="18"/>
      <c r="D249" s="152"/>
      <c r="E249" s="152"/>
      <c r="F249" s="152"/>
      <c r="G249" s="152"/>
      <c r="H249" s="152"/>
      <c r="I249" s="152"/>
      <c r="J249" s="152"/>
      <c r="K249" s="152"/>
      <c r="L249" s="152"/>
      <c r="M249" s="153"/>
    </row>
    <row r="250" spans="1:20" s="15" customFormat="1" x14ac:dyDescent="0.5">
      <c r="A250" s="14"/>
      <c r="B250" s="17"/>
      <c r="C250" s="17"/>
      <c r="D250" s="18"/>
      <c r="E250" s="18"/>
      <c r="F250" s="18"/>
      <c r="G250" s="18"/>
      <c r="H250" s="18"/>
      <c r="I250" s="18"/>
      <c r="J250" s="18"/>
      <c r="K250" s="18"/>
      <c r="L250" s="153"/>
      <c r="M250" s="24"/>
      <c r="N250" s="24"/>
      <c r="R250" s="163"/>
      <c r="T250" s="163"/>
    </row>
    <row r="251" spans="1:20" s="15" customFormat="1" x14ac:dyDescent="0.5">
      <c r="B251" s="18"/>
      <c r="C251" s="18"/>
      <c r="D251" s="152"/>
      <c r="E251" s="152"/>
      <c r="F251" s="152"/>
      <c r="G251" s="152"/>
      <c r="H251" s="152"/>
      <c r="I251" s="152"/>
      <c r="J251" s="152"/>
      <c r="K251" s="152"/>
      <c r="L251" s="152"/>
      <c r="N251" s="24"/>
      <c r="R251" s="163"/>
      <c r="T251" s="163"/>
    </row>
    <row r="252" spans="1:20" s="15" customFormat="1" x14ac:dyDescent="0.5">
      <c r="B252" s="18"/>
      <c r="C252" s="18"/>
      <c r="D252" s="154"/>
      <c r="E252" s="154"/>
      <c r="F252" s="154"/>
      <c r="G252" s="154"/>
      <c r="H252" s="154"/>
      <c r="I252" s="154"/>
      <c r="J252" s="154"/>
      <c r="K252" s="154"/>
      <c r="L252" s="152"/>
      <c r="N252" s="153"/>
      <c r="R252" s="163"/>
      <c r="T252" s="163"/>
    </row>
    <row r="253" spans="1:20" s="15" customFormat="1" x14ac:dyDescent="0.5">
      <c r="B253" s="18"/>
      <c r="C253" s="18"/>
      <c r="D253" s="152"/>
      <c r="E253" s="152"/>
      <c r="F253" s="152"/>
      <c r="G253" s="152"/>
      <c r="H253" s="152"/>
      <c r="I253" s="152"/>
      <c r="J253" s="152"/>
      <c r="K253" s="152"/>
      <c r="L253" s="153"/>
      <c r="M253" s="153"/>
      <c r="N253" s="153"/>
      <c r="R253" s="163"/>
      <c r="T253" s="163"/>
    </row>
    <row r="254" spans="1:20" s="15" customFormat="1" x14ac:dyDescent="0.5">
      <c r="B254" s="18"/>
      <c r="C254" s="18"/>
      <c r="D254" s="154"/>
      <c r="E254" s="154"/>
      <c r="F254" s="154"/>
      <c r="G254" s="154"/>
      <c r="H254" s="154"/>
      <c r="I254" s="154"/>
      <c r="J254" s="154"/>
      <c r="K254" s="154"/>
      <c r="L254" s="154"/>
      <c r="M254" s="24"/>
      <c r="N254" s="24"/>
      <c r="R254" s="163"/>
      <c r="T254" s="163"/>
    </row>
    <row r="255" spans="1:20" s="15" customFormat="1" x14ac:dyDescent="0.5">
      <c r="B255" s="18"/>
      <c r="C255" s="18"/>
      <c r="D255" s="152"/>
      <c r="E255" s="152"/>
      <c r="F255" s="152"/>
      <c r="G255" s="152"/>
      <c r="H255" s="152"/>
      <c r="I255" s="152"/>
      <c r="J255" s="152"/>
      <c r="K255" s="152"/>
      <c r="L255" s="153"/>
      <c r="M255" s="153"/>
      <c r="N255" s="24"/>
      <c r="O255" s="153"/>
      <c r="P255" s="153"/>
      <c r="R255" s="163"/>
      <c r="T255" s="163"/>
    </row>
    <row r="256" spans="1:20" s="15" customFormat="1" x14ac:dyDescent="0.5">
      <c r="B256" s="18"/>
      <c r="C256" s="18"/>
      <c r="D256" s="154"/>
      <c r="E256" s="154"/>
      <c r="F256" s="154"/>
      <c r="G256" s="154"/>
      <c r="H256" s="154"/>
      <c r="I256" s="154"/>
      <c r="J256" s="154"/>
      <c r="K256" s="154"/>
      <c r="L256" s="154"/>
      <c r="M256" s="153"/>
    </row>
    <row r="257" spans="1:20" s="15" customFormat="1" x14ac:dyDescent="0.5">
      <c r="B257" s="18"/>
      <c r="C257" s="18"/>
      <c r="D257" s="152"/>
      <c r="E257" s="152"/>
      <c r="F257" s="152"/>
      <c r="G257" s="152"/>
      <c r="H257" s="152"/>
      <c r="I257" s="152"/>
      <c r="J257" s="152"/>
      <c r="K257" s="152"/>
      <c r="L257" s="152"/>
      <c r="M257" s="153"/>
      <c r="N257" s="153"/>
    </row>
    <row r="258" spans="1:20" s="15" customFormat="1" x14ac:dyDescent="0.5">
      <c r="B258" s="18"/>
      <c r="C258" s="18"/>
      <c r="D258" s="152"/>
      <c r="E258" s="152"/>
      <c r="F258" s="152"/>
      <c r="G258" s="152"/>
      <c r="H258" s="152"/>
      <c r="I258" s="152"/>
      <c r="J258" s="152"/>
      <c r="K258" s="152"/>
      <c r="L258" s="152"/>
      <c r="M258" s="153"/>
    </row>
    <row r="259" spans="1:20" s="15" customFormat="1" x14ac:dyDescent="0.5">
      <c r="A259" s="14"/>
      <c r="B259" s="17"/>
      <c r="C259" s="17"/>
      <c r="D259" s="18"/>
      <c r="E259" s="18"/>
      <c r="F259" s="18"/>
      <c r="G259" s="18"/>
      <c r="H259" s="18"/>
      <c r="I259" s="18"/>
      <c r="J259" s="18"/>
      <c r="K259" s="18"/>
      <c r="L259" s="153"/>
      <c r="M259" s="24"/>
      <c r="N259" s="24"/>
      <c r="R259" s="163"/>
      <c r="T259" s="163"/>
    </row>
    <row r="260" spans="1:20" s="15" customFormat="1" x14ac:dyDescent="0.5">
      <c r="B260" s="18"/>
      <c r="C260" s="18"/>
      <c r="D260" s="152"/>
      <c r="E260" s="152"/>
      <c r="F260" s="152"/>
      <c r="G260" s="152"/>
      <c r="H260" s="152"/>
      <c r="I260" s="152"/>
      <c r="J260" s="152"/>
      <c r="K260" s="152"/>
      <c r="L260" s="152"/>
      <c r="N260" s="24"/>
      <c r="R260" s="163"/>
      <c r="T260" s="163"/>
    </row>
    <row r="261" spans="1:20" s="15" customFormat="1" x14ac:dyDescent="0.5">
      <c r="B261" s="18"/>
      <c r="C261" s="18"/>
      <c r="D261" s="154"/>
      <c r="E261" s="154"/>
      <c r="F261" s="154"/>
      <c r="G261" s="154"/>
      <c r="H261" s="154"/>
      <c r="I261" s="154"/>
      <c r="J261" s="154"/>
      <c r="K261" s="154"/>
      <c r="L261" s="152"/>
      <c r="N261" s="153"/>
      <c r="R261" s="163"/>
      <c r="T261" s="163"/>
    </row>
    <row r="262" spans="1:20" s="15" customFormat="1" x14ac:dyDescent="0.5">
      <c r="B262" s="18"/>
      <c r="C262" s="18"/>
      <c r="D262" s="152"/>
      <c r="E262" s="152"/>
      <c r="F262" s="152"/>
      <c r="G262" s="152"/>
      <c r="H262" s="152"/>
      <c r="I262" s="152"/>
      <c r="J262" s="152"/>
      <c r="K262" s="152"/>
      <c r="L262" s="153"/>
      <c r="M262" s="153"/>
      <c r="N262" s="153"/>
      <c r="R262" s="163"/>
      <c r="T262" s="163"/>
    </row>
    <row r="263" spans="1:20" s="15" customFormat="1" x14ac:dyDescent="0.5">
      <c r="B263" s="18"/>
      <c r="C263" s="18"/>
      <c r="D263" s="154"/>
      <c r="E263" s="154"/>
      <c r="F263" s="154"/>
      <c r="G263" s="154"/>
      <c r="H263" s="154"/>
      <c r="I263" s="154"/>
      <c r="J263" s="154"/>
      <c r="K263" s="154"/>
      <c r="L263" s="154"/>
      <c r="M263" s="24"/>
      <c r="N263" s="24"/>
      <c r="R263" s="163"/>
      <c r="T263" s="163"/>
    </row>
    <row r="264" spans="1:20" s="15" customFormat="1" x14ac:dyDescent="0.5">
      <c r="B264" s="18"/>
      <c r="C264" s="18"/>
      <c r="D264" s="152"/>
      <c r="E264" s="152"/>
      <c r="F264" s="152"/>
      <c r="G264" s="152"/>
      <c r="H264" s="152"/>
      <c r="I264" s="152"/>
      <c r="J264" s="152"/>
      <c r="K264" s="152"/>
      <c r="L264" s="153"/>
      <c r="M264" s="153"/>
      <c r="N264" s="24"/>
      <c r="O264" s="153"/>
      <c r="P264" s="153"/>
      <c r="R264" s="163"/>
      <c r="T264" s="163"/>
    </row>
    <row r="265" spans="1:20" s="15" customFormat="1" x14ac:dyDescent="0.5">
      <c r="B265" s="18"/>
      <c r="C265" s="18"/>
      <c r="D265" s="154"/>
      <c r="E265" s="154"/>
      <c r="F265" s="154"/>
      <c r="G265" s="154"/>
      <c r="H265" s="154"/>
      <c r="I265" s="154"/>
      <c r="J265" s="154"/>
      <c r="K265" s="154"/>
      <c r="L265" s="154"/>
      <c r="M265" s="153"/>
    </row>
    <row r="266" spans="1:20" s="15" customFormat="1" x14ac:dyDescent="0.5">
      <c r="B266" s="18"/>
      <c r="C266" s="18"/>
      <c r="D266" s="152"/>
      <c r="E266" s="152"/>
      <c r="F266" s="152"/>
      <c r="G266" s="152"/>
      <c r="H266" s="152"/>
      <c r="I266" s="152"/>
      <c r="J266" s="152"/>
      <c r="K266" s="152"/>
      <c r="L266" s="152"/>
      <c r="M266" s="153"/>
      <c r="N266" s="153"/>
    </row>
    <row r="267" spans="1:20" s="15" customFormat="1" x14ac:dyDescent="0.5">
      <c r="B267" s="18"/>
      <c r="C267" s="18"/>
      <c r="D267" s="152"/>
      <c r="E267" s="152"/>
      <c r="F267" s="152"/>
      <c r="G267" s="152"/>
      <c r="H267" s="152"/>
      <c r="I267" s="152"/>
      <c r="J267" s="152"/>
      <c r="K267" s="152"/>
      <c r="L267" s="152"/>
      <c r="M267" s="153"/>
    </row>
    <row r="268" spans="1:20" s="15" customFormat="1" x14ac:dyDescent="0.5">
      <c r="B268" s="18"/>
      <c r="C268" s="18"/>
      <c r="D268" s="18"/>
      <c r="E268" s="18"/>
      <c r="F268" s="18"/>
      <c r="G268" s="18"/>
      <c r="H268" s="18"/>
      <c r="I268" s="18"/>
      <c r="J268" s="18"/>
      <c r="K268" s="18"/>
      <c r="L268" s="153"/>
      <c r="M268" s="24"/>
      <c r="N268" s="24"/>
      <c r="R268" s="163"/>
      <c r="T268" s="163"/>
    </row>
    <row r="269" spans="1:20" s="15" customFormat="1" x14ac:dyDescent="0.5">
      <c r="B269" s="18"/>
      <c r="C269" s="18"/>
      <c r="D269" s="152"/>
      <c r="E269" s="152"/>
      <c r="F269" s="152"/>
      <c r="G269" s="152"/>
      <c r="H269" s="152"/>
      <c r="I269" s="152"/>
      <c r="J269" s="152"/>
      <c r="K269" s="152"/>
      <c r="L269" s="152"/>
      <c r="N269" s="24"/>
      <c r="R269" s="163"/>
      <c r="T269" s="163"/>
    </row>
    <row r="270" spans="1:20" s="15" customFormat="1" x14ac:dyDescent="0.5">
      <c r="B270" s="18"/>
      <c r="C270" s="18"/>
      <c r="D270" s="154"/>
      <c r="E270" s="154"/>
      <c r="F270" s="154"/>
      <c r="G270" s="154"/>
      <c r="H270" s="154"/>
      <c r="I270" s="154"/>
      <c r="J270" s="154"/>
      <c r="K270" s="154"/>
      <c r="L270" s="152"/>
      <c r="N270" s="153"/>
      <c r="R270" s="163"/>
      <c r="T270" s="163"/>
    </row>
    <row r="271" spans="1:20" s="15" customFormat="1" x14ac:dyDescent="0.5">
      <c r="B271" s="18"/>
      <c r="C271" s="18"/>
      <c r="D271" s="152"/>
      <c r="E271" s="152"/>
      <c r="F271" s="152"/>
      <c r="G271" s="152"/>
      <c r="H271" s="152"/>
      <c r="I271" s="152"/>
      <c r="J271" s="152"/>
      <c r="K271" s="152"/>
      <c r="L271" s="153"/>
      <c r="M271" s="153"/>
      <c r="N271" s="153"/>
      <c r="R271" s="163"/>
      <c r="T271" s="163"/>
    </row>
    <row r="272" spans="1:20" s="15" customFormat="1" x14ac:dyDescent="0.5">
      <c r="B272" s="18"/>
      <c r="C272" s="18"/>
      <c r="D272" s="154"/>
      <c r="E272" s="154"/>
      <c r="F272" s="154"/>
      <c r="G272" s="154"/>
      <c r="H272" s="154"/>
      <c r="I272" s="154"/>
      <c r="J272" s="154"/>
      <c r="K272" s="154"/>
      <c r="L272" s="154"/>
      <c r="M272" s="24"/>
      <c r="N272" s="24"/>
      <c r="R272" s="163"/>
      <c r="T272" s="163"/>
    </row>
    <row r="273" spans="1:20" s="15" customFormat="1" x14ac:dyDescent="0.5">
      <c r="B273" s="18"/>
      <c r="C273" s="18"/>
      <c r="D273" s="152"/>
      <c r="E273" s="152"/>
      <c r="F273" s="152"/>
      <c r="G273" s="152"/>
      <c r="H273" s="152"/>
      <c r="I273" s="152"/>
      <c r="J273" s="152"/>
      <c r="K273" s="152"/>
      <c r="L273" s="153"/>
      <c r="M273" s="153"/>
      <c r="N273" s="24"/>
      <c r="O273" s="153"/>
      <c r="P273" s="153"/>
      <c r="R273" s="163"/>
      <c r="T273" s="163"/>
    </row>
    <row r="274" spans="1:20" s="15" customFormat="1" x14ac:dyDescent="0.5">
      <c r="B274" s="18"/>
      <c r="C274" s="18"/>
      <c r="D274" s="154"/>
      <c r="E274" s="154"/>
      <c r="F274" s="154"/>
      <c r="G274" s="154"/>
      <c r="H274" s="154"/>
      <c r="I274" s="154"/>
      <c r="J274" s="154"/>
      <c r="K274" s="154"/>
      <c r="L274" s="154"/>
      <c r="M274" s="153"/>
    </row>
    <row r="275" spans="1:20" s="15" customFormat="1" x14ac:dyDescent="0.5">
      <c r="B275" s="18"/>
      <c r="C275" s="18"/>
      <c r="D275" s="152"/>
      <c r="E275" s="152"/>
      <c r="F275" s="152"/>
      <c r="G275" s="152"/>
      <c r="H275" s="152"/>
      <c r="I275" s="152"/>
      <c r="J275" s="152"/>
      <c r="K275" s="152"/>
      <c r="L275" s="152"/>
      <c r="M275" s="153"/>
      <c r="N275" s="153"/>
    </row>
    <row r="276" spans="1:20" s="15" customFormat="1" x14ac:dyDescent="0.5">
      <c r="B276" s="18"/>
      <c r="C276" s="18"/>
      <c r="D276" s="152"/>
      <c r="E276" s="152"/>
      <c r="F276" s="152"/>
      <c r="G276" s="152"/>
      <c r="H276" s="152"/>
      <c r="I276" s="152"/>
      <c r="J276" s="152"/>
      <c r="K276" s="152"/>
      <c r="L276" s="152"/>
      <c r="M276" s="153"/>
    </row>
    <row r="277" spans="1:20" s="15" customFormat="1" x14ac:dyDescent="0.5">
      <c r="A277" s="14"/>
      <c r="B277" s="17"/>
      <c r="C277" s="17"/>
      <c r="D277" s="18"/>
      <c r="E277" s="18"/>
      <c r="F277" s="18"/>
      <c r="G277" s="18"/>
      <c r="H277" s="18"/>
      <c r="I277" s="18"/>
      <c r="J277" s="18"/>
      <c r="K277" s="18"/>
      <c r="L277" s="153"/>
      <c r="M277" s="24"/>
      <c r="N277" s="24"/>
      <c r="R277" s="163"/>
      <c r="T277" s="163"/>
    </row>
    <row r="278" spans="1:20" s="15" customFormat="1" x14ac:dyDescent="0.5">
      <c r="B278" s="18"/>
      <c r="C278" s="18"/>
      <c r="D278" s="152"/>
      <c r="E278" s="152"/>
      <c r="F278" s="152"/>
      <c r="G278" s="152"/>
      <c r="H278" s="152"/>
      <c r="I278" s="152"/>
      <c r="J278" s="152"/>
      <c r="K278" s="152"/>
      <c r="L278" s="152"/>
      <c r="N278" s="24"/>
      <c r="R278" s="163"/>
      <c r="T278" s="163"/>
    </row>
    <row r="279" spans="1:20" s="15" customFormat="1" x14ac:dyDescent="0.5">
      <c r="B279" s="18"/>
      <c r="C279" s="18"/>
      <c r="D279" s="154"/>
      <c r="E279" s="154"/>
      <c r="F279" s="154"/>
      <c r="G279" s="154"/>
      <c r="H279" s="154"/>
      <c r="I279" s="154"/>
      <c r="J279" s="154"/>
      <c r="K279" s="154"/>
      <c r="L279" s="152"/>
      <c r="N279" s="153"/>
      <c r="R279" s="163"/>
      <c r="T279" s="163"/>
    </row>
    <row r="280" spans="1:20" s="15" customFormat="1" x14ac:dyDescent="0.5">
      <c r="B280" s="18"/>
      <c r="C280" s="18"/>
      <c r="D280" s="152"/>
      <c r="E280" s="152"/>
      <c r="F280" s="152"/>
      <c r="G280" s="152"/>
      <c r="H280" s="152"/>
      <c r="I280" s="152"/>
      <c r="J280" s="152"/>
      <c r="K280" s="152"/>
      <c r="L280" s="153"/>
      <c r="M280" s="153"/>
      <c r="N280" s="153"/>
      <c r="R280" s="163"/>
      <c r="T280" s="163"/>
    </row>
    <row r="281" spans="1:20" s="15" customFormat="1" x14ac:dyDescent="0.5">
      <c r="B281" s="18"/>
      <c r="C281" s="18"/>
      <c r="D281" s="154"/>
      <c r="E281" s="154"/>
      <c r="F281" s="154"/>
      <c r="G281" s="154"/>
      <c r="H281" s="154"/>
      <c r="I281" s="154"/>
      <c r="J281" s="154"/>
      <c r="K281" s="154"/>
      <c r="L281" s="154"/>
      <c r="M281" s="24"/>
      <c r="N281" s="24"/>
      <c r="R281" s="163"/>
      <c r="T281" s="163"/>
    </row>
    <row r="282" spans="1:20" s="15" customFormat="1" x14ac:dyDescent="0.5">
      <c r="B282" s="18"/>
      <c r="C282" s="18"/>
      <c r="D282" s="152"/>
      <c r="E282" s="152"/>
      <c r="F282" s="152"/>
      <c r="G282" s="152"/>
      <c r="H282" s="152"/>
      <c r="I282" s="152"/>
      <c r="J282" s="152"/>
      <c r="K282" s="152"/>
      <c r="L282" s="153"/>
      <c r="M282" s="153"/>
      <c r="N282" s="24"/>
      <c r="O282" s="153"/>
      <c r="P282" s="153"/>
      <c r="R282" s="163"/>
      <c r="T282" s="163"/>
    </row>
    <row r="283" spans="1:20" s="15" customFormat="1" x14ac:dyDescent="0.5">
      <c r="B283" s="18"/>
      <c r="C283" s="18"/>
      <c r="D283" s="154"/>
      <c r="E283" s="154"/>
      <c r="F283" s="154"/>
      <c r="G283" s="154"/>
      <c r="H283" s="154"/>
      <c r="I283" s="154"/>
      <c r="J283" s="154"/>
      <c r="K283" s="154"/>
      <c r="L283" s="154"/>
      <c r="M283" s="153"/>
    </row>
    <row r="284" spans="1:20" s="15" customFormat="1" x14ac:dyDescent="0.5">
      <c r="B284" s="18"/>
      <c r="C284" s="18"/>
      <c r="D284" s="152"/>
      <c r="E284" s="152"/>
      <c r="F284" s="152"/>
      <c r="G284" s="152"/>
      <c r="H284" s="152"/>
      <c r="I284" s="152"/>
      <c r="J284" s="152"/>
      <c r="K284" s="152"/>
      <c r="L284" s="152"/>
      <c r="M284" s="153"/>
      <c r="N284" s="153"/>
    </row>
    <row r="285" spans="1:20" s="15" customFormat="1" x14ac:dyDescent="0.5">
      <c r="B285" s="18"/>
      <c r="C285" s="18"/>
      <c r="D285" s="152"/>
      <c r="E285" s="152"/>
      <c r="F285" s="152"/>
      <c r="G285" s="152"/>
      <c r="H285" s="152"/>
      <c r="I285" s="152"/>
      <c r="J285" s="152"/>
      <c r="K285" s="152"/>
      <c r="L285" s="152"/>
      <c r="M285" s="153"/>
      <c r="N285" s="153"/>
    </row>
    <row r="286" spans="1:20" s="15" customFormat="1" x14ac:dyDescent="0.5">
      <c r="A286" s="14"/>
      <c r="B286" s="17"/>
      <c r="C286" s="17"/>
      <c r="D286" s="18"/>
      <c r="E286" s="18"/>
      <c r="F286" s="18"/>
      <c r="G286" s="18"/>
      <c r="H286" s="18"/>
      <c r="I286" s="18"/>
      <c r="J286" s="18"/>
      <c r="K286" s="18"/>
      <c r="L286" s="153"/>
      <c r="M286" s="24"/>
      <c r="N286" s="24"/>
      <c r="R286" s="163"/>
      <c r="T286" s="163"/>
    </row>
    <row r="287" spans="1:20" s="15" customFormat="1" x14ac:dyDescent="0.5">
      <c r="B287" s="18"/>
      <c r="C287" s="18"/>
      <c r="D287" s="152"/>
      <c r="E287" s="152"/>
      <c r="F287" s="152"/>
      <c r="G287" s="152"/>
      <c r="H287" s="152"/>
      <c r="I287" s="152"/>
      <c r="J287" s="152"/>
      <c r="K287" s="152"/>
      <c r="L287" s="152"/>
      <c r="N287" s="24"/>
      <c r="R287" s="163"/>
      <c r="T287" s="163"/>
    </row>
    <row r="288" spans="1:20" s="15" customFormat="1" x14ac:dyDescent="0.5">
      <c r="B288" s="18"/>
      <c r="C288" s="18"/>
      <c r="D288" s="154"/>
      <c r="E288" s="154"/>
      <c r="F288" s="154"/>
      <c r="G288" s="154"/>
      <c r="H288" s="154"/>
      <c r="I288" s="154"/>
      <c r="J288" s="154"/>
      <c r="K288" s="154"/>
      <c r="L288" s="154"/>
      <c r="N288" s="153"/>
      <c r="R288" s="163"/>
      <c r="T288" s="163"/>
    </row>
    <row r="289" spans="1:20" s="15" customFormat="1" x14ac:dyDescent="0.5">
      <c r="B289" s="18"/>
      <c r="C289" s="18"/>
      <c r="D289" s="152"/>
      <c r="E289" s="152"/>
      <c r="F289" s="152"/>
      <c r="G289" s="152"/>
      <c r="H289" s="152"/>
      <c r="I289" s="152"/>
      <c r="J289" s="152"/>
      <c r="K289" s="152"/>
      <c r="L289" s="153"/>
      <c r="M289" s="153"/>
      <c r="N289" s="153"/>
      <c r="R289" s="163"/>
      <c r="T289" s="163"/>
    </row>
    <row r="290" spans="1:20" s="15" customFormat="1" x14ac:dyDescent="0.5">
      <c r="B290" s="18"/>
      <c r="C290" s="18"/>
      <c r="D290" s="154"/>
      <c r="E290" s="154"/>
      <c r="F290" s="154"/>
      <c r="G290" s="154"/>
      <c r="H290" s="154"/>
      <c r="I290" s="154"/>
      <c r="J290" s="154"/>
      <c r="K290" s="154"/>
      <c r="L290" s="154"/>
      <c r="M290" s="24"/>
      <c r="N290" s="24"/>
      <c r="R290" s="163"/>
      <c r="T290" s="163"/>
    </row>
    <row r="291" spans="1:20" s="15" customFormat="1" x14ac:dyDescent="0.5">
      <c r="B291" s="18"/>
      <c r="C291" s="18"/>
      <c r="D291" s="152"/>
      <c r="E291" s="152"/>
      <c r="F291" s="152"/>
      <c r="G291" s="152"/>
      <c r="H291" s="152"/>
      <c r="I291" s="152"/>
      <c r="J291" s="152"/>
      <c r="K291" s="152"/>
      <c r="L291" s="153"/>
      <c r="M291" s="153"/>
      <c r="N291" s="24"/>
      <c r="O291" s="153"/>
      <c r="P291" s="153"/>
      <c r="R291" s="163"/>
      <c r="T291" s="163"/>
    </row>
    <row r="292" spans="1:20" s="15" customFormat="1" x14ac:dyDescent="0.5">
      <c r="B292" s="18"/>
      <c r="C292" s="18"/>
      <c r="D292" s="154"/>
      <c r="E292" s="154"/>
      <c r="F292" s="154"/>
      <c r="G292" s="154"/>
      <c r="H292" s="154"/>
      <c r="I292" s="154"/>
      <c r="J292" s="154"/>
      <c r="K292" s="154"/>
      <c r="L292" s="154"/>
      <c r="M292" s="153"/>
    </row>
    <row r="293" spans="1:20" s="15" customFormat="1" x14ac:dyDescent="0.5">
      <c r="B293" s="18"/>
      <c r="C293" s="18"/>
      <c r="D293" s="152"/>
      <c r="E293" s="152"/>
      <c r="F293" s="152"/>
      <c r="G293" s="152"/>
      <c r="H293" s="152"/>
      <c r="I293" s="152"/>
      <c r="J293" s="152"/>
      <c r="K293" s="152"/>
      <c r="L293" s="152"/>
      <c r="M293" s="153"/>
      <c r="N293" s="153"/>
    </row>
    <row r="294" spans="1:20" s="15" customFormat="1" x14ac:dyDescent="0.5">
      <c r="B294" s="18"/>
      <c r="C294" s="18"/>
      <c r="D294" s="152"/>
      <c r="E294" s="152"/>
      <c r="F294" s="152"/>
      <c r="G294" s="152"/>
      <c r="H294" s="152"/>
      <c r="I294" s="152"/>
      <c r="J294" s="152"/>
      <c r="K294" s="152"/>
      <c r="L294" s="152"/>
      <c r="M294" s="153"/>
    </row>
    <row r="295" spans="1:20" s="15" customFormat="1" x14ac:dyDescent="0.5">
      <c r="A295" s="14"/>
      <c r="B295" s="17"/>
      <c r="C295" s="17"/>
      <c r="D295" s="18"/>
      <c r="E295" s="18"/>
      <c r="F295" s="18"/>
      <c r="G295" s="18"/>
      <c r="H295" s="18"/>
      <c r="I295" s="18"/>
      <c r="J295" s="18"/>
      <c r="K295" s="18"/>
      <c r="L295" s="153"/>
      <c r="M295" s="24"/>
      <c r="N295" s="24"/>
      <c r="R295" s="163"/>
      <c r="T295" s="163"/>
    </row>
    <row r="296" spans="1:20" s="15" customFormat="1" x14ac:dyDescent="0.5">
      <c r="B296" s="18"/>
      <c r="C296" s="18"/>
      <c r="D296" s="152"/>
      <c r="E296" s="152"/>
      <c r="F296" s="152"/>
      <c r="G296" s="152"/>
      <c r="H296" s="152"/>
      <c r="I296" s="152"/>
      <c r="J296" s="152"/>
      <c r="K296" s="152"/>
      <c r="L296" s="152"/>
      <c r="N296" s="24"/>
      <c r="R296" s="163"/>
      <c r="T296" s="163"/>
    </row>
    <row r="297" spans="1:20" s="15" customFormat="1" x14ac:dyDescent="0.5">
      <c r="B297" s="18"/>
      <c r="C297" s="18"/>
      <c r="D297" s="154"/>
      <c r="E297" s="154"/>
      <c r="F297" s="154"/>
      <c r="G297" s="154"/>
      <c r="H297" s="154"/>
      <c r="I297" s="154"/>
      <c r="J297" s="154"/>
      <c r="K297" s="154"/>
      <c r="L297" s="154"/>
      <c r="N297" s="153"/>
      <c r="R297" s="163"/>
      <c r="T297" s="163"/>
    </row>
    <row r="298" spans="1:20" s="15" customFormat="1" x14ac:dyDescent="0.5">
      <c r="B298" s="18"/>
      <c r="C298" s="18"/>
      <c r="D298" s="152"/>
      <c r="E298" s="152"/>
      <c r="F298" s="152"/>
      <c r="G298" s="152"/>
      <c r="H298" s="152"/>
      <c r="I298" s="152"/>
      <c r="J298" s="152"/>
      <c r="K298" s="152"/>
      <c r="L298" s="153"/>
      <c r="M298" s="153"/>
      <c r="N298" s="153"/>
      <c r="R298" s="163"/>
      <c r="T298" s="163"/>
    </row>
    <row r="299" spans="1:20" s="15" customFormat="1" x14ac:dyDescent="0.5">
      <c r="B299" s="18"/>
      <c r="C299" s="18"/>
      <c r="D299" s="154"/>
      <c r="E299" s="154"/>
      <c r="F299" s="154"/>
      <c r="G299" s="154"/>
      <c r="H299" s="154"/>
      <c r="I299" s="154"/>
      <c r="J299" s="154"/>
      <c r="K299" s="154"/>
      <c r="L299" s="154"/>
      <c r="M299" s="24"/>
      <c r="N299" s="24"/>
      <c r="R299" s="163"/>
      <c r="T299" s="163"/>
    </row>
    <row r="300" spans="1:20" s="15" customFormat="1" x14ac:dyDescent="0.5">
      <c r="B300" s="18"/>
      <c r="C300" s="18"/>
      <c r="D300" s="152"/>
      <c r="E300" s="152"/>
      <c r="F300" s="152"/>
      <c r="G300" s="152"/>
      <c r="H300" s="152"/>
      <c r="I300" s="152"/>
      <c r="J300" s="152"/>
      <c r="K300" s="152"/>
      <c r="L300" s="153"/>
      <c r="M300" s="153"/>
      <c r="N300" s="24"/>
      <c r="O300" s="153"/>
      <c r="P300" s="153"/>
      <c r="R300" s="163"/>
      <c r="T300" s="163"/>
    </row>
    <row r="301" spans="1:20" s="15" customFormat="1" x14ac:dyDescent="0.5">
      <c r="B301" s="18"/>
      <c r="C301" s="18"/>
      <c r="D301" s="154"/>
      <c r="E301" s="154"/>
      <c r="F301" s="154"/>
      <c r="G301" s="154"/>
      <c r="H301" s="154"/>
      <c r="I301" s="154"/>
      <c r="J301" s="154"/>
      <c r="K301" s="154"/>
      <c r="L301" s="154"/>
      <c r="M301" s="153"/>
    </row>
    <row r="302" spans="1:20" s="15" customFormat="1" x14ac:dyDescent="0.5">
      <c r="B302" s="18"/>
      <c r="C302" s="18"/>
      <c r="D302" s="152"/>
      <c r="E302" s="152"/>
      <c r="F302" s="152"/>
      <c r="G302" s="152"/>
      <c r="H302" s="152"/>
      <c r="I302" s="152"/>
      <c r="J302" s="152"/>
      <c r="K302" s="152"/>
      <c r="L302" s="152"/>
      <c r="M302" s="153"/>
      <c r="N302" s="153"/>
    </row>
    <row r="303" spans="1:20" s="15" customFormat="1" x14ac:dyDescent="0.5">
      <c r="B303" s="18"/>
      <c r="C303" s="18"/>
      <c r="D303" s="152"/>
      <c r="E303" s="152"/>
      <c r="F303" s="152"/>
      <c r="G303" s="152"/>
      <c r="H303" s="152"/>
      <c r="I303" s="18"/>
      <c r="J303" s="18"/>
      <c r="K303" s="18"/>
      <c r="L303" s="152"/>
      <c r="M303" s="153"/>
    </row>
    <row r="304" spans="1:20" s="15" customFormat="1" x14ac:dyDescent="0.5">
      <c r="B304" s="18"/>
      <c r="C304" s="18"/>
      <c r="D304" s="152"/>
      <c r="E304" s="152"/>
      <c r="F304" s="152"/>
      <c r="G304" s="152"/>
      <c r="H304" s="152"/>
      <c r="I304" s="152"/>
      <c r="J304" s="152"/>
      <c r="K304" s="152"/>
      <c r="L304" s="152"/>
      <c r="M304" s="153"/>
    </row>
    <row r="305" spans="2:20" s="15" customFormat="1" x14ac:dyDescent="0.5">
      <c r="B305" s="18"/>
      <c r="C305" s="18"/>
      <c r="D305" s="152"/>
      <c r="E305" s="152"/>
      <c r="F305" s="152"/>
      <c r="G305" s="152"/>
      <c r="H305" s="152"/>
      <c r="I305" s="152"/>
      <c r="J305" s="152"/>
      <c r="K305" s="152"/>
      <c r="L305" s="152"/>
      <c r="M305" s="153"/>
    </row>
    <row r="306" spans="2:20" s="15" customFormat="1" x14ac:dyDescent="0.5">
      <c r="B306" s="18"/>
      <c r="C306" s="18"/>
      <c r="D306" s="152"/>
      <c r="E306" s="152"/>
      <c r="F306" s="152"/>
      <c r="G306" s="152"/>
      <c r="H306" s="152"/>
      <c r="I306" s="152"/>
      <c r="J306" s="152"/>
      <c r="K306" s="152"/>
      <c r="L306" s="152"/>
      <c r="M306" s="153"/>
    </row>
    <row r="307" spans="2:20" s="15" customFormat="1" x14ac:dyDescent="0.5">
      <c r="B307" s="18"/>
      <c r="C307" s="18"/>
      <c r="D307" s="18"/>
      <c r="E307" s="18"/>
      <c r="F307" s="18"/>
      <c r="G307" s="18"/>
      <c r="H307" s="18"/>
      <c r="I307" s="18"/>
      <c r="J307" s="18"/>
      <c r="K307" s="18"/>
      <c r="L307" s="152"/>
      <c r="M307" s="18"/>
      <c r="N307" s="18"/>
    </row>
    <row r="308" spans="2:20" s="15" customFormat="1" x14ac:dyDescent="0.5">
      <c r="B308" s="18"/>
      <c r="C308" s="18"/>
      <c r="D308" s="18"/>
      <c r="E308" s="18"/>
      <c r="F308" s="18"/>
      <c r="G308" s="18"/>
      <c r="H308" s="18"/>
      <c r="I308" s="18"/>
      <c r="J308" s="18"/>
      <c r="K308" s="18"/>
      <c r="L308" s="18"/>
      <c r="M308" s="18"/>
      <c r="N308" s="18"/>
    </row>
    <row r="309" spans="2:20" s="15" customFormat="1" x14ac:dyDescent="0.5">
      <c r="B309" s="18"/>
      <c r="C309" s="18"/>
      <c r="D309" s="18"/>
      <c r="E309" s="18"/>
      <c r="F309" s="18"/>
      <c r="G309" s="18"/>
      <c r="H309" s="18"/>
      <c r="I309" s="18"/>
      <c r="J309" s="18"/>
      <c r="K309" s="18"/>
      <c r="L309" s="18"/>
      <c r="M309" s="18"/>
      <c r="N309" s="18"/>
    </row>
    <row r="310" spans="2:20" s="15" customFormat="1" x14ac:dyDescent="0.5">
      <c r="B310" s="18"/>
      <c r="C310" s="18"/>
      <c r="D310" s="18"/>
      <c r="E310" s="18"/>
      <c r="F310" s="18"/>
      <c r="G310" s="18"/>
      <c r="H310" s="18"/>
      <c r="I310" s="18"/>
      <c r="J310" s="18"/>
      <c r="K310" s="18"/>
      <c r="L310" s="18"/>
      <c r="M310" s="18"/>
      <c r="N310" s="18"/>
    </row>
    <row r="311" spans="2:20" s="15" customFormat="1" x14ac:dyDescent="0.5">
      <c r="B311" s="18"/>
      <c r="C311" s="18"/>
      <c r="D311" s="18"/>
      <c r="E311" s="18"/>
      <c r="F311" s="18"/>
      <c r="G311" s="18"/>
      <c r="H311" s="18"/>
      <c r="I311" s="18"/>
      <c r="J311" s="18"/>
      <c r="K311" s="18"/>
      <c r="L311" s="162"/>
      <c r="N311" s="153"/>
    </row>
    <row r="312" spans="2:20" s="15" customFormat="1" x14ac:dyDescent="0.5">
      <c r="B312" s="18"/>
      <c r="C312" s="18"/>
      <c r="D312" s="18"/>
      <c r="E312" s="18"/>
      <c r="F312" s="18"/>
      <c r="G312" s="18"/>
      <c r="H312" s="18"/>
      <c r="I312" s="18"/>
      <c r="J312" s="18"/>
      <c r="K312" s="18"/>
      <c r="N312" s="153"/>
    </row>
    <row r="313" spans="2:20" s="15" customFormat="1" x14ac:dyDescent="0.5">
      <c r="B313" s="18"/>
      <c r="C313" s="18"/>
      <c r="D313" s="18"/>
      <c r="E313" s="18"/>
      <c r="F313" s="18"/>
      <c r="G313" s="18"/>
      <c r="H313" s="18"/>
      <c r="I313" s="18"/>
      <c r="J313" s="18"/>
      <c r="K313" s="18"/>
      <c r="L313" s="18"/>
      <c r="M313" s="18"/>
      <c r="N313" s="153"/>
    </row>
    <row r="314" spans="2:20" s="15" customFormat="1" x14ac:dyDescent="0.5">
      <c r="B314" s="18"/>
      <c r="C314" s="18"/>
      <c r="D314" s="18"/>
      <c r="E314" s="18"/>
      <c r="F314" s="18"/>
      <c r="G314" s="18"/>
      <c r="H314" s="18"/>
      <c r="I314" s="18"/>
      <c r="J314" s="18"/>
      <c r="K314" s="18"/>
      <c r="L314" s="18"/>
      <c r="M314" s="18"/>
      <c r="N314" s="153"/>
    </row>
    <row r="315" spans="2:20" s="15" customFormat="1" x14ac:dyDescent="0.5">
      <c r="B315" s="18"/>
      <c r="C315" s="18"/>
      <c r="D315" s="18"/>
      <c r="E315" s="18"/>
      <c r="F315" s="18"/>
      <c r="G315" s="18"/>
      <c r="H315" s="18"/>
      <c r="I315" s="18"/>
      <c r="J315" s="18"/>
      <c r="K315" s="18"/>
      <c r="L315" s="18"/>
      <c r="M315" s="24"/>
      <c r="N315" s="24"/>
      <c r="R315" s="163"/>
      <c r="T315" s="163"/>
    </row>
    <row r="316" spans="2:20" ht="17.7" x14ac:dyDescent="0.95">
      <c r="D316" s="18"/>
      <c r="E316" s="10"/>
      <c r="F316" s="10"/>
      <c r="G316" s="10"/>
      <c r="H316" s="10"/>
      <c r="I316" s="10"/>
      <c r="J316" s="10"/>
      <c r="K316" s="16"/>
      <c r="L316" s="10"/>
      <c r="M316" s="10"/>
      <c r="N316" s="10"/>
    </row>
  </sheetData>
  <phoneticPr fontId="0" type="noConversion"/>
  <pageMargins left="0.75" right="0.75" top="1" bottom="1" header="0.5" footer="0.5"/>
  <pageSetup scale="56" orientation="landscape" horizontalDpi="4294967293" verticalDpi="200" r:id="rId1"/>
  <headerFooter alignWithMargins="0"/>
  <rowBreaks count="1" manualBreakCount="1">
    <brk id="114"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Q63"/>
  <sheetViews>
    <sheetView view="pageBreakPreview" topLeftCell="A13"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299"/>
      <c r="B2" s="192"/>
      <c r="C2" s="192"/>
      <c r="D2" s="192"/>
      <c r="E2" s="192"/>
      <c r="F2" s="192"/>
      <c r="G2" s="192"/>
      <c r="H2" s="192"/>
      <c r="I2" s="192"/>
      <c r="J2" s="192"/>
      <c r="K2" s="192"/>
      <c r="L2" s="192"/>
      <c r="M2" s="192"/>
      <c r="N2" s="192"/>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1741</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'WSS-28'!G174</f>
        <v>2446199408.7285142</v>
      </c>
      <c r="E14" s="247">
        <f>'WSS-28'!G123+'WSS-28'!G124+'WSS-28'!G125</f>
        <v>1218676519.1335526</v>
      </c>
      <c r="F14" s="248">
        <f>'WSS-28'!G126</f>
        <v>27448762.011031896</v>
      </c>
      <c r="G14" s="248">
        <f>'WSS-28'!G135</f>
        <v>376133314.88870335</v>
      </c>
      <c r="H14" s="248">
        <f>'WSS-28'!G145+'WSS-28'!G147+'WSS-28'!G152+'WSS-28'!G141</f>
        <v>303876029.68678224</v>
      </c>
      <c r="I14" s="248">
        <f>'WSS-28'!G146+'WSS-28'!G148+'WSS-28'!G153+'WSS-28'!G157+'WSS-28'!G160+'WSS-28'!G163</f>
        <v>513803174.61635309</v>
      </c>
      <c r="J14" s="248">
        <f>'WSS-28'!G166+'WSS-28'!G169</f>
        <v>6261608.392090695</v>
      </c>
      <c r="K14" s="249">
        <f>SUM(E14:J14)</f>
        <v>2446199408.7285137</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2446199408.7285142</v>
      </c>
      <c r="E16" s="253">
        <f t="shared" ref="E16:K16" si="1">E14+E15</f>
        <v>1218676519.1335526</v>
      </c>
      <c r="F16" s="254">
        <f t="shared" si="1"/>
        <v>27448762.011031896</v>
      </c>
      <c r="G16" s="254">
        <f t="shared" si="1"/>
        <v>376133314.88870335</v>
      </c>
      <c r="H16" s="254">
        <f t="shared" si="1"/>
        <v>303876029.68678224</v>
      </c>
      <c r="I16" s="254">
        <f t="shared" si="1"/>
        <v>513803174.61635309</v>
      </c>
      <c r="J16" s="254">
        <f t="shared" si="1"/>
        <v>6261608.392090695</v>
      </c>
      <c r="K16" s="249">
        <f t="shared" si="1"/>
        <v>2446199408.7285137</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'WSS-28'!G808</f>
        <v>4.7544557524880612E-2</v>
      </c>
      <c r="E18" s="258">
        <f t="shared" ref="E18:J18" si="2">D18</f>
        <v>4.7544557524880612E-2</v>
      </c>
      <c r="F18" s="259">
        <f t="shared" si="2"/>
        <v>4.7544557524880612E-2</v>
      </c>
      <c r="G18" s="259">
        <f t="shared" si="2"/>
        <v>4.7544557524880612E-2</v>
      </c>
      <c r="H18" s="259">
        <f t="shared" si="2"/>
        <v>4.7544557524880612E-2</v>
      </c>
      <c r="I18" s="259">
        <f t="shared" si="2"/>
        <v>4.7544557524880612E-2</v>
      </c>
      <c r="J18" s="259">
        <f t="shared" si="2"/>
        <v>4.7544557524880612E-2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116303468.50562179</v>
      </c>
      <c r="E20" s="253">
        <f t="shared" ref="E20:J20" si="3">E18*E16</f>
        <v>57941435.868166454</v>
      </c>
      <c r="F20" s="254">
        <f t="shared" si="3"/>
        <v>1305039.2444202637</v>
      </c>
      <c r="G20" s="254">
        <f t="shared" si="3"/>
        <v>17883092.026749991</v>
      </c>
      <c r="H20" s="254">
        <f t="shared" si="3"/>
        <v>14447651.373875547</v>
      </c>
      <c r="I20" s="254">
        <f t="shared" si="3"/>
        <v>24428544.592013478</v>
      </c>
      <c r="J20" s="254">
        <f t="shared" si="3"/>
        <v>297705.40039603127</v>
      </c>
      <c r="K20" s="249">
        <f>SUM(E20:J20)</f>
        <v>116303468.50562176</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'WSS-28'!G768</f>
        <v>51426298.213818833</v>
      </c>
      <c r="E22" s="253">
        <f t="shared" ref="E22:J22" si="4">(E14/$D$14)*$D$22</f>
        <v>25620160.758568916</v>
      </c>
      <c r="F22" s="254">
        <f t="shared" si="4"/>
        <v>577053.61866356723</v>
      </c>
      <c r="G22" s="254">
        <f t="shared" si="4"/>
        <v>7907427.3138152966</v>
      </c>
      <c r="H22" s="254">
        <f t="shared" si="4"/>
        <v>6388366.8955780044</v>
      </c>
      <c r="I22" s="254">
        <f t="shared" si="4"/>
        <v>10801652.222932044</v>
      </c>
      <c r="J22" s="254">
        <f t="shared" si="4"/>
        <v>131637.40426099679</v>
      </c>
      <c r="K22" s="249">
        <f>SUM(E22:J22)</f>
        <v>51426298.213818826</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64877170.291802958</v>
      </c>
      <c r="E24" s="253">
        <f t="shared" ref="E24:J24" si="5">E20-E22</f>
        <v>32321275.109597538</v>
      </c>
      <c r="F24" s="254">
        <f t="shared" si="5"/>
        <v>727985.62575669645</v>
      </c>
      <c r="G24" s="254">
        <f t="shared" si="5"/>
        <v>9975664.7129346952</v>
      </c>
      <c r="H24" s="254">
        <f t="shared" si="5"/>
        <v>8059284.4782975428</v>
      </c>
      <c r="I24" s="254">
        <f t="shared" si="5"/>
        <v>13626892.369081434</v>
      </c>
      <c r="J24" s="254">
        <f t="shared" si="5"/>
        <v>166067.99613503448</v>
      </c>
      <c r="K24" s="249">
        <f>SUM(E24:J24)</f>
        <v>64877170.29180295</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'WSS-28'!G736+'WSS-28'!G800</f>
        <v>20577849.646841757</v>
      </c>
      <c r="E26" s="253">
        <f t="shared" ref="E26:J26" si="6">$D$26*(E24/$K$24)</f>
        <v>10251716.22942286</v>
      </c>
      <c r="F26" s="254">
        <f t="shared" si="6"/>
        <v>230903.70132521083</v>
      </c>
      <c r="G26" s="254">
        <f t="shared" si="6"/>
        <v>3164098.0589440297</v>
      </c>
      <c r="H26" s="254">
        <f t="shared" si="6"/>
        <v>2556257.3631002847</v>
      </c>
      <c r="I26" s="254">
        <f t="shared" si="6"/>
        <v>4322200.5686040577</v>
      </c>
      <c r="J26" s="254">
        <f t="shared" si="6"/>
        <v>52673.725445309792</v>
      </c>
      <c r="K26" s="249">
        <f>SUM(E26:J26)</f>
        <v>20577849.646841753</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'WSS-28'!G730</f>
        <v>368559285.05166757</v>
      </c>
      <c r="E28" s="253">
        <f>'WSS-28'!G180+'WSS-28'!G181+'WSS-28'!G182</f>
        <v>54569345.581264667</v>
      </c>
      <c r="F28" s="254">
        <f>'WSS-28'!G183</f>
        <v>191480771.98148727</v>
      </c>
      <c r="G28" s="254">
        <f>'WSS-28'!G192</f>
        <v>25467104.499538247</v>
      </c>
      <c r="H28" s="254">
        <f>'WSS-28'!G198+'WSS-28'!G202+'WSS-28'!G204+'WSS-28'!G209</f>
        <v>17112285.229169413</v>
      </c>
      <c r="I28" s="254">
        <f>'WSS-28'!G203+'WSS-28'!G205+'WSS-28'!G210+'WSS-28'!G214+'WSS-28'!G217</f>
        <v>37572927.11043597</v>
      </c>
      <c r="J28" s="254">
        <f>'WSS-28'!G223+'WSS-28'!G226</f>
        <v>42356850.649772063</v>
      </c>
      <c r="K28" s="249">
        <f>SUM(E28:J28)</f>
        <v>368559285.05166763</v>
      </c>
      <c r="L28" s="250" t="str">
        <f>IF(ABS(K28-D28)&lt;0.01,"ok","err")</f>
        <v>ok</v>
      </c>
      <c r="M28" s="26"/>
      <c r="N28" s="26"/>
    </row>
    <row r="29" spans="1:14" ht="15.3" x14ac:dyDescent="0.55000000000000004">
      <c r="A29" s="282" t="s">
        <v>1802</v>
      </c>
      <c r="B29" s="244" t="s">
        <v>812</v>
      </c>
      <c r="C29" s="245"/>
      <c r="D29" s="253">
        <f>'WSS-28'!G731</f>
        <v>163885507.33045521</v>
      </c>
      <c r="E29" s="253">
        <f>'WSS-28'!G300</f>
        <v>118244455.02613318</v>
      </c>
      <c r="F29" s="254">
        <v>0</v>
      </c>
      <c r="G29" s="254">
        <f>'WSS-28'!G306</f>
        <v>15467212.859995713</v>
      </c>
      <c r="H29" s="254">
        <f>'WSS-28'!G312+'WSS-28'!G316+'WSS-28'!G318+'WSS-28'!G323</f>
        <v>11149164.863702659</v>
      </c>
      <c r="I29" s="254">
        <f>'WSS-28'!G317+'WSS-28'!G319+'WSS-28'!G324+'WSS-28'!G328+'WSS-28'!G331</f>
        <v>19024674.580623664</v>
      </c>
      <c r="J29" s="254">
        <v>0</v>
      </c>
      <c r="K29" s="249">
        <f>SUM(E29:J29)</f>
        <v>163885507.33045521</v>
      </c>
      <c r="L29" s="250" t="str">
        <f>IF(ABS(K29-D29)&lt;0.01,"ok","err")</f>
        <v>ok</v>
      </c>
      <c r="M29" s="26"/>
      <c r="N29" s="26"/>
    </row>
    <row r="30" spans="1:14" ht="15.3" x14ac:dyDescent="0.55000000000000004">
      <c r="A30" s="282" t="s">
        <v>1803</v>
      </c>
      <c r="B30" s="244" t="s">
        <v>408</v>
      </c>
      <c r="C30" s="245"/>
      <c r="D30" s="253">
        <f>'WSS-28'!G732+'WSS-28'!G733+'WSS-28'!G734</f>
        <v>23244630.06459339</v>
      </c>
      <c r="E30" s="253">
        <f>'WSS-28'!G414+'WSS-28'!G471+'WSS-28'!G357</f>
        <v>12664067.14710062</v>
      </c>
      <c r="F30" s="254">
        <f>'WSS-28'!G529</f>
        <v>0</v>
      </c>
      <c r="G30" s="254">
        <f>'WSS-28'!G420+'WSS-28'!G477+'WSS-28'!G363</f>
        <v>3114508.0431892131</v>
      </c>
      <c r="H30" s="254">
        <f>'WSS-28'!G426+'WSS-28'!G430+'WSS-28'!G432+'WSS-28'!G437+'WSS-28'!G483+'WSS-28'!G487+'WSS-28'!G489+'WSS-28'!G494+'WSS-28'!G369+'WSS-28'!G373+'WSS-28'!G375+'WSS-28'!G380</f>
        <v>2758255.1568146343</v>
      </c>
      <c r="I30" s="254">
        <f>'WSS-28'!G431+'WSS-28'!G433+'WSS-28'!G438+'WSS-28'!G442+'WSS-28'!G445+'WSS-28'!G488+'WSS-28'!G490+'WSS-28'!G495+'WSS-28'!G499+'WSS-28'!G502+'WSS-28'!G374+'WSS-28'!G376+'WSS-28'!G381+'WSS-28'!G385+'WSS-28'!G388</f>
        <v>4707799.7174889212</v>
      </c>
      <c r="J30" s="254">
        <v>0</v>
      </c>
      <c r="K30" s="249">
        <f>SUM(E30:J30)</f>
        <v>23244630.06459339</v>
      </c>
      <c r="L30" s="250" t="str">
        <f>IF(ABS(K30-D30)&lt;0.01,"ok","err")</f>
        <v>ok</v>
      </c>
      <c r="M30" s="26"/>
      <c r="N30" s="26"/>
    </row>
    <row r="31" spans="1:14" ht="15.3" x14ac:dyDescent="0.55000000000000004">
      <c r="A31" s="282" t="s">
        <v>1804</v>
      </c>
      <c r="B31" s="244" t="s">
        <v>1840</v>
      </c>
      <c r="C31" s="245"/>
      <c r="D31" s="253">
        <f>'WSS-28'!G738</f>
        <v>7639489.9126472678</v>
      </c>
      <c r="E31" s="253">
        <f>D31</f>
        <v>7639489.9126472678</v>
      </c>
      <c r="F31" s="254"/>
      <c r="G31" s="254"/>
      <c r="H31" s="254"/>
      <c r="I31" s="254"/>
      <c r="J31" s="254"/>
      <c r="K31" s="249">
        <f>SUM(E31:J31)</f>
        <v>7639489.9126472678</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v>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'WSS-28'!G797+'WSS-28'!G798</f>
        <v>351564.89085269533</v>
      </c>
      <c r="E36" s="253">
        <f t="shared" ref="E36:J36" si="9">(E14/($D$14)*$D$36)</f>
        <v>175146.75046734096</v>
      </c>
      <c r="F36" s="254">
        <f t="shared" si="9"/>
        <v>3944.9036681216135</v>
      </c>
      <c r="G36" s="254">
        <f t="shared" si="9"/>
        <v>54057.43592409858</v>
      </c>
      <c r="H36" s="254">
        <f t="shared" si="9"/>
        <v>43672.70420734556</v>
      </c>
      <c r="I36" s="254">
        <f t="shared" si="9"/>
        <v>73843.18562061018</v>
      </c>
      <c r="J36" s="254">
        <f t="shared" si="9"/>
        <v>899.91096517839094</v>
      </c>
      <c r="K36" s="249">
        <f t="shared" si="8"/>
        <v>351564.89085269527</v>
      </c>
      <c r="L36" s="250" t="str">
        <f t="shared" si="7"/>
        <v>ok</v>
      </c>
      <c r="M36" s="26"/>
      <c r="N36" s="26"/>
    </row>
    <row r="37" spans="1:14" ht="15.3" x14ac:dyDescent="0.55000000000000004">
      <c r="A37" s="284" t="s">
        <v>1826</v>
      </c>
      <c r="B37" s="244" t="s">
        <v>2265</v>
      </c>
      <c r="C37" s="301"/>
      <c r="D37" s="253">
        <v>0</v>
      </c>
      <c r="E37" s="302">
        <v>0</v>
      </c>
      <c r="F37" s="303">
        <v>0</v>
      </c>
      <c r="G37" s="303">
        <v>0</v>
      </c>
      <c r="H37" s="303">
        <v>0</v>
      </c>
      <c r="I37" s="303">
        <v>0</v>
      </c>
      <c r="J37" s="303">
        <v>0</v>
      </c>
      <c r="K37" s="249">
        <f>SUM(E37:J37)</f>
        <v>0</v>
      </c>
      <c r="L37" s="250" t="str">
        <f>IF(ABS(K37-D37)&lt;0.01,"ok","err")</f>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351564.89085269533</v>
      </c>
      <c r="E39" s="253">
        <f t="shared" si="10"/>
        <v>175146.75046734096</v>
      </c>
      <c r="F39" s="254">
        <f t="shared" si="10"/>
        <v>3944.9036681216135</v>
      </c>
      <c r="G39" s="254">
        <f t="shared" si="10"/>
        <v>54057.43592409858</v>
      </c>
      <c r="H39" s="254">
        <f t="shared" si="10"/>
        <v>43672.70420734556</v>
      </c>
      <c r="I39" s="254">
        <f t="shared" si="10"/>
        <v>73843.18562061018</v>
      </c>
      <c r="J39" s="254">
        <f t="shared" si="10"/>
        <v>899.91096517839094</v>
      </c>
      <c r="K39" s="249">
        <f t="shared" si="8"/>
        <v>351564.89085269527</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700561795.40267968</v>
      </c>
      <c r="E41" s="253">
        <f t="shared" ref="E41:J41" si="11">SUM(E28:E31)+E22+E26+E39+E24</f>
        <v>261485656.5152024</v>
      </c>
      <c r="F41" s="254">
        <f t="shared" si="11"/>
        <v>193020659.83090091</v>
      </c>
      <c r="G41" s="254">
        <f t="shared" si="11"/>
        <v>65150072.924341291</v>
      </c>
      <c r="H41" s="254">
        <f t="shared" si="11"/>
        <v>48067286.690869883</v>
      </c>
      <c r="I41" s="254">
        <f t="shared" si="11"/>
        <v>90129989.7547867</v>
      </c>
      <c r="J41" s="254">
        <f t="shared" si="11"/>
        <v>42708129.686578587</v>
      </c>
      <c r="K41" s="249">
        <f>SUM(E41:J41)</f>
        <v>700561795.40267992</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-'WSS-28'!G659-'WSS-28'!G665</f>
        <v>-582738.63295099512</v>
      </c>
      <c r="E43" s="253">
        <f>D43</f>
        <v>-582738.63295099512</v>
      </c>
      <c r="F43" s="254">
        <v>0</v>
      </c>
      <c r="G43" s="254">
        <v>0</v>
      </c>
      <c r="H43" s="254">
        <v>0</v>
      </c>
      <c r="I43" s="254">
        <v>0</v>
      </c>
      <c r="J43" s="254">
        <v>0</v>
      </c>
      <c r="K43" s="249">
        <f>SUM(E43:J43)</f>
        <v>-582738.63295099512</v>
      </c>
      <c r="L43" s="250" t="str">
        <f>IF(ABS(K43-D43)&lt;0.01,"ok","err")</f>
        <v>ok</v>
      </c>
      <c r="M43" s="26"/>
      <c r="N43" s="26"/>
    </row>
    <row r="44" spans="1:14" ht="15.3" x14ac:dyDescent="0.55000000000000004">
      <c r="A44" s="282" t="s">
        <v>1830</v>
      </c>
      <c r="B44" s="244" t="s">
        <v>1832</v>
      </c>
      <c r="C44" s="245"/>
      <c r="D44" s="253">
        <f>-'WSS-28'!G652</f>
        <v>-3055519.7481216351</v>
      </c>
      <c r="E44" s="253">
        <v>0</v>
      </c>
      <c r="F44" s="254">
        <f>D44</f>
        <v>-3055519.7481216351</v>
      </c>
      <c r="G44" s="254">
        <v>0</v>
      </c>
      <c r="H44" s="254">
        <v>0</v>
      </c>
      <c r="I44" s="254">
        <v>0</v>
      </c>
      <c r="J44" s="254">
        <v>0</v>
      </c>
      <c r="K44" s="249">
        <f>SUM(E44:J44)</f>
        <v>-3055519.7481216351</v>
      </c>
      <c r="L44" s="250" t="str">
        <f>IF(ABS(K44-D44)&lt;0.01,"ok","err")</f>
        <v>ok</v>
      </c>
      <c r="M44" s="26"/>
      <c r="N44" s="26"/>
    </row>
    <row r="45" spans="1:14" ht="15.3" x14ac:dyDescent="0.55000000000000004">
      <c r="A45" s="282" t="s">
        <v>1834</v>
      </c>
      <c r="B45" s="244" t="s">
        <v>2469</v>
      </c>
      <c r="C45" s="245"/>
      <c r="D45" s="253">
        <f>-'WSS-28'!G658</f>
        <v>-11711750.868090896</v>
      </c>
      <c r="E45" s="253">
        <v>0</v>
      </c>
      <c r="F45" s="254">
        <v>0</v>
      </c>
      <c r="G45" s="254">
        <f>D45</f>
        <v>-11711750.868090896</v>
      </c>
      <c r="H45" s="254">
        <v>0</v>
      </c>
      <c r="I45" s="254">
        <v>0</v>
      </c>
      <c r="J45" s="254">
        <v>0</v>
      </c>
      <c r="K45" s="249">
        <f>SUM(E45:J45)</f>
        <v>-11711750.868090896</v>
      </c>
      <c r="L45" s="250" t="str">
        <f>IF(ABS(K45-D45)&lt;0.01,"ok","err")</f>
        <v>ok</v>
      </c>
      <c r="M45" s="26"/>
      <c r="N45" s="26"/>
    </row>
    <row r="46" spans="1:14" ht="15.3" x14ac:dyDescent="0.55000000000000004">
      <c r="A46" s="282" t="s">
        <v>1835</v>
      </c>
      <c r="B46" s="244" t="s">
        <v>1833</v>
      </c>
      <c r="C46" s="245"/>
      <c r="D46" s="253">
        <f>-('WSS-28'!G654+'WSS-28'!G655+'WSS-28'!G656+'WSS-28'!G657+'WSS-28'!G660+'WSS-28'!G662+'WSS-28'!G663+'WSS-28'!G664)</f>
        <v>-6474534.7027923502</v>
      </c>
      <c r="E46" s="253">
        <f t="shared" ref="E46:J46" si="12">(E14/($D$14)*$D$46)</f>
        <v>-3225560.1838730006</v>
      </c>
      <c r="F46" s="254">
        <f t="shared" si="12"/>
        <v>-72650.64391520257</v>
      </c>
      <c r="G46" s="254">
        <f t="shared" si="12"/>
        <v>-995539.52610472054</v>
      </c>
      <c r="H46" s="254">
        <f t="shared" si="12"/>
        <v>-804290.88999595272</v>
      </c>
      <c r="I46" s="254">
        <f t="shared" si="12"/>
        <v>-1359920.4024775622</v>
      </c>
      <c r="J46" s="254">
        <f t="shared" si="12"/>
        <v>-16573.056425910683</v>
      </c>
      <c r="K46" s="249">
        <f>SUM(E46:J46)</f>
        <v>-6474534.7027923493</v>
      </c>
      <c r="L46" s="250" t="str">
        <f>IF(ABS(K46-D46)&lt;0.01,"ok","err")</f>
        <v>ok</v>
      </c>
      <c r="M46" s="26"/>
      <c r="N46" s="26"/>
    </row>
    <row r="47" spans="1:14" ht="15.3" x14ac:dyDescent="0.55000000000000004">
      <c r="A47" s="282" t="s">
        <v>1841</v>
      </c>
      <c r="B47" s="244" t="s">
        <v>1836</v>
      </c>
      <c r="C47" s="245"/>
      <c r="D47" s="253">
        <f>SUM(D43:D46)</f>
        <v>-21824543.951955877</v>
      </c>
      <c r="E47" s="253">
        <f t="shared" ref="E47:J47" si="13">SUM(E43:E46)</f>
        <v>-3808298.8168239957</v>
      </c>
      <c r="F47" s="254">
        <f t="shared" si="13"/>
        <v>-3128170.3920368375</v>
      </c>
      <c r="G47" s="254">
        <f t="shared" si="13"/>
        <v>-12707290.394195616</v>
      </c>
      <c r="H47" s="254">
        <f t="shared" si="13"/>
        <v>-804290.88999595272</v>
      </c>
      <c r="I47" s="254">
        <f t="shared" si="13"/>
        <v>-1359920.4024775622</v>
      </c>
      <c r="J47" s="254">
        <f t="shared" si="13"/>
        <v>-16573.056425910683</v>
      </c>
      <c r="K47" s="249">
        <f>SUM(E47:J47)</f>
        <v>-21824543.951955874</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7" ht="15.3" x14ac:dyDescent="0.55000000000000004">
      <c r="A49" s="282" t="s">
        <v>1842</v>
      </c>
      <c r="B49" s="244" t="s">
        <v>1809</v>
      </c>
      <c r="C49" s="262" t="e">
        <f>'WSS-28'!#REF!-SUM('WSS-28'!G652:G665)-'WSS-28'!#REF!-'WSS-28'!#REF!-'WSS-28'!#REF!</f>
        <v>#REF!</v>
      </c>
      <c r="D49" s="253">
        <f>D41+D47</f>
        <v>678737251.45072377</v>
      </c>
      <c r="E49" s="253">
        <f t="shared" ref="E49:J49" si="14">E41+E47</f>
        <v>257677357.69837841</v>
      </c>
      <c r="F49" s="254">
        <f t="shared" si="14"/>
        <v>189892489.43886408</v>
      </c>
      <c r="G49" s="254">
        <f t="shared" si="14"/>
        <v>52442782.530145675</v>
      </c>
      <c r="H49" s="254">
        <f t="shared" si="14"/>
        <v>47262995.800873928</v>
      </c>
      <c r="I49" s="254">
        <f t="shared" si="14"/>
        <v>88770069.352309138</v>
      </c>
      <c r="J49" s="254">
        <f t="shared" si="14"/>
        <v>42691556.630152673</v>
      </c>
      <c r="K49" s="249">
        <f>SUM(E49:J49)</f>
        <v>678737251.45072389</v>
      </c>
      <c r="L49" s="250" t="str">
        <f>IF(ABS(K49-D49)&lt;0.01,"ok","err")</f>
        <v>ok</v>
      </c>
      <c r="M49" s="26"/>
      <c r="N49" s="26"/>
    </row>
    <row r="50" spans="1:17" ht="15.3" x14ac:dyDescent="0.55000000000000004">
      <c r="A50" s="283"/>
      <c r="B50" s="244"/>
      <c r="C50" s="245"/>
      <c r="D50" s="253"/>
      <c r="E50" s="256"/>
      <c r="F50" s="191"/>
      <c r="G50" s="191"/>
      <c r="H50" s="191"/>
      <c r="I50" s="191"/>
      <c r="J50" s="191"/>
      <c r="K50" s="234"/>
      <c r="L50" s="257"/>
      <c r="M50" s="26"/>
      <c r="N50" s="26"/>
    </row>
    <row r="51" spans="1:17" ht="15.3" x14ac:dyDescent="0.55000000000000004">
      <c r="A51" s="282" t="s">
        <v>2267</v>
      </c>
      <c r="B51" s="244" t="s">
        <v>1811</v>
      </c>
      <c r="C51" s="245"/>
      <c r="D51" s="263"/>
      <c r="E51" s="264">
        <f>'Billing Det'!C8</f>
        <v>5933862870.8046446</v>
      </c>
      <c r="F51" s="265">
        <f>'Billing Det'!C8</f>
        <v>5933862870.8046446</v>
      </c>
      <c r="G51" s="265">
        <f>'Billing Det'!C8</f>
        <v>5933862870.8046446</v>
      </c>
      <c r="H51" s="265">
        <f>'Billing Det'!C8</f>
        <v>5933862870.8046446</v>
      </c>
      <c r="I51" s="265">
        <f>'WSS-28'!G831</f>
        <v>5300350.0191780822</v>
      </c>
      <c r="J51" s="265">
        <f>I51</f>
        <v>5300350.0191780822</v>
      </c>
      <c r="K51" s="234"/>
      <c r="L51" s="257"/>
      <c r="M51" s="26"/>
      <c r="N51" s="26"/>
    </row>
    <row r="52" spans="1:17" ht="15.6" thickBot="1" x14ac:dyDescent="0.6">
      <c r="A52" s="283"/>
      <c r="B52" s="244"/>
      <c r="C52" s="245"/>
      <c r="D52" s="255"/>
      <c r="E52" s="256"/>
      <c r="F52" s="191"/>
      <c r="G52" s="191"/>
      <c r="H52" s="191"/>
      <c r="I52" s="191"/>
      <c r="J52" s="191"/>
      <c r="K52" s="234"/>
      <c r="L52" s="257"/>
      <c r="M52" s="26"/>
      <c r="N52" s="26"/>
    </row>
    <row r="53" spans="1:17" ht="15.6" thickBot="1" x14ac:dyDescent="0.6">
      <c r="A53" s="285" t="s">
        <v>2472</v>
      </c>
      <c r="B53" s="266" t="s">
        <v>1813</v>
      </c>
      <c r="C53" s="267"/>
      <c r="D53" s="268"/>
      <c r="E53" s="269">
        <f t="shared" ref="E53:J53" si="15">E49/E51</f>
        <v>4.3424892571445085E-2</v>
      </c>
      <c r="F53" s="270">
        <f t="shared" si="15"/>
        <v>3.2001496086665422E-2</v>
      </c>
      <c r="G53" s="270">
        <f t="shared" si="15"/>
        <v>8.8378824505990512E-3</v>
      </c>
      <c r="H53" s="270">
        <f t="shared" si="15"/>
        <v>7.9649625934926534E-3</v>
      </c>
      <c r="I53" s="271">
        <f>I49/I51</f>
        <v>16.747963630914054</v>
      </c>
      <c r="J53" s="271">
        <f t="shared" si="15"/>
        <v>8.0544787562487787</v>
      </c>
      <c r="K53" s="272">
        <f>I53+J53</f>
        <v>24.802442387162834</v>
      </c>
      <c r="L53" s="273"/>
      <c r="M53" s="26"/>
      <c r="N53" s="26"/>
    </row>
    <row r="54" spans="1:17" ht="15.3" x14ac:dyDescent="0.55000000000000004">
      <c r="A54" s="26"/>
      <c r="B54" s="26"/>
      <c r="C54" s="26"/>
      <c r="D54" s="26"/>
      <c r="E54" s="26"/>
      <c r="F54" s="26"/>
      <c r="G54" s="26"/>
      <c r="H54" s="26"/>
      <c r="I54" s="416"/>
      <c r="J54" s="26"/>
      <c r="K54" s="26"/>
      <c r="L54" s="26"/>
      <c r="M54" s="26"/>
      <c r="N54" s="26"/>
    </row>
    <row r="55" spans="1:17" ht="15.3" x14ac:dyDescent="0.55000000000000004">
      <c r="A55" s="26"/>
      <c r="B55" s="26"/>
      <c r="C55" s="26"/>
      <c r="D55" s="274"/>
      <c r="E55" s="26"/>
      <c r="F55" s="26"/>
      <c r="G55" s="26"/>
      <c r="H55" s="26"/>
      <c r="I55" s="26"/>
      <c r="J55" s="26" t="s">
        <v>2256</v>
      </c>
      <c r="K55" s="291">
        <f>I53+J53</f>
        <v>24.802442387162834</v>
      </c>
      <c r="L55" s="418">
        <f>ROUND(K55/30.5, 2)</f>
        <v>0.81</v>
      </c>
      <c r="M55" s="26"/>
      <c r="N55" s="26"/>
    </row>
    <row r="56" spans="1:17" ht="15.3" x14ac:dyDescent="0.55000000000000004">
      <c r="A56" s="26"/>
      <c r="B56" s="26"/>
      <c r="C56" s="26"/>
      <c r="D56" s="290"/>
      <c r="E56" s="26"/>
      <c r="F56" s="26"/>
      <c r="G56" s="26"/>
      <c r="H56" s="26"/>
      <c r="I56" s="26"/>
      <c r="J56" s="26" t="s">
        <v>2261</v>
      </c>
      <c r="K56" s="289">
        <f>E53+G53+H53</f>
        <v>6.0227737615536792E-2</v>
      </c>
      <c r="L56" s="418"/>
      <c r="M56" s="26"/>
      <c r="N56" s="26" t="s">
        <v>1817</v>
      </c>
      <c r="Q56" s="186">
        <f>(I49+J49)/K49</f>
        <v>0.19368559144422601</v>
      </c>
    </row>
    <row r="57" spans="1:17" ht="15.3" x14ac:dyDescent="0.55000000000000004">
      <c r="A57" s="26"/>
      <c r="B57" s="26"/>
      <c r="C57" s="26"/>
      <c r="D57" s="279"/>
      <c r="E57" s="26"/>
      <c r="F57" s="26"/>
      <c r="G57" s="26"/>
      <c r="H57" s="26"/>
      <c r="I57" s="26"/>
      <c r="J57" s="26" t="s">
        <v>2257</v>
      </c>
      <c r="K57" s="289">
        <f>F53</f>
        <v>3.2001496086665422E-2</v>
      </c>
      <c r="L57" s="26"/>
      <c r="M57" s="26"/>
      <c r="N57" s="26" t="s">
        <v>1815</v>
      </c>
      <c r="Q57" s="186">
        <f>(E49+G49+H49)/K49</f>
        <v>0.52654121350424199</v>
      </c>
    </row>
    <row r="58" spans="1:17" ht="15.3" x14ac:dyDescent="0.55000000000000004">
      <c r="A58" s="26"/>
      <c r="B58" s="26"/>
      <c r="C58" s="26"/>
      <c r="D58" s="26"/>
      <c r="E58" s="26"/>
      <c r="F58" s="26"/>
      <c r="G58" s="26"/>
      <c r="H58" s="26"/>
      <c r="I58" s="26"/>
      <c r="J58" s="191"/>
      <c r="K58" s="292"/>
      <c r="L58" s="26"/>
      <c r="M58" s="26"/>
      <c r="N58" s="26" t="s">
        <v>2489</v>
      </c>
      <c r="Q58" s="186">
        <f>F49/K49</f>
        <v>0.27977319505153198</v>
      </c>
    </row>
    <row r="59" spans="1:17" ht="15.3" x14ac:dyDescent="0.55000000000000004">
      <c r="A59" s="26"/>
      <c r="B59" s="26"/>
      <c r="C59" s="26"/>
      <c r="D59" s="290"/>
      <c r="E59" s="26"/>
      <c r="F59" s="26"/>
      <c r="G59" s="26"/>
      <c r="H59" s="26"/>
      <c r="I59" s="26"/>
      <c r="J59" s="293" t="s">
        <v>2258</v>
      </c>
      <c r="K59" s="294">
        <v>16.13</v>
      </c>
      <c r="L59" s="26"/>
      <c r="M59" s="26"/>
      <c r="N59" s="26"/>
      <c r="Q59" s="452">
        <f>SUM(Q56:Q58)</f>
        <v>1</v>
      </c>
    </row>
    <row r="60" spans="1:17" ht="15.3" x14ac:dyDescent="0.55000000000000004">
      <c r="A60" s="26"/>
      <c r="B60" s="26"/>
      <c r="C60" s="26"/>
      <c r="D60" s="274"/>
      <c r="E60" s="26"/>
      <c r="F60" s="26"/>
      <c r="G60" s="26"/>
      <c r="H60" s="26"/>
      <c r="I60" s="26"/>
      <c r="J60" s="293" t="s">
        <v>2259</v>
      </c>
      <c r="K60" s="295">
        <f>(K55-K59)*I51</f>
        <v>45966980.173119344</v>
      </c>
      <c r="L60" s="26"/>
      <c r="M60" s="26"/>
      <c r="N60" s="26"/>
    </row>
    <row r="61" spans="1:17" ht="15.3" x14ac:dyDescent="0.55000000000000004">
      <c r="A61" s="26"/>
      <c r="B61" s="26"/>
      <c r="C61" s="26"/>
      <c r="D61" s="26"/>
      <c r="E61" s="26"/>
      <c r="F61" s="26"/>
      <c r="G61" s="26"/>
      <c r="H61" s="26"/>
      <c r="I61" s="26"/>
      <c r="J61" s="293" t="s">
        <v>2260</v>
      </c>
      <c r="K61" s="296">
        <f>K60/H51</f>
        <v>7.7465524859502057E-3</v>
      </c>
      <c r="L61" s="26"/>
      <c r="M61" s="26"/>
      <c r="N61" s="26"/>
    </row>
    <row r="62" spans="1:17" ht="15.3" x14ac:dyDescent="0.55000000000000004">
      <c r="J62" s="293" t="s">
        <v>2262</v>
      </c>
      <c r="K62" s="32">
        <v>6.77E-3</v>
      </c>
    </row>
    <row r="63" spans="1:17" ht="15.3" x14ac:dyDescent="0.55000000000000004">
      <c r="J63" s="293" t="s">
        <v>2263</v>
      </c>
      <c r="K63" s="297">
        <f>K61+K62+K56</f>
        <v>7.4744290101487004E-2</v>
      </c>
      <c r="L63" s="300">
        <f>K63+K57</f>
        <v>0.10674578618815242</v>
      </c>
    </row>
  </sheetData>
  <mergeCells count="6">
    <mergeCell ref="E9:F9"/>
    <mergeCell ref="H9:I9"/>
    <mergeCell ref="A1:N1"/>
    <mergeCell ref="A3:N3"/>
    <mergeCell ref="A4:N4"/>
    <mergeCell ref="A6:N6"/>
  </mergeCells>
  <pageMargins left="1" right="1" top="1" bottom="1" header="0.3" footer="0.3"/>
  <pageSetup scale="46" orientation="landscape" r:id="rId1"/>
  <headerFooter>
    <oddFooter>&amp;R&amp;"Times New Roman,Bold"&amp;12Exhibit MJB - 10
Page 1 of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63"/>
  <sheetViews>
    <sheetView view="pageBreakPreview" topLeftCell="A19"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578125" customWidth="1"/>
    <col min="13" max="13" width="14.417968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2186</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'WSS-28'!I174</f>
        <v>610148565.20987535</v>
      </c>
      <c r="E14" s="247">
        <f>'WSS-28'!I123+'WSS-28'!I124+'WSS-28'!I125</f>
        <v>328577606.44293022</v>
      </c>
      <c r="F14" s="248">
        <f>'WSS-28'!I126</f>
        <v>7762757.2657228718</v>
      </c>
      <c r="G14" s="248">
        <f>'WSS-28'!I135</f>
        <v>96774179.533726037</v>
      </c>
      <c r="H14" s="248">
        <f>'WSS-28'!I145+'WSS-28'!I147+'WSS-28'!I152+'WSS-28'!I141</f>
        <v>69013461.077962995</v>
      </c>
      <c r="I14" s="248">
        <f>'WSS-28'!I146+'WSS-28'!I148+'WSS-28'!I153+'WSS-28'!I157+'WSS-28'!I160+'WSS-28'!I163</f>
        <v>105635827.87740451</v>
      </c>
      <c r="J14" s="248">
        <f>'WSS-28'!I166+'WSS-28'!I169</f>
        <v>2384733.012128761</v>
      </c>
      <c r="K14" s="249">
        <f>SUM(E14:J14)</f>
        <v>610148565.20987535</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610148565.20987535</v>
      </c>
      <c r="E16" s="253">
        <f t="shared" ref="E16:K16" si="1">E14+E15</f>
        <v>328577606.44293022</v>
      </c>
      <c r="F16" s="254">
        <f t="shared" si="1"/>
        <v>7762757.2657228718</v>
      </c>
      <c r="G16" s="254">
        <f t="shared" si="1"/>
        <v>96774179.533726037</v>
      </c>
      <c r="H16" s="254">
        <f t="shared" si="1"/>
        <v>69013461.077962995</v>
      </c>
      <c r="I16" s="254">
        <f t="shared" si="1"/>
        <v>105635827.87740451</v>
      </c>
      <c r="J16" s="254">
        <f t="shared" si="1"/>
        <v>2384733.012128761</v>
      </c>
      <c r="K16" s="249">
        <f t="shared" si="1"/>
        <v>610148565.20987535</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'WSS-28'!I808</f>
        <v>0.14337951623337433</v>
      </c>
      <c r="E18" s="258">
        <f t="shared" ref="E18:J18" si="2">D18</f>
        <v>0.14337951623337433</v>
      </c>
      <c r="F18" s="259">
        <f t="shared" si="2"/>
        <v>0.14337951623337433</v>
      </c>
      <c r="G18" s="259">
        <f t="shared" si="2"/>
        <v>0.14337951623337433</v>
      </c>
      <c r="H18" s="259">
        <f t="shared" si="2"/>
        <v>0.14337951623337433</v>
      </c>
      <c r="I18" s="259">
        <f t="shared" si="2"/>
        <v>0.14337951623337433</v>
      </c>
      <c r="J18" s="259">
        <f t="shared" si="2"/>
        <v>0.14337951623337433</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87482806.110279381</v>
      </c>
      <c r="E20" s="253">
        <f t="shared" ref="E20:J20" si="3">E18*E16</f>
        <v>47111298.256907396</v>
      </c>
      <c r="F20" s="254">
        <f t="shared" si="3"/>
        <v>1113020.3813964571</v>
      </c>
      <c r="G20" s="254">
        <f t="shared" si="3"/>
        <v>13875435.045427354</v>
      </c>
      <c r="H20" s="254">
        <f t="shared" si="3"/>
        <v>9895116.662949143</v>
      </c>
      <c r="I20" s="254">
        <f t="shared" si="3"/>
        <v>15146013.897974256</v>
      </c>
      <c r="J20" s="254">
        <f t="shared" si="3"/>
        <v>341921.86562477937</v>
      </c>
      <c r="K20" s="249">
        <f>SUM(E20:J20)</f>
        <v>87482806.110279381</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'WSS-28'!I708</f>
        <v>12822948.388816658</v>
      </c>
      <c r="E22" s="253">
        <f t="shared" ref="E22:J22" si="4">(E14/$D$14)*$D$22</f>
        <v>6905422.5960349971</v>
      </c>
      <c r="F22" s="254">
        <f t="shared" si="4"/>
        <v>163142.94820809129</v>
      </c>
      <c r="G22" s="254">
        <f t="shared" si="4"/>
        <v>2033816.6477605307</v>
      </c>
      <c r="H22" s="254">
        <f t="shared" si="4"/>
        <v>1450394.379329442</v>
      </c>
      <c r="I22" s="254">
        <f t="shared" si="4"/>
        <v>2220054.0099868029</v>
      </c>
      <c r="J22" s="254">
        <f t="shared" si="4"/>
        <v>50117.807496795314</v>
      </c>
      <c r="K22" s="249">
        <f>SUM(E22:J22)</f>
        <v>12822948.38881666</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74659857.721462727</v>
      </c>
      <c r="E24" s="253">
        <f t="shared" ref="E24:J24" si="5">E20-E22</f>
        <v>40205875.6608724</v>
      </c>
      <c r="F24" s="254">
        <f t="shared" si="5"/>
        <v>949877.43318836577</v>
      </c>
      <c r="G24" s="254">
        <f t="shared" si="5"/>
        <v>11841618.397666823</v>
      </c>
      <c r="H24" s="254">
        <f t="shared" si="5"/>
        <v>8444722.2836197019</v>
      </c>
      <c r="I24" s="254">
        <f t="shared" si="5"/>
        <v>12925959.887987453</v>
      </c>
      <c r="J24" s="254">
        <f t="shared" si="5"/>
        <v>291804.05812798406</v>
      </c>
      <c r="K24" s="249">
        <f>SUM(E24:J24)</f>
        <v>74659857.721462727</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'WSS-28'!I680+'WSS-28'!I800</f>
        <v>16277693.254374534</v>
      </c>
      <c r="E26" s="253">
        <f t="shared" ref="E26:J26" si="6">$D$26*(E24/$K$24)</f>
        <v>8765874.0721530244</v>
      </c>
      <c r="F26" s="254">
        <f t="shared" si="6"/>
        <v>207096.74460373368</v>
      </c>
      <c r="G26" s="254">
        <f t="shared" si="6"/>
        <v>2581765.3260430326</v>
      </c>
      <c r="H26" s="254">
        <f t="shared" si="6"/>
        <v>1841158.0619932853</v>
      </c>
      <c r="I26" s="254">
        <f t="shared" si="6"/>
        <v>2818178.5566746853</v>
      </c>
      <c r="J26" s="254">
        <f t="shared" si="6"/>
        <v>63620.49290677299</v>
      </c>
      <c r="K26" s="249">
        <f>SUM(E26:J26)</f>
        <v>16277693.254374536</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'WSS-28'!I730</f>
        <v>102777582.98476294</v>
      </c>
      <c r="E28" s="253">
        <f>'WSS-28'!I180+'WSS-28'!I181+'WSS-28'!I182</f>
        <v>14712899.341817949</v>
      </c>
      <c r="F28" s="254">
        <f>'WSS-28'!I183</f>
        <v>54152487.946382076</v>
      </c>
      <c r="G28" s="254">
        <f>'WSS-28'!I192</f>
        <v>6552352.7044439856</v>
      </c>
      <c r="H28" s="254">
        <f>'WSS-28'!I198+'WSS-28'!I202+'WSS-28'!I204+'WSS-28'!I209</f>
        <v>3952927.0244769771</v>
      </c>
      <c r="I28" s="254">
        <f>'WSS-28'!I203+'WSS-28'!I205+'WSS-28'!I210+'WSS-28'!I214+'WSS-28'!I217</f>
        <v>8604244.7336821202</v>
      </c>
      <c r="J28" s="254">
        <f>'WSS-28'!I223+'WSS-28'!I226</f>
        <v>14802671.233959831</v>
      </c>
      <c r="K28" s="249">
        <f>SUM(E28:J28)</f>
        <v>102777582.98476294</v>
      </c>
      <c r="L28" s="250" t="str">
        <f>IF(ABS(K28-D28)&lt;0.01,"ok","err")</f>
        <v>ok</v>
      </c>
      <c r="M28" s="26"/>
      <c r="N28" s="26"/>
    </row>
    <row r="29" spans="1:14" ht="15.3" x14ac:dyDescent="0.55000000000000004">
      <c r="A29" s="282" t="s">
        <v>1802</v>
      </c>
      <c r="B29" s="244" t="s">
        <v>812</v>
      </c>
      <c r="C29" s="245"/>
      <c r="D29" s="253">
        <f>'WSS-28'!I731</f>
        <v>42244784.497978106</v>
      </c>
      <c r="E29" s="253">
        <f>'WSS-28'!I300</f>
        <v>31880880.116783291</v>
      </c>
      <c r="F29" s="254">
        <v>0</v>
      </c>
      <c r="G29" s="254">
        <f>'WSS-28'!I306</f>
        <v>3979511.4523223969</v>
      </c>
      <c r="H29" s="254">
        <f>'WSS-28'!I312+'WSS-28'!I316+'WSS-28'!I318+'WSS-28'!I323</f>
        <v>2531708.3179608742</v>
      </c>
      <c r="I29" s="254">
        <f>'WSS-28'!I317+'WSS-28'!I319+'WSS-28'!I324+'WSS-28'!I328+'WSS-28'!I331</f>
        <v>3852684.610911543</v>
      </c>
      <c r="J29" s="254">
        <v>0</v>
      </c>
      <c r="K29" s="249">
        <f>SUM(E29:J29)</f>
        <v>42244784.497978099</v>
      </c>
      <c r="L29" s="250" t="str">
        <f>IF(ABS(K29-D29)&lt;0.01,"ok","err")</f>
        <v>ok</v>
      </c>
      <c r="M29" s="26"/>
      <c r="N29" s="26"/>
    </row>
    <row r="30" spans="1:14" ht="15.3" x14ac:dyDescent="0.55000000000000004">
      <c r="A30" s="282" t="s">
        <v>1803</v>
      </c>
      <c r="B30" s="244" t="s">
        <v>408</v>
      </c>
      <c r="C30" s="245"/>
      <c r="D30" s="253">
        <f>'WSS-28'!I733+'WSS-28'!I734</f>
        <v>5795734.6660251059</v>
      </c>
      <c r="E30" s="253">
        <f>'WSS-28'!I414+'WSS-28'!I471+'WSS-28'!I357</f>
        <v>3414465.4514106209</v>
      </c>
      <c r="F30" s="254">
        <f>'WSS-28'!I529</f>
        <v>0</v>
      </c>
      <c r="G30" s="254">
        <f>'WSS-28'!I420+'WSS-28'!I477+'WSS-28'!I363</f>
        <v>801322.16052175849</v>
      </c>
      <c r="H30" s="254">
        <f>'WSS-28'!I426+'WSS-28'!I430+'WSS-28'!I432+'WSS-28'!I437+'WSS-28'!I483+'WSS-28'!I487+'WSS-28'!I489+'WSS-28'!I494+'WSS-28'!I369+'WSS-28'!I373+'WSS-28'!I375+'WSS-28'!I380</f>
        <v>626333.68587994704</v>
      </c>
      <c r="I30" s="254">
        <f>'WSS-28'!I431+'WSS-28'!I433+'WSS-28'!I438+'WSS-28'!I442+'WSS-28'!I445+'WSS-28'!I488+'WSS-28'!I490+'WSS-28'!I495+'WSS-28'!I499+'WSS-28'!I502+'WSS-28'!I374+'WSS-28'!I376+'WSS-28'!I381+'WSS-28'!I385+'WSS-28'!I388</f>
        <v>953613.36821277835</v>
      </c>
      <c r="J30" s="254">
        <v>0</v>
      </c>
      <c r="K30" s="249">
        <f>SUM(E30:J30)</f>
        <v>5795734.666025104</v>
      </c>
      <c r="L30" s="250" t="str">
        <f>IF(ABS(K30-D30)&lt;0.01,"ok","err")</f>
        <v>ok</v>
      </c>
      <c r="M30" s="26"/>
      <c r="N30" s="26"/>
    </row>
    <row r="31" spans="1:14" ht="15.3" x14ac:dyDescent="0.55000000000000004">
      <c r="A31" s="282" t="s">
        <v>1804</v>
      </c>
      <c r="B31" s="244" t="s">
        <v>1840</v>
      </c>
      <c r="C31" s="245"/>
      <c r="D31" s="253">
        <f>'WSS-28'!I738</f>
        <v>2059747.0046663503</v>
      </c>
      <c r="E31" s="253">
        <f>D31</f>
        <v>2059747.0046663503</v>
      </c>
      <c r="F31" s="254"/>
      <c r="G31" s="254"/>
      <c r="H31" s="254"/>
      <c r="I31" s="254"/>
      <c r="J31" s="254"/>
      <c r="K31" s="249">
        <f>SUM(E31:J31)</f>
        <v>2059747.0046663503</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v>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'WSS-28'!I797+'WSS-28'!I798</f>
        <v>138327.13726168533</v>
      </c>
      <c r="E36" s="253">
        <f t="shared" ref="E36:J36" si="9">(E14/($D$14)*$D$36)</f>
        <v>74492.020893162626</v>
      </c>
      <c r="F36" s="254">
        <f t="shared" si="9"/>
        <v>1759.8992295514672</v>
      </c>
      <c r="G36" s="254">
        <f t="shared" si="9"/>
        <v>21939.730713197845</v>
      </c>
      <c r="H36" s="254">
        <f t="shared" si="9"/>
        <v>15646.082032744991</v>
      </c>
      <c r="I36" s="254">
        <f t="shared" si="9"/>
        <v>23948.760180273875</v>
      </c>
      <c r="J36" s="254">
        <f t="shared" si="9"/>
        <v>540.64421275454379</v>
      </c>
      <c r="K36" s="249">
        <f t="shared" si="8"/>
        <v>138327.13726168533</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138327.13726168533</v>
      </c>
      <c r="E39" s="253">
        <f t="shared" si="10"/>
        <v>74492.020893162626</v>
      </c>
      <c r="F39" s="254">
        <f t="shared" si="10"/>
        <v>1759.8992295514672</v>
      </c>
      <c r="G39" s="254">
        <f t="shared" si="10"/>
        <v>21939.730713197845</v>
      </c>
      <c r="H39" s="254">
        <f t="shared" si="10"/>
        <v>15646.082032744991</v>
      </c>
      <c r="I39" s="254">
        <f t="shared" si="10"/>
        <v>23948.760180273875</v>
      </c>
      <c r="J39" s="254">
        <f t="shared" si="10"/>
        <v>540.64421275454379</v>
      </c>
      <c r="K39" s="249">
        <f t="shared" si="8"/>
        <v>138327.13726168533</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256776675.65534812</v>
      </c>
      <c r="E41" s="253">
        <f t="shared" ref="E41:J41" si="11">SUM(E28:E31)+E22+E26+E39+E24</f>
        <v>108019656.26463178</v>
      </c>
      <c r="F41" s="254">
        <f t="shared" si="11"/>
        <v>55474364.971611813</v>
      </c>
      <c r="G41" s="254">
        <f t="shared" si="11"/>
        <v>27812326.419471726</v>
      </c>
      <c r="H41" s="254">
        <f t="shared" si="11"/>
        <v>18862889.835292973</v>
      </c>
      <c r="I41" s="254">
        <f t="shared" si="11"/>
        <v>31398683.927635655</v>
      </c>
      <c r="J41" s="254">
        <f t="shared" si="11"/>
        <v>15208754.236704139</v>
      </c>
      <c r="K41" s="249">
        <f>SUM(E41:J41)</f>
        <v>256776675.65534809</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-'WSS-28'!I659-'WSS-28'!I665</f>
        <v>-157117.05460034375</v>
      </c>
      <c r="E43" s="253">
        <f>D43</f>
        <v>-157117.05460034375</v>
      </c>
      <c r="F43" s="254">
        <v>0</v>
      </c>
      <c r="G43" s="254">
        <v>0</v>
      </c>
      <c r="H43" s="254">
        <v>0</v>
      </c>
      <c r="I43" s="254">
        <v>0</v>
      </c>
      <c r="J43" s="254">
        <v>0</v>
      </c>
      <c r="K43" s="249">
        <f>SUM(E43:J43)</f>
        <v>-157117.05460034375</v>
      </c>
      <c r="L43" s="250" t="str">
        <f>IF(ABS(K43-D43)&lt;0.01,"ok","err")</f>
        <v>ok</v>
      </c>
      <c r="M43" s="26"/>
      <c r="N43" s="26"/>
    </row>
    <row r="44" spans="1:14" ht="15.3" x14ac:dyDescent="0.55000000000000004">
      <c r="A44" s="282" t="s">
        <v>1830</v>
      </c>
      <c r="B44" s="244" t="s">
        <v>1832</v>
      </c>
      <c r="C44" s="245"/>
      <c r="D44" s="253">
        <f>-'WSS-28'!I652</f>
        <v>-864128.52119734825</v>
      </c>
      <c r="E44" s="253">
        <v>0</v>
      </c>
      <c r="F44" s="254">
        <f>D44</f>
        <v>-864128.52119734825</v>
      </c>
      <c r="G44" s="254">
        <v>0</v>
      </c>
      <c r="H44" s="254">
        <v>0</v>
      </c>
      <c r="I44" s="254">
        <v>0</v>
      </c>
      <c r="J44" s="254">
        <v>0</v>
      </c>
      <c r="K44" s="249">
        <f>SUM(E44:J44)</f>
        <v>-864128.52119734825</v>
      </c>
      <c r="L44" s="250" t="str">
        <f>IF(ABS(K44-D44)&lt;0.01,"ok","err")</f>
        <v>ok</v>
      </c>
      <c r="M44" s="26"/>
      <c r="N44" s="26"/>
    </row>
    <row r="45" spans="1:14" ht="15.3" x14ac:dyDescent="0.55000000000000004">
      <c r="A45" s="282" t="s">
        <v>1834</v>
      </c>
      <c r="B45" s="244" t="s">
        <v>2469</v>
      </c>
      <c r="C45" s="245"/>
      <c r="D45" s="253">
        <f>-'WSS-28'!I658</f>
        <v>-3013280.2288419153</v>
      </c>
      <c r="E45" s="253">
        <v>0</v>
      </c>
      <c r="F45" s="254">
        <v>0</v>
      </c>
      <c r="G45" s="254">
        <f>D45</f>
        <v>-3013280.2288419153</v>
      </c>
      <c r="H45" s="254">
        <v>0</v>
      </c>
      <c r="I45" s="254">
        <v>0</v>
      </c>
      <c r="J45" s="254">
        <v>0</v>
      </c>
      <c r="K45" s="249">
        <f>SUM(E45:J45)</f>
        <v>-3013280.2288419153</v>
      </c>
      <c r="L45" s="250" t="str">
        <f>IF(ABS(K45-D45)&lt;0.01,"ok","err")</f>
        <v>ok</v>
      </c>
      <c r="M45" s="26"/>
      <c r="N45" s="26"/>
    </row>
    <row r="46" spans="1:14" ht="15.3" x14ac:dyDescent="0.55000000000000004">
      <c r="A46" s="282" t="s">
        <v>1835</v>
      </c>
      <c r="B46" s="244" t="s">
        <v>1833</v>
      </c>
      <c r="C46" s="245"/>
      <c r="D46" s="253">
        <f>-('WSS-28'!I654+'WSS-28'!I655+'WSS-28'!I656+'WSS-28'!I657+'WSS-28'!I660+'WSS-28'!I662+'WSS-28'!I663+'WSS-28'!I664)</f>
        <v>-1105137.0424399935</v>
      </c>
      <c r="E46" s="253">
        <f t="shared" ref="E46:J46" si="12">(E14/($D$14)*$D$46)</f>
        <v>-595139.12660180894</v>
      </c>
      <c r="F46" s="254">
        <f t="shared" si="12"/>
        <v>-14060.363483555224</v>
      </c>
      <c r="G46" s="254">
        <f t="shared" si="12"/>
        <v>-175283.09767912235</v>
      </c>
      <c r="H46" s="254">
        <f t="shared" si="12"/>
        <v>-125001.24824191457</v>
      </c>
      <c r="I46" s="254">
        <f t="shared" si="12"/>
        <v>-191333.83744986565</v>
      </c>
      <c r="J46" s="254">
        <f t="shared" si="12"/>
        <v>-4319.3689837268848</v>
      </c>
      <c r="K46" s="249">
        <f>SUM(E46:J46)</f>
        <v>-1105137.0424399937</v>
      </c>
      <c r="L46" s="250" t="str">
        <f>IF(ABS(K46-D46)&lt;0.01,"ok","err")</f>
        <v>ok</v>
      </c>
      <c r="M46" s="26"/>
      <c r="N46" s="26"/>
    </row>
    <row r="47" spans="1:14" ht="15.3" x14ac:dyDescent="0.55000000000000004">
      <c r="A47" s="282" t="s">
        <v>1841</v>
      </c>
      <c r="B47" s="244" t="s">
        <v>1836</v>
      </c>
      <c r="C47" s="245"/>
      <c r="D47" s="253">
        <f>SUM(D43:D46)</f>
        <v>-5139662.8470796011</v>
      </c>
      <c r="E47" s="253">
        <f t="shared" ref="E47:J47" si="13">SUM(E43:E46)</f>
        <v>-752256.18120215274</v>
      </c>
      <c r="F47" s="254">
        <f t="shared" si="13"/>
        <v>-878188.88468090352</v>
      </c>
      <c r="G47" s="254">
        <f t="shared" si="13"/>
        <v>-3188563.3265210376</v>
      </c>
      <c r="H47" s="254">
        <f t="shared" si="13"/>
        <v>-125001.24824191457</v>
      </c>
      <c r="I47" s="254">
        <f t="shared" si="13"/>
        <v>-191333.83744986565</v>
      </c>
      <c r="J47" s="254">
        <f t="shared" si="13"/>
        <v>-4319.3689837268848</v>
      </c>
      <c r="K47" s="249">
        <f>SUM(E47:J47)</f>
        <v>-5139662.8470796011</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251637012.80826852</v>
      </c>
      <c r="E49" s="253">
        <f t="shared" ref="E49:J49" si="14">E41+E47</f>
        <v>107267400.08342962</v>
      </c>
      <c r="F49" s="254">
        <f t="shared" si="14"/>
        <v>54596176.086930908</v>
      </c>
      <c r="G49" s="254">
        <f t="shared" si="14"/>
        <v>24623763.092950687</v>
      </c>
      <c r="H49" s="254">
        <f t="shared" si="14"/>
        <v>18737888.587051056</v>
      </c>
      <c r="I49" s="254">
        <f t="shared" si="14"/>
        <v>31207350.090185788</v>
      </c>
      <c r="J49" s="254">
        <f t="shared" si="14"/>
        <v>15204434.867720412</v>
      </c>
      <c r="K49" s="249">
        <f>SUM(E49:J49)</f>
        <v>251637012.80826849</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64">
        <f>'Billing Det'!C12</f>
        <v>1678149896</v>
      </c>
      <c r="F51" s="265">
        <f>$E$51</f>
        <v>1678149896</v>
      </c>
      <c r="G51" s="265">
        <f>$E$51</f>
        <v>1678149896</v>
      </c>
      <c r="H51" s="265">
        <f>$E$51</f>
        <v>1678149896</v>
      </c>
      <c r="I51" s="265">
        <f>'WSS-28'!I831</f>
        <v>993412.76712328754</v>
      </c>
      <c r="J51" s="265">
        <f>I51</f>
        <v>993412.76712328754</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2472</v>
      </c>
      <c r="B53" s="266" t="s">
        <v>1813</v>
      </c>
      <c r="C53" s="267"/>
      <c r="D53" s="268"/>
      <c r="E53" s="269">
        <f t="shared" ref="E53:J53" si="15">E49/E51</f>
        <v>6.3920034997534944E-2</v>
      </c>
      <c r="F53" s="270">
        <f t="shared" si="15"/>
        <v>3.2533551512332191E-2</v>
      </c>
      <c r="G53" s="270">
        <f t="shared" si="15"/>
        <v>1.4673160694192652E-2</v>
      </c>
      <c r="H53" s="270">
        <f t="shared" si="15"/>
        <v>1.1165801476801483E-2</v>
      </c>
      <c r="I53" s="271">
        <f>I49/I51</f>
        <v>31.414283289871186</v>
      </c>
      <c r="J53" s="271">
        <f t="shared" si="15"/>
        <v>15.305254140984344</v>
      </c>
      <c r="K53" s="272">
        <f>I53+J53</f>
        <v>46.719537430855532</v>
      </c>
      <c r="L53" s="475">
        <f>ROUND(K55/30.5,2)</f>
        <v>1.53</v>
      </c>
      <c r="M53" s="26"/>
      <c r="N53" s="26"/>
    </row>
    <row r="54" spans="1:14" ht="15.3" x14ac:dyDescent="0.55000000000000004">
      <c r="A54" s="26"/>
      <c r="B54" s="26"/>
      <c r="C54" s="26"/>
      <c r="D54" s="26"/>
      <c r="E54" s="26"/>
      <c r="F54" s="26"/>
      <c r="G54" s="26"/>
      <c r="H54" s="26"/>
      <c r="I54" s="26"/>
      <c r="J54" s="26"/>
      <c r="K54" s="26"/>
      <c r="L54" s="415" t="s">
        <v>2470</v>
      </c>
      <c r="M54" s="415" t="s">
        <v>2471</v>
      </c>
      <c r="N54" s="26"/>
    </row>
    <row r="55" spans="1:14" ht="15.3" x14ac:dyDescent="0.55000000000000004">
      <c r="A55" s="26"/>
      <c r="B55" s="26"/>
      <c r="C55" s="26"/>
      <c r="D55" s="274"/>
      <c r="E55" s="26"/>
      <c r="F55" s="26"/>
      <c r="G55" s="26"/>
      <c r="H55" s="26"/>
      <c r="I55" s="26"/>
      <c r="J55" s="26" t="s">
        <v>2256</v>
      </c>
      <c r="K55" s="291">
        <f>I53+J53</f>
        <v>46.719537430855532</v>
      </c>
      <c r="L55" s="417">
        <f>(Meters!E14)/(Meters!E14+Meters!E16)</f>
        <v>0.76516513187168322</v>
      </c>
      <c r="M55" s="419">
        <f>1-L55</f>
        <v>0.23483486812831678</v>
      </c>
      <c r="N55" s="26"/>
    </row>
    <row r="56" spans="1:14" ht="15.3" x14ac:dyDescent="0.55000000000000004">
      <c r="A56" s="26"/>
      <c r="B56" s="26"/>
      <c r="C56" s="26"/>
      <c r="D56" s="290"/>
      <c r="E56" s="26"/>
      <c r="F56" s="26"/>
      <c r="G56" s="26"/>
      <c r="H56" s="26"/>
      <c r="I56" s="26"/>
      <c r="J56" s="26" t="s">
        <v>2261</v>
      </c>
      <c r="K56" s="289">
        <f>E53+G53+H53</f>
        <v>8.9758997168529087E-2</v>
      </c>
      <c r="L56" s="418">
        <f>L55*K53</f>
        <v>35.748161019264614</v>
      </c>
      <c r="M56" s="418">
        <f>M55*K53</f>
        <v>10.971376411590919</v>
      </c>
      <c r="N56" s="26"/>
    </row>
    <row r="57" spans="1:14" ht="15.3" x14ac:dyDescent="0.55000000000000004">
      <c r="A57" s="26"/>
      <c r="B57" s="26"/>
      <c r="C57" s="26"/>
      <c r="D57" s="279"/>
      <c r="E57" s="26"/>
      <c r="F57" s="26"/>
      <c r="G57" s="26"/>
      <c r="H57" s="26"/>
      <c r="I57" s="26"/>
      <c r="J57" s="26" t="s">
        <v>2257</v>
      </c>
      <c r="K57" s="289">
        <f>F53</f>
        <v>3.2533551512332191E-2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t="s">
        <v>2258</v>
      </c>
      <c r="K59" s="294">
        <v>35.96</v>
      </c>
      <c r="L59" s="420">
        <f>L55*31.5</f>
        <v>24.102701653958022</v>
      </c>
      <c r="M59" s="420">
        <f>M55*50.4</f>
        <v>11.835677353667165</v>
      </c>
      <c r="N59" s="26"/>
    </row>
    <row r="60" spans="1:14" ht="15.3" x14ac:dyDescent="0.55000000000000004">
      <c r="A60" s="26"/>
      <c r="B60" s="26"/>
      <c r="C60" s="26"/>
      <c r="D60" s="274"/>
      <c r="E60" s="26"/>
      <c r="F60" s="26"/>
      <c r="G60" s="26"/>
      <c r="H60" s="26"/>
      <c r="I60" s="26"/>
      <c r="J60" s="293" t="s">
        <v>2259</v>
      </c>
      <c r="K60" s="295">
        <f>(K55-K59)*I51</f>
        <v>10688661.852152782</v>
      </c>
      <c r="L60" s="279"/>
      <c r="M60" s="26"/>
      <c r="N60" s="26"/>
    </row>
    <row r="61" spans="1:14" ht="15.3" x14ac:dyDescent="0.55000000000000004">
      <c r="A61" s="26"/>
      <c r="B61" s="26"/>
      <c r="C61" s="26"/>
      <c r="D61" s="26"/>
      <c r="E61" s="26"/>
      <c r="F61" s="26"/>
      <c r="G61" s="26"/>
      <c r="H61" s="26"/>
      <c r="I61" s="26"/>
      <c r="J61" s="293" t="s">
        <v>2260</v>
      </c>
      <c r="K61" s="296">
        <f>K60/H51</f>
        <v>6.3693129425625404E-3</v>
      </c>
      <c r="L61" s="26"/>
      <c r="M61" s="26"/>
      <c r="N61" s="26"/>
    </row>
    <row r="62" spans="1:14" ht="15.3" x14ac:dyDescent="0.55000000000000004">
      <c r="J62" s="293" t="s">
        <v>2262</v>
      </c>
      <c r="K62" s="32">
        <v>1.023E-2</v>
      </c>
    </row>
    <row r="63" spans="1:14" ht="15.3" x14ac:dyDescent="0.55000000000000004">
      <c r="J63" s="293" t="s">
        <v>2263</v>
      </c>
      <c r="K63" s="297">
        <f>K61+K62+K56</f>
        <v>0.10635831011109162</v>
      </c>
      <c r="L63" s="300">
        <f>K63+K57</f>
        <v>0.13889186162342382</v>
      </c>
    </row>
  </sheetData>
  <mergeCells count="6">
    <mergeCell ref="A1:N1"/>
    <mergeCell ref="A3:N3"/>
    <mergeCell ref="A4:N4"/>
    <mergeCell ref="A6:N6"/>
    <mergeCell ref="E9:F9"/>
    <mergeCell ref="H9:I9"/>
  </mergeCells>
  <pageMargins left="0.7" right="0.7" top="0.75" bottom="0.75" header="0.3" footer="0.3"/>
  <pageSetup scale="49" orientation="landscape" r:id="rId1"/>
  <headerFooter>
    <oddFooter>&amp;R&amp;"Times New Roman,Bold"&amp;12Conroy Exhibit R2
Page 1 of 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63"/>
  <sheetViews>
    <sheetView view="pageBreakPreview" topLeftCell="A19"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578125" customWidth="1"/>
    <col min="13" max="13" width="14.417968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421"/>
      <c r="B2" s="421"/>
      <c r="C2" s="421"/>
      <c r="D2" s="421"/>
      <c r="E2" s="421"/>
      <c r="F2" s="421"/>
      <c r="G2" s="421"/>
      <c r="H2" s="421"/>
      <c r="I2" s="421"/>
      <c r="J2" s="421"/>
      <c r="K2" s="421"/>
      <c r="L2" s="421"/>
      <c r="M2" s="421"/>
      <c r="N2" s="421"/>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2187</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'WSS-28'!J174</f>
        <v>38738639.515784226</v>
      </c>
      <c r="E14" s="247">
        <f>'WSS-28'!J123+'WSS-28'!J124+'WSS-28'!J125</f>
        <v>21083927.456583828</v>
      </c>
      <c r="F14" s="248">
        <f>'WSS-28'!J126</f>
        <v>594639.77465136524</v>
      </c>
      <c r="G14" s="248">
        <f>'WSS-28'!J135</f>
        <v>9904284.8599546272</v>
      </c>
      <c r="H14" s="248">
        <f>'WSS-28'!J145+'WSS-28'!J147+'WSS-28'!J152+'WSS-28'!J141</f>
        <v>6334952.5857952982</v>
      </c>
      <c r="I14" s="248">
        <f>'WSS-28'!J146+'WSS-28'!J148+'WSS-28'!J153+'WSS-28'!J157+'WSS-28'!J160+'WSS-28'!J163</f>
        <v>759734.02620929549</v>
      </c>
      <c r="J14" s="248">
        <f>'WSS-28'!J166+'WSS-28'!J169</f>
        <v>61100.812589817491</v>
      </c>
      <c r="K14" s="249">
        <f>SUM(E14:J14)</f>
        <v>38738639.515784226</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38738639.515784226</v>
      </c>
      <c r="E16" s="253">
        <f t="shared" ref="E16:K16" si="1">E14+E15</f>
        <v>21083927.456583828</v>
      </c>
      <c r="F16" s="254">
        <f t="shared" si="1"/>
        <v>594639.77465136524</v>
      </c>
      <c r="G16" s="254">
        <f t="shared" si="1"/>
        <v>9904284.8599546272</v>
      </c>
      <c r="H16" s="254">
        <f t="shared" si="1"/>
        <v>6334952.5857952982</v>
      </c>
      <c r="I16" s="254">
        <f t="shared" si="1"/>
        <v>759734.02620929549</v>
      </c>
      <c r="J16" s="254">
        <f t="shared" si="1"/>
        <v>61100.812589817491</v>
      </c>
      <c r="K16" s="249">
        <f t="shared" si="1"/>
        <v>38738639.515784226</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'WSS-28'!J808</f>
        <v>8.7291759682562198E-2</v>
      </c>
      <c r="E18" s="258">
        <f t="shared" ref="E18:J18" si="2">D18</f>
        <v>8.7291759682562198E-2</v>
      </c>
      <c r="F18" s="259">
        <f t="shared" si="2"/>
        <v>8.7291759682562198E-2</v>
      </c>
      <c r="G18" s="259">
        <f t="shared" si="2"/>
        <v>8.7291759682562198E-2</v>
      </c>
      <c r="H18" s="259">
        <f t="shared" si="2"/>
        <v>8.7291759682562198E-2</v>
      </c>
      <c r="I18" s="259">
        <f t="shared" si="2"/>
        <v>8.7291759682562198E-2</v>
      </c>
      <c r="J18" s="259">
        <f t="shared" si="2"/>
        <v>8.7291759682562198E-2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3381564.0110412445</v>
      </c>
      <c r="E20" s="253">
        <f t="shared" ref="E20:J20" si="3">E18*E16</f>
        <v>1840453.1287046904</v>
      </c>
      <c r="F20" s="254">
        <f t="shared" si="3"/>
        <v>51907.152306559918</v>
      </c>
      <c r="G20" s="254">
        <f t="shared" si="3"/>
        <v>864562.45382279856</v>
      </c>
      <c r="H20" s="254">
        <f t="shared" si="3"/>
        <v>552989.15871966921</v>
      </c>
      <c r="I20" s="254">
        <f t="shared" si="3"/>
        <v>66318.520038527233</v>
      </c>
      <c r="J20" s="254">
        <f t="shared" si="3"/>
        <v>5333.5974489996188</v>
      </c>
      <c r="K20" s="249">
        <f>SUM(E20:J20)</f>
        <v>3381564.011041245</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'WSS-28'!J708</f>
        <v>808413.12691875722</v>
      </c>
      <c r="E22" s="253">
        <f t="shared" ref="E22:J22" si="4">(E14/$D$14)*$D$22</f>
        <v>439987.66957110888</v>
      </c>
      <c r="F22" s="254">
        <f t="shared" si="4"/>
        <v>12409.17609975193</v>
      </c>
      <c r="G22" s="254">
        <f t="shared" si="4"/>
        <v>206686.50199415599</v>
      </c>
      <c r="H22" s="254">
        <f t="shared" si="4"/>
        <v>132200.27581707315</v>
      </c>
      <c r="I22" s="254">
        <f t="shared" si="4"/>
        <v>15854.427709165773</v>
      </c>
      <c r="J22" s="254">
        <f t="shared" si="4"/>
        <v>1275.0757275016135</v>
      </c>
      <c r="K22" s="249">
        <f>SUM(E22:J22)</f>
        <v>808413.12691875733</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2573150.8841224872</v>
      </c>
      <c r="E24" s="253">
        <f t="shared" ref="E24:J24" si="5">E20-E22</f>
        <v>1400465.4591335815</v>
      </c>
      <c r="F24" s="254">
        <f t="shared" si="5"/>
        <v>39497.976206807987</v>
      </c>
      <c r="G24" s="254">
        <f t="shared" si="5"/>
        <v>657875.95182864252</v>
      </c>
      <c r="H24" s="254">
        <f t="shared" si="5"/>
        <v>420788.88290259603</v>
      </c>
      <c r="I24" s="254">
        <f t="shared" si="5"/>
        <v>50464.092329361461</v>
      </c>
      <c r="J24" s="254">
        <f t="shared" si="5"/>
        <v>4058.5217214980053</v>
      </c>
      <c r="K24" s="249">
        <f>SUM(E24:J24)</f>
        <v>2573150.8841224876</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'WSS-28'!J680+'WSS-28'!J800</f>
        <v>637833.83766082034</v>
      </c>
      <c r="E26" s="253">
        <f t="shared" ref="E26:J26" si="6">$D$26*(E24/$K$24)</f>
        <v>347148.02922068897</v>
      </c>
      <c r="F26" s="254">
        <f t="shared" si="6"/>
        <v>9790.7767085394371</v>
      </c>
      <c r="G26" s="254">
        <f t="shared" si="6"/>
        <v>163074.59684888553</v>
      </c>
      <c r="H26" s="254">
        <f t="shared" si="6"/>
        <v>104305.34395898887</v>
      </c>
      <c r="I26" s="254">
        <f t="shared" si="6"/>
        <v>12509.062672196716</v>
      </c>
      <c r="J26" s="254">
        <f t="shared" si="6"/>
        <v>1006.0282515207708</v>
      </c>
      <c r="K26" s="249">
        <f>SUM(E26:J26)</f>
        <v>637833.83766082046</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'WSS-28'!J730</f>
        <v>6577092.3423008164</v>
      </c>
      <c r="E28" s="253">
        <f>'WSS-28'!J180+'WSS-28'!J181+'WSS-28'!J182</f>
        <v>944086.56072789431</v>
      </c>
      <c r="F28" s="254">
        <f>'WSS-28'!J183</f>
        <v>4148168.2509170687</v>
      </c>
      <c r="G28" s="254">
        <f>'WSS-28'!J192</f>
        <v>670595.89655410906</v>
      </c>
      <c r="H28" s="254">
        <f>'WSS-28'!J198+'WSS-28'!J202+'WSS-28'!J204+'WSS-28'!J209</f>
        <v>368837.6096942334</v>
      </c>
      <c r="I28" s="254">
        <f>'WSS-28'!J203+'WSS-28'!J205+'WSS-28'!J210+'WSS-28'!J214+'WSS-28'!J217</f>
        <v>88341.114885617266</v>
      </c>
      <c r="J28" s="254">
        <f>'WSS-28'!J223+'WSS-28'!J226</f>
        <v>357062.90952189459</v>
      </c>
      <c r="K28" s="249">
        <f>SUM(E28:J28)</f>
        <v>6577092.3423008164</v>
      </c>
      <c r="L28" s="250" t="str">
        <f>IF(ABS(K28-D28)&lt;0.01,"ok","err")</f>
        <v>ok</v>
      </c>
      <c r="M28" s="26"/>
      <c r="N28" s="26"/>
    </row>
    <row r="29" spans="1:14" ht="15.3" x14ac:dyDescent="0.55000000000000004">
      <c r="A29" s="282" t="s">
        <v>1802</v>
      </c>
      <c r="B29" s="244" t="s">
        <v>812</v>
      </c>
      <c r="C29" s="245"/>
      <c r="D29" s="253">
        <f>'WSS-28'!J731</f>
        <v>2712858.1186784049</v>
      </c>
      <c r="E29" s="253">
        <f>'WSS-28'!J300</f>
        <v>2045708.9906735711</v>
      </c>
      <c r="F29" s="254">
        <v>0</v>
      </c>
      <c r="G29" s="254">
        <f>'WSS-28'!J306</f>
        <v>407280.2809298613</v>
      </c>
      <c r="H29" s="254">
        <f>'WSS-28'!J312+'WSS-28'!J316+'WSS-28'!J318+'WSS-28'!J323</f>
        <v>232358.46734691691</v>
      </c>
      <c r="I29" s="254">
        <f>'WSS-28'!J317+'WSS-28'!J319+'WSS-28'!J324+'WSS-28'!J328+'WSS-28'!J331</f>
        <v>27510.379728055479</v>
      </c>
      <c r="J29" s="254">
        <v>0</v>
      </c>
      <c r="K29" s="249">
        <f>SUM(E29:J29)</f>
        <v>2712858.1186784049</v>
      </c>
      <c r="L29" s="250" t="str">
        <f>IF(ABS(K29-D29)&lt;0.01,"ok","err")</f>
        <v>ok</v>
      </c>
      <c r="M29" s="26"/>
      <c r="N29" s="26"/>
    </row>
    <row r="30" spans="1:14" ht="15.3" x14ac:dyDescent="0.55000000000000004">
      <c r="A30" s="282" t="s">
        <v>1803</v>
      </c>
      <c r="B30" s="244" t="s">
        <v>408</v>
      </c>
      <c r="C30" s="245"/>
      <c r="D30" s="253">
        <f>'WSS-28'!J733+'WSS-28'!J734</f>
        <v>365407.81188207731</v>
      </c>
      <c r="E30" s="253">
        <f>'WSS-28'!J414+'WSS-28'!J471+'WSS-28'!J357</f>
        <v>219096.92099804466</v>
      </c>
      <c r="F30" s="254">
        <f>'WSS-28'!J529</f>
        <v>0</v>
      </c>
      <c r="G30" s="254">
        <f>'WSS-28'!J420+'WSS-28'!J477+'WSS-28'!J363</f>
        <v>82010.748948131222</v>
      </c>
      <c r="H30" s="254">
        <f>'WSS-28'!J426+'WSS-28'!J430+'WSS-28'!J432+'WSS-28'!J437+'WSS-28'!J483+'WSS-28'!J487+'WSS-28'!J489+'WSS-28'!J494+'WSS-28'!J369+'WSS-28'!J373+'WSS-28'!J375+'WSS-28'!J380</f>
        <v>57484.479656024472</v>
      </c>
      <c r="I30" s="254">
        <f>'WSS-28'!J431+'WSS-28'!J433+'WSS-28'!J438+'WSS-28'!J442+'WSS-28'!J445+'WSS-28'!J488+'WSS-28'!J490+'WSS-28'!J495+'WSS-28'!J499+'WSS-28'!J502+'WSS-28'!J374+'WSS-28'!J376+'WSS-28'!J381+'WSS-28'!J385+'WSS-28'!J388</f>
        <v>6815.6622798769367</v>
      </c>
      <c r="J30" s="254">
        <v>0</v>
      </c>
      <c r="K30" s="249">
        <f>SUM(E30:J30)</f>
        <v>365407.81188207731</v>
      </c>
      <c r="L30" s="250" t="str">
        <f>IF(ABS(K30-D30)&lt;0.01,"ok","err")</f>
        <v>ok</v>
      </c>
      <c r="M30" s="26"/>
      <c r="N30" s="26"/>
    </row>
    <row r="31" spans="1:14" ht="15.3" x14ac:dyDescent="0.55000000000000004">
      <c r="A31" s="282" t="s">
        <v>1804</v>
      </c>
      <c r="B31" s="244" t="s">
        <v>1840</v>
      </c>
      <c r="C31" s="245"/>
      <c r="D31" s="253">
        <f>'WSS-28'!J738</f>
        <v>132168.33884522188</v>
      </c>
      <c r="E31" s="253">
        <f>D31</f>
        <v>132168.33884522188</v>
      </c>
      <c r="F31" s="254"/>
      <c r="G31" s="254"/>
      <c r="H31" s="254"/>
      <c r="I31" s="254"/>
      <c r="J31" s="254"/>
      <c r="K31" s="249">
        <f>SUM(E31:J31)</f>
        <v>132168.33884522188</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2480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'WSS-28'!J797+'WSS-28'!J798</f>
        <v>7594.4828869178218</v>
      </c>
      <c r="E36" s="253">
        <f t="shared" ref="E36:J36" si="9">(E14/($D$14)*$D$36)</f>
        <v>4133.3802182908485</v>
      </c>
      <c r="F36" s="254">
        <f t="shared" si="9"/>
        <v>116.57563737183922</v>
      </c>
      <c r="G36" s="254">
        <f t="shared" si="9"/>
        <v>1941.676910089649</v>
      </c>
      <c r="H36" s="254">
        <f t="shared" si="9"/>
        <v>1241.930269199446</v>
      </c>
      <c r="I36" s="254">
        <f t="shared" si="9"/>
        <v>148.94139631064601</v>
      </c>
      <c r="J36" s="254">
        <f t="shared" si="9"/>
        <v>11.978455655394695</v>
      </c>
      <c r="K36" s="249">
        <f t="shared" si="8"/>
        <v>7594.4828869178245</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7594.4828869178218</v>
      </c>
      <c r="E39" s="253">
        <f t="shared" si="10"/>
        <v>4133.3802182908485</v>
      </c>
      <c r="F39" s="254">
        <f t="shared" si="10"/>
        <v>116.57563737183922</v>
      </c>
      <c r="G39" s="254">
        <f t="shared" si="10"/>
        <v>1941.676910089649</v>
      </c>
      <c r="H39" s="254">
        <f t="shared" si="10"/>
        <v>1241.930269199446</v>
      </c>
      <c r="I39" s="254">
        <f t="shared" si="10"/>
        <v>148.94139631064601</v>
      </c>
      <c r="J39" s="254">
        <f t="shared" si="10"/>
        <v>11.978455655394695</v>
      </c>
      <c r="K39" s="249">
        <f t="shared" si="8"/>
        <v>7594.4828869178245</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13814518.943295503</v>
      </c>
      <c r="E41" s="253">
        <f t="shared" ref="E41:J41" si="11">SUM(E28:E31)+E22+E26+E39+E24</f>
        <v>5532795.349388402</v>
      </c>
      <c r="F41" s="254">
        <f t="shared" si="11"/>
        <v>4209982.75556954</v>
      </c>
      <c r="G41" s="254">
        <f t="shared" si="11"/>
        <v>2189465.6540138749</v>
      </c>
      <c r="H41" s="254">
        <f t="shared" si="11"/>
        <v>1317216.9896450322</v>
      </c>
      <c r="I41" s="254">
        <f t="shared" si="11"/>
        <v>201643.68100058427</v>
      </c>
      <c r="J41" s="254">
        <f t="shared" si="11"/>
        <v>363414.51367807033</v>
      </c>
      <c r="K41" s="249">
        <f>SUM(E41:J41)</f>
        <v>13814518.943295505</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-'WSS-28'!J659-'WSS-28'!J665</f>
        <v>-10081.772209759927</v>
      </c>
      <c r="E43" s="253">
        <f>D43</f>
        <v>-10081.772209759927</v>
      </c>
      <c r="F43" s="254">
        <v>0</v>
      </c>
      <c r="G43" s="254">
        <v>0</v>
      </c>
      <c r="H43" s="254">
        <v>0</v>
      </c>
      <c r="I43" s="254">
        <v>0</v>
      </c>
      <c r="J43" s="254">
        <v>0</v>
      </c>
      <c r="K43" s="249">
        <f>SUM(E43:J43)</f>
        <v>-10081.772209759927</v>
      </c>
      <c r="L43" s="250" t="str">
        <f>IF(ABS(K43-D43)&lt;0.01,"ok","err")</f>
        <v>ok</v>
      </c>
      <c r="M43" s="26"/>
      <c r="N43" s="26"/>
    </row>
    <row r="44" spans="1:14" ht="15.3" x14ac:dyDescent="0.55000000000000004">
      <c r="A44" s="282" t="s">
        <v>1830</v>
      </c>
      <c r="B44" s="244" t="s">
        <v>1832</v>
      </c>
      <c r="C44" s="245"/>
      <c r="D44" s="253">
        <f>-'WSS-28'!J652</f>
        <v>-66193.643769274699</v>
      </c>
      <c r="E44" s="253">
        <v>0</v>
      </c>
      <c r="F44" s="254">
        <f>D44</f>
        <v>-66193.643769274699</v>
      </c>
      <c r="G44" s="254">
        <v>0</v>
      </c>
      <c r="H44" s="254">
        <v>0</v>
      </c>
      <c r="I44" s="254">
        <v>0</v>
      </c>
      <c r="J44" s="254">
        <v>0</v>
      </c>
      <c r="K44" s="249">
        <f>SUM(E44:J44)</f>
        <v>-66193.643769274699</v>
      </c>
      <c r="L44" s="250" t="str">
        <f>IF(ABS(K44-D44)&lt;0.01,"ok","err")</f>
        <v>ok</v>
      </c>
      <c r="M44" s="26"/>
      <c r="N44" s="26"/>
    </row>
    <row r="45" spans="1:14" ht="15.3" x14ac:dyDescent="0.55000000000000004">
      <c r="A45" s="282" t="s">
        <v>1834</v>
      </c>
      <c r="B45" s="244" t="s">
        <v>2469</v>
      </c>
      <c r="C45" s="245"/>
      <c r="D45" s="253">
        <f>-'WSS-28'!J658</f>
        <v>-308392.03073707031</v>
      </c>
      <c r="E45" s="253">
        <v>0</v>
      </c>
      <c r="F45" s="254">
        <v>0</v>
      </c>
      <c r="G45" s="254">
        <f>D45</f>
        <v>-308392.03073707031</v>
      </c>
      <c r="H45" s="254">
        <v>0</v>
      </c>
      <c r="I45" s="254">
        <v>0</v>
      </c>
      <c r="J45" s="254">
        <v>0</v>
      </c>
      <c r="K45" s="249">
        <f>SUM(E45:J45)</f>
        <v>-308392.03073707031</v>
      </c>
      <c r="L45" s="250" t="str">
        <f>IF(ABS(K45-D45)&lt;0.01,"ok","err")</f>
        <v>ok</v>
      </c>
      <c r="M45" s="26"/>
      <c r="N45" s="26"/>
    </row>
    <row r="46" spans="1:14" ht="15.3" x14ac:dyDescent="0.55000000000000004">
      <c r="A46" s="282" t="s">
        <v>1835</v>
      </c>
      <c r="B46" s="244" t="s">
        <v>1833</v>
      </c>
      <c r="C46" s="245"/>
      <c r="D46" s="253">
        <f>-('WSS-28'!J654+'WSS-28'!J655+'WSS-28'!J656+'WSS-28'!J657+'WSS-28'!J660+'WSS-28'!J662+'WSS-28'!J663+'WSS-28'!J664)</f>
        <v>-54324.951001090929</v>
      </c>
      <c r="E46" s="253">
        <f t="shared" ref="E46:J46" si="12">(E14/($D$14)*$D$46)</f>
        <v>-29566.947634358217</v>
      </c>
      <c r="F46" s="254">
        <f t="shared" si="12"/>
        <v>-833.89032307324203</v>
      </c>
      <c r="G46" s="254">
        <f t="shared" si="12"/>
        <v>-13889.227821195196</v>
      </c>
      <c r="H46" s="254">
        <f t="shared" si="12"/>
        <v>-8883.7913029274059</v>
      </c>
      <c r="I46" s="254">
        <f t="shared" si="12"/>
        <v>-1065.4094791032826</v>
      </c>
      <c r="J46" s="254">
        <f t="shared" si="12"/>
        <v>-85.684440433593764</v>
      </c>
      <c r="K46" s="249">
        <f>SUM(E46:J46)</f>
        <v>-54324.951001090936</v>
      </c>
      <c r="L46" s="250" t="str">
        <f>IF(ABS(K46-D46)&lt;0.01,"ok","err")</f>
        <v>ok</v>
      </c>
      <c r="M46" s="26"/>
      <c r="N46" s="26"/>
    </row>
    <row r="47" spans="1:14" ht="15.3" x14ac:dyDescent="0.55000000000000004">
      <c r="A47" s="282" t="s">
        <v>1841</v>
      </c>
      <c r="B47" s="244" t="s">
        <v>1836</v>
      </c>
      <c r="C47" s="245"/>
      <c r="D47" s="253">
        <f>SUM(D43:D46)</f>
        <v>-438992.39771719585</v>
      </c>
      <c r="E47" s="253">
        <f t="shared" ref="E47:J47" si="13">SUM(E43:E46)</f>
        <v>-39648.719844118146</v>
      </c>
      <c r="F47" s="254">
        <f t="shared" si="13"/>
        <v>-67027.534092347938</v>
      </c>
      <c r="G47" s="254">
        <f t="shared" si="13"/>
        <v>-322281.25855826552</v>
      </c>
      <c r="H47" s="254">
        <f t="shared" si="13"/>
        <v>-8883.7913029274059</v>
      </c>
      <c r="I47" s="254">
        <f t="shared" si="13"/>
        <v>-1065.4094791032826</v>
      </c>
      <c r="J47" s="254">
        <f t="shared" si="13"/>
        <v>-85.684440433593764</v>
      </c>
      <c r="K47" s="249">
        <f>SUM(E47:J47)</f>
        <v>-438992.39771719585</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13375526.545578307</v>
      </c>
      <c r="E49" s="253">
        <f t="shared" ref="E49:J49" si="14">E41+E47</f>
        <v>5493146.6295442842</v>
      </c>
      <c r="F49" s="254">
        <f t="shared" si="14"/>
        <v>4142955.2214771919</v>
      </c>
      <c r="G49" s="254">
        <f t="shared" si="14"/>
        <v>1867184.3954556095</v>
      </c>
      <c r="H49" s="254">
        <f t="shared" si="14"/>
        <v>1308333.1983421049</v>
      </c>
      <c r="I49" s="254">
        <f t="shared" si="14"/>
        <v>200578.27152148099</v>
      </c>
      <c r="J49" s="254">
        <f t="shared" si="14"/>
        <v>363328.82923763676</v>
      </c>
      <c r="K49" s="249">
        <f>SUM(E49:J49)</f>
        <v>13375526.545578308</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64">
        <f>'Billing Det'!C14</f>
        <v>128548999</v>
      </c>
      <c r="F51" s="265">
        <f>$E$51</f>
        <v>128548999</v>
      </c>
      <c r="G51" s="265">
        <f>$E$51</f>
        <v>128548999</v>
      </c>
      <c r="H51" s="265">
        <f>$E$51</f>
        <v>128548999</v>
      </c>
      <c r="I51" s="265">
        <f>'WSS-28'!J831</f>
        <v>5085.7315068493153</v>
      </c>
      <c r="J51" s="265">
        <f>I51</f>
        <v>5085.7315068493153</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2472</v>
      </c>
      <c r="B53" s="266" t="s">
        <v>1813</v>
      </c>
      <c r="C53" s="267"/>
      <c r="D53" s="268"/>
      <c r="E53" s="269">
        <f t="shared" ref="E53:J53" si="15">E49/E51</f>
        <v>4.2731928465225034E-2</v>
      </c>
      <c r="F53" s="270">
        <f t="shared" si="15"/>
        <v>3.2228607408115187E-2</v>
      </c>
      <c r="G53" s="270">
        <f t="shared" si="15"/>
        <v>1.4525079230337761E-2</v>
      </c>
      <c r="H53" s="270">
        <f t="shared" si="15"/>
        <v>1.0177700398445771E-2</v>
      </c>
      <c r="I53" s="271">
        <f>I49/I51</f>
        <v>39.439414222191637</v>
      </c>
      <c r="J53" s="271">
        <f t="shared" si="15"/>
        <v>71.440820017398892</v>
      </c>
      <c r="K53" s="272">
        <f>I53+J53</f>
        <v>110.88023423959052</v>
      </c>
      <c r="L53" s="475">
        <f>ROUND(K55/30.5,2)</f>
        <v>3.64</v>
      </c>
      <c r="M53" s="26"/>
      <c r="N53" s="26"/>
    </row>
    <row r="54" spans="1:14" ht="15.3" x14ac:dyDescent="0.55000000000000004">
      <c r="A54" s="26"/>
      <c r="B54" s="26"/>
      <c r="C54" s="26"/>
      <c r="D54" s="26"/>
      <c r="E54" s="26"/>
      <c r="F54" s="26"/>
      <c r="G54" s="26"/>
      <c r="H54" s="26"/>
      <c r="I54" s="26"/>
      <c r="J54" s="26"/>
      <c r="K54" s="26"/>
      <c r="L54" s="415" t="s">
        <v>2470</v>
      </c>
      <c r="M54" s="415" t="s">
        <v>2471</v>
      </c>
      <c r="N54" s="26"/>
    </row>
    <row r="55" spans="1:14" ht="15.3" x14ac:dyDescent="0.55000000000000004">
      <c r="A55" s="26"/>
      <c r="B55" s="26"/>
      <c r="C55" s="26"/>
      <c r="D55" s="274"/>
      <c r="E55" s="26"/>
      <c r="F55" s="26"/>
      <c r="G55" s="26"/>
      <c r="H55" s="26"/>
      <c r="I55" s="26"/>
      <c r="J55" s="26" t="s">
        <v>2256</v>
      </c>
      <c r="K55" s="291">
        <f>I53+J53</f>
        <v>110.88023423959052</v>
      </c>
      <c r="L55" s="417">
        <f>(Meters!E18)/(Meters!E18+Meters!E20)</f>
        <v>0.4399997414199921</v>
      </c>
      <c r="M55" s="419">
        <f>1-L55</f>
        <v>0.5600002585800079</v>
      </c>
      <c r="N55" s="26"/>
    </row>
    <row r="56" spans="1:14" ht="15.3" x14ac:dyDescent="0.55000000000000004">
      <c r="A56" s="26"/>
      <c r="B56" s="26"/>
      <c r="C56" s="26"/>
      <c r="D56" s="290"/>
      <c r="E56" s="26"/>
      <c r="F56" s="26"/>
      <c r="G56" s="26"/>
      <c r="H56" s="26"/>
      <c r="I56" s="26"/>
      <c r="J56" s="26" t="s">
        <v>2261</v>
      </c>
      <c r="K56" s="289">
        <f>E53+G53+H53</f>
        <v>6.7434708094008561E-2</v>
      </c>
      <c r="L56" s="418">
        <f>L55*K53</f>
        <v>48.78727439400798</v>
      </c>
      <c r="M56" s="418">
        <f>M55*K53</f>
        <v>62.092959845582541</v>
      </c>
      <c r="N56" s="26"/>
    </row>
    <row r="57" spans="1:14" ht="15.3" x14ac:dyDescent="0.55000000000000004">
      <c r="A57" s="26"/>
      <c r="B57" s="26"/>
      <c r="C57" s="26"/>
      <c r="D57" s="279"/>
      <c r="E57" s="26"/>
      <c r="F57" s="26"/>
      <c r="G57" s="26"/>
      <c r="H57" s="26"/>
      <c r="I57" s="26"/>
      <c r="J57" s="26" t="s">
        <v>2257</v>
      </c>
      <c r="K57" s="289">
        <f>F53</f>
        <v>3.2228607408115187E-2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t="s">
        <v>2258</v>
      </c>
      <c r="K59" s="294">
        <v>108.65</v>
      </c>
      <c r="L59" s="420">
        <f>L55*85</f>
        <v>37.399978020699329</v>
      </c>
      <c r="M59" s="420">
        <f>M55*140</f>
        <v>78.400036201201104</v>
      </c>
      <c r="N59" s="26"/>
    </row>
    <row r="60" spans="1:14" ht="15.3" x14ac:dyDescent="0.55000000000000004">
      <c r="A60" s="26"/>
      <c r="B60" s="26"/>
      <c r="C60" s="26"/>
      <c r="D60" s="274"/>
      <c r="E60" s="26"/>
      <c r="F60" s="26"/>
      <c r="G60" s="26"/>
      <c r="H60" s="26"/>
      <c r="I60" s="26"/>
      <c r="J60" s="293" t="s">
        <v>2259</v>
      </c>
      <c r="K60" s="295">
        <f>(K55-K59)*I51</f>
        <v>11342.37253993961</v>
      </c>
      <c r="L60" s="279"/>
      <c r="M60" s="26"/>
      <c r="N60" s="26"/>
    </row>
    <row r="61" spans="1:14" ht="15.3" x14ac:dyDescent="0.55000000000000004">
      <c r="A61" s="26"/>
      <c r="B61" s="26"/>
      <c r="C61" s="26"/>
      <c r="D61" s="26"/>
      <c r="E61" s="26"/>
      <c r="F61" s="26"/>
      <c r="G61" s="26"/>
      <c r="H61" s="26"/>
      <c r="I61" s="26"/>
      <c r="J61" s="293" t="s">
        <v>2260</v>
      </c>
      <c r="K61" s="296">
        <f>K60/H51</f>
        <v>8.8233845678873074E-5</v>
      </c>
      <c r="L61" s="26"/>
      <c r="M61" s="26"/>
      <c r="N61" s="26"/>
    </row>
    <row r="62" spans="1:14" ht="15.3" x14ac:dyDescent="0.55000000000000004">
      <c r="J62" s="293" t="s">
        <v>2262</v>
      </c>
      <c r="K62" s="32">
        <v>5.8999999999999999E-3</v>
      </c>
    </row>
    <row r="63" spans="1:14" ht="15.3" x14ac:dyDescent="0.55000000000000004">
      <c r="J63" s="293" t="s">
        <v>2263</v>
      </c>
      <c r="K63" s="297">
        <f>K61+K62+K56</f>
        <v>7.3422941939687431E-2</v>
      </c>
      <c r="L63" s="300">
        <f>K63+K57</f>
        <v>0.10565154934780262</v>
      </c>
    </row>
  </sheetData>
  <mergeCells count="6">
    <mergeCell ref="A1:N1"/>
    <mergeCell ref="A3:N3"/>
    <mergeCell ref="A4:N4"/>
    <mergeCell ref="A6:N6"/>
    <mergeCell ref="E9:F9"/>
    <mergeCell ref="H9:I9"/>
  </mergeCells>
  <pageMargins left="0.7" right="0.7" top="0.75" bottom="0.75" header="0.3" footer="0.3"/>
  <pageSetup scale="49" orientation="landscape" r:id="rId1"/>
  <headerFooter>
    <oddFooter>&amp;R&amp;"Times New Roman,Bold"&amp;12Conroy Exhibit R2
Page 1 of 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N63"/>
  <sheetViews>
    <sheetView view="pageBreakPreview" topLeftCell="A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1846</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'WSS-28'!K174</f>
        <v>458864450.23790866</v>
      </c>
      <c r="E14" s="247">
        <f>'WSS-28'!K123+'WSS-28'!K124+'WSS-28'!K125</f>
        <v>306411770.42458898</v>
      </c>
      <c r="F14" s="248">
        <f>'WSS-28'!K126</f>
        <v>7860099.5094042588</v>
      </c>
      <c r="G14" s="248">
        <f>'WSS-28'!K135</f>
        <v>86331022.667772606</v>
      </c>
      <c r="H14" s="248">
        <f>'WSS-28'!K145+'WSS-28'!K147+'WSS-28'!K152+'WSS-28'!K141</f>
        <v>49625294.633884221</v>
      </c>
      <c r="I14" s="248">
        <f>'WSS-28'!K146+'WSS-28'!K148+'WSS-28'!K153+'WSS-28'!K157+'WSS-28'!K160+'WSS-28'!K163</f>
        <v>8316204.2646125071</v>
      </c>
      <c r="J14" s="248">
        <f>'WSS-28'!K166+'WSS-28'!K169</f>
        <v>320058.73764619022</v>
      </c>
      <c r="K14" s="249">
        <f>SUM(E14:J14)</f>
        <v>458864450.23790872</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458864450.23790866</v>
      </c>
      <c r="E16" s="253">
        <f t="shared" ref="E16:K16" si="1">E14+E15</f>
        <v>306411770.42458898</v>
      </c>
      <c r="F16" s="254">
        <f t="shared" si="1"/>
        <v>7860099.5094042588</v>
      </c>
      <c r="G16" s="254">
        <f t="shared" si="1"/>
        <v>86331022.667772606</v>
      </c>
      <c r="H16" s="254">
        <f t="shared" si="1"/>
        <v>49625294.633884221</v>
      </c>
      <c r="I16" s="254">
        <f t="shared" si="1"/>
        <v>8316204.2646125071</v>
      </c>
      <c r="J16" s="254">
        <f t="shared" si="1"/>
        <v>320058.73764619022</v>
      </c>
      <c r="K16" s="249">
        <f t="shared" si="1"/>
        <v>458864450.23790872</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'WSS-28'!K808</f>
        <v>0.13002378867533318</v>
      </c>
      <c r="E18" s="258">
        <f t="shared" ref="E18:J18" si="2">D18</f>
        <v>0.13002378867533318</v>
      </c>
      <c r="F18" s="259">
        <f t="shared" si="2"/>
        <v>0.13002378867533318</v>
      </c>
      <c r="G18" s="259">
        <f t="shared" si="2"/>
        <v>0.13002378867533318</v>
      </c>
      <c r="H18" s="259">
        <f t="shared" si="2"/>
        <v>0.13002378867533318</v>
      </c>
      <c r="I18" s="259">
        <f t="shared" si="2"/>
        <v>0.13002378867533318</v>
      </c>
      <c r="J18" s="259">
        <f t="shared" si="2"/>
        <v>0.13002378867533318</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59663294.308356777</v>
      </c>
      <c r="E20" s="253">
        <f t="shared" ref="E20:J20" si="3">E18*E16</f>
        <v>39840819.285321459</v>
      </c>
      <c r="F20" s="254">
        <f t="shared" si="3"/>
        <v>1021999.9175778694</v>
      </c>
      <c r="G20" s="254">
        <f t="shared" si="3"/>
        <v>11225086.647479864</v>
      </c>
      <c r="H20" s="254">
        <f t="shared" si="3"/>
        <v>6452468.8224273073</v>
      </c>
      <c r="I20" s="254">
        <f t="shared" si="3"/>
        <v>1081304.3858828812</v>
      </c>
      <c r="J20" s="254">
        <f t="shared" si="3"/>
        <v>41615.249667402139</v>
      </c>
      <c r="K20" s="249">
        <f>SUM(E20:J20)</f>
        <v>59663294.308356784</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'WSS-28'!K708</f>
        <v>9810884.4043136351</v>
      </c>
      <c r="E22" s="253">
        <f t="shared" ref="E22:J22" si="4">(E14/$D$14)*$D$22</f>
        <v>6551325.6871350845</v>
      </c>
      <c r="F22" s="254">
        <f t="shared" si="4"/>
        <v>168055.136224185</v>
      </c>
      <c r="G22" s="254">
        <f t="shared" si="4"/>
        <v>1845825.4577371583</v>
      </c>
      <c r="H22" s="254">
        <f t="shared" si="4"/>
        <v>1061027.9984222271</v>
      </c>
      <c r="I22" s="254">
        <f t="shared" si="4"/>
        <v>177807.01616887419</v>
      </c>
      <c r="J22" s="254">
        <f t="shared" si="4"/>
        <v>6843.1086261079536</v>
      </c>
      <c r="K22" s="249">
        <f>SUM(E22:J22)</f>
        <v>9810884.4043136388</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49852409.904043138</v>
      </c>
      <c r="E24" s="253">
        <f t="shared" ref="E24:J24" si="5">E20-E22</f>
        <v>33289493.598186374</v>
      </c>
      <c r="F24" s="254">
        <f t="shared" si="5"/>
        <v>853944.78135368438</v>
      </c>
      <c r="G24" s="254">
        <f t="shared" si="5"/>
        <v>9379261.1897427049</v>
      </c>
      <c r="H24" s="254">
        <f t="shared" si="5"/>
        <v>5391440.8240050804</v>
      </c>
      <c r="I24" s="254">
        <f t="shared" si="5"/>
        <v>903497.36971400701</v>
      </c>
      <c r="J24" s="254">
        <f t="shared" si="5"/>
        <v>34772.141041294184</v>
      </c>
      <c r="K24" s="249">
        <f>SUM(E24:J24)</f>
        <v>49852409.904043145</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'WSS-28'!K680+'WSS-28'!K800</f>
        <v>11062646.743898381</v>
      </c>
      <c r="E26" s="253">
        <f t="shared" ref="E26:J26" si="6">$D$26*(E24/$K$24)</f>
        <v>7387203.7213217029</v>
      </c>
      <c r="F26" s="254">
        <f t="shared" si="6"/>
        <v>189497.14714082834</v>
      </c>
      <c r="G26" s="254">
        <f t="shared" si="6"/>
        <v>2081332.7472151844</v>
      </c>
      <c r="H26" s="254">
        <f t="shared" si="6"/>
        <v>1196403.6521284275</v>
      </c>
      <c r="I26" s="254">
        <f t="shared" si="6"/>
        <v>200493.26109662731</v>
      </c>
      <c r="J26" s="254">
        <f t="shared" si="6"/>
        <v>7716.2149956094818</v>
      </c>
      <c r="K26" s="249">
        <f>SUM(E26:J26)</f>
        <v>11062646.743898379</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'WSS-28'!K730</f>
        <v>80219148.685030729</v>
      </c>
      <c r="E28" s="253">
        <f>'WSS-28'!K180+'WSS-28'!K181+'WSS-28'!K182</f>
        <v>13720367.569200814</v>
      </c>
      <c r="F28" s="254">
        <f>'WSS-28'!K183</f>
        <v>54831541.083970971</v>
      </c>
      <c r="G28" s="254">
        <f>'WSS-28'!K192</f>
        <v>5845271.0483322367</v>
      </c>
      <c r="H28" s="254">
        <f>'WSS-28'!K198+'WSS-28'!K202+'WSS-28'!K204+'WSS-28'!K209</f>
        <v>2708485.8659884436</v>
      </c>
      <c r="I28" s="254">
        <f>'WSS-28'!K203+'WSS-28'!K205+'WSS-28'!K210+'WSS-28'!K214+'WSS-28'!K217</f>
        <v>1214710.0369196455</v>
      </c>
      <c r="J28" s="254">
        <f>'WSS-28'!K223+'WSS-28'!K226</f>
        <v>1898773.0806186204</v>
      </c>
      <c r="K28" s="249">
        <f>SUM(E28:J28)</f>
        <v>80219148.685030729</v>
      </c>
      <c r="L28" s="250" t="str">
        <f>IF(ABS(K28-D28)&lt;0.01,"ok","err")</f>
        <v>ok</v>
      </c>
      <c r="M28" s="26"/>
      <c r="N28" s="26"/>
    </row>
    <row r="29" spans="1:14" ht="15.3" x14ac:dyDescent="0.55000000000000004">
      <c r="A29" s="282" t="s">
        <v>1802</v>
      </c>
      <c r="B29" s="244" t="s">
        <v>812</v>
      </c>
      <c r="C29" s="245"/>
      <c r="D29" s="253">
        <f>'WSS-28'!K731</f>
        <v>35444201.894145571</v>
      </c>
      <c r="E29" s="253">
        <f>'WSS-28'!K300</f>
        <v>29730196.847648963</v>
      </c>
      <c r="F29" s="254">
        <v>0</v>
      </c>
      <c r="G29" s="254">
        <f>'WSS-28'!K306</f>
        <v>3550071.8792183171</v>
      </c>
      <c r="H29" s="254">
        <f>'WSS-28'!K312+'WSS-28'!K316+'WSS-28'!K318+'WSS-28'!K323</f>
        <v>1820810.9599809689</v>
      </c>
      <c r="I29" s="254">
        <f>'WSS-28'!K317+'WSS-28'!K319+'WSS-28'!K324+'WSS-28'!K328+'WSS-28'!K331</f>
        <v>343122.20729733026</v>
      </c>
      <c r="J29" s="254">
        <v>0</v>
      </c>
      <c r="K29" s="249">
        <f>SUM(E29:J29)</f>
        <v>35444201.894145586</v>
      </c>
      <c r="L29" s="250" t="str">
        <f>IF(ABS(K29-D29)&lt;0.01,"ok","err")</f>
        <v>ok</v>
      </c>
      <c r="M29" s="26"/>
      <c r="N29" s="26"/>
    </row>
    <row r="30" spans="1:14" ht="15.3" x14ac:dyDescent="0.55000000000000004">
      <c r="A30" s="282" t="s">
        <v>1803</v>
      </c>
      <c r="B30" s="244" t="s">
        <v>408</v>
      </c>
      <c r="C30" s="245"/>
      <c r="D30" s="253">
        <f>'WSS-28'!K733+'WSS-28'!K734</f>
        <v>4434471.5710576624</v>
      </c>
      <c r="E30" s="253">
        <f>'WSS-28'!K414+'WSS-28'!K471+'WSS-28'!K357</f>
        <v>3184125.7088286672</v>
      </c>
      <c r="F30" s="254">
        <f>'WSS-28'!K529</f>
        <v>0</v>
      </c>
      <c r="G30" s="254">
        <f>'WSS-28'!K420+'WSS-28'!K477+'WSS-28'!K363</f>
        <v>714849.37343316269</v>
      </c>
      <c r="H30" s="254">
        <f>'WSS-28'!K426+'WSS-28'!K430+'WSS-28'!K432+'WSS-28'!K437+'WSS-28'!K483+'WSS-28'!K487+'WSS-28'!K489+'WSS-28'!K494+'WSS-28'!K369+'WSS-28'!K373+'WSS-28'!K375+'WSS-28'!K380</f>
        <v>450460.75480528938</v>
      </c>
      <c r="I30" s="254">
        <f>'WSS-28'!K431+'WSS-28'!K433+'WSS-28'!K438+'WSS-28'!K442+'WSS-28'!K445+'WSS-28'!K488+'WSS-28'!K490+'WSS-28'!K495+'WSS-28'!K499+'WSS-28'!K502+'WSS-28'!K374+'WSS-28'!K376+'WSS-28'!K381+'WSS-28'!K385+'WSS-28'!K388</f>
        <v>85035.733990543929</v>
      </c>
      <c r="J30" s="254">
        <v>0</v>
      </c>
      <c r="K30" s="249">
        <f>SUM(E30:J30)</f>
        <v>4434471.5710576624</v>
      </c>
      <c r="L30" s="250" t="str">
        <f>IF(ABS(K30-D30)&lt;0.01,"ok","err")</f>
        <v>ok</v>
      </c>
      <c r="M30" s="26"/>
      <c r="N30" s="26"/>
    </row>
    <row r="31" spans="1:14" ht="15.3" x14ac:dyDescent="0.55000000000000004">
      <c r="A31" s="282" t="s">
        <v>1804</v>
      </c>
      <c r="B31" s="244" t="s">
        <v>1840</v>
      </c>
      <c r="C31" s="245"/>
      <c r="D31" s="253">
        <f>'WSS-28'!K738</f>
        <v>1920796.5301073552</v>
      </c>
      <c r="E31" s="253">
        <f>D31</f>
        <v>1920796.5301073552</v>
      </c>
      <c r="F31" s="254"/>
      <c r="G31" s="254"/>
      <c r="H31" s="254"/>
      <c r="I31" s="254"/>
      <c r="J31" s="254"/>
      <c r="K31" s="249">
        <f>SUM(E31:J31)</f>
        <v>1920796.5301073552</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2480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'WSS-28'!K797+'WSS-28'!K798</f>
        <v>96705.178729663108</v>
      </c>
      <c r="E36" s="253">
        <f t="shared" ref="E36:J36" si="9">(E14/($D$14)*$D$36)</f>
        <v>64575.943959962904</v>
      </c>
      <c r="F36" s="254">
        <f t="shared" si="9"/>
        <v>1656.5073356538705</v>
      </c>
      <c r="G36" s="254">
        <f t="shared" si="9"/>
        <v>18194.168174660288</v>
      </c>
      <c r="H36" s="254">
        <f t="shared" si="9"/>
        <v>10458.476320390047</v>
      </c>
      <c r="I36" s="254">
        <f t="shared" si="9"/>
        <v>1752.6309116881314</v>
      </c>
      <c r="J36" s="254">
        <f t="shared" si="9"/>
        <v>67.452027307885274</v>
      </c>
      <c r="K36" s="249">
        <f t="shared" si="8"/>
        <v>96705.178729663123</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96705.178729663108</v>
      </c>
      <c r="E39" s="253">
        <f t="shared" si="10"/>
        <v>64575.943959962904</v>
      </c>
      <c r="F39" s="254">
        <f t="shared" si="10"/>
        <v>1656.5073356538705</v>
      </c>
      <c r="G39" s="254">
        <f t="shared" si="10"/>
        <v>18194.168174660288</v>
      </c>
      <c r="H39" s="254">
        <f t="shared" si="10"/>
        <v>10458.476320390047</v>
      </c>
      <c r="I39" s="254">
        <f t="shared" si="10"/>
        <v>1752.6309116881314</v>
      </c>
      <c r="J39" s="254">
        <f t="shared" si="10"/>
        <v>67.452027307885274</v>
      </c>
      <c r="K39" s="249">
        <f t="shared" si="8"/>
        <v>96705.178729663123</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192841264.91132614</v>
      </c>
      <c r="E41" s="253">
        <f t="shared" ref="E41:J41" si="11">SUM(E28:E31)+E22+E26+E39+E24</f>
        <v>95848085.606388927</v>
      </c>
      <c r="F41" s="254">
        <f t="shared" si="11"/>
        <v>56044694.656025328</v>
      </c>
      <c r="G41" s="254">
        <f t="shared" si="11"/>
        <v>23434805.863853425</v>
      </c>
      <c r="H41" s="254">
        <f t="shared" si="11"/>
        <v>12639088.531650826</v>
      </c>
      <c r="I41" s="254">
        <f t="shared" si="11"/>
        <v>2926418.2560987165</v>
      </c>
      <c r="J41" s="254">
        <f t="shared" si="11"/>
        <v>1948171.9973089399</v>
      </c>
      <c r="K41" s="249">
        <f>SUM(E41:J41)</f>
        <v>192841264.91132617</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-'WSS-28'!K659-'WSS-28'!K665</f>
        <v>-146517.94254989771</v>
      </c>
      <c r="E43" s="253">
        <f>D43</f>
        <v>-146517.94254989771</v>
      </c>
      <c r="F43" s="254">
        <v>0</v>
      </c>
      <c r="G43" s="254">
        <v>0</v>
      </c>
      <c r="H43" s="254">
        <v>0</v>
      </c>
      <c r="I43" s="254">
        <v>0</v>
      </c>
      <c r="J43" s="254">
        <v>0</v>
      </c>
      <c r="K43" s="249">
        <f>SUM(E43:J43)</f>
        <v>-146517.94254989771</v>
      </c>
      <c r="L43" s="250" t="str">
        <f>IF(ABS(K43-D43)&lt;0.01,"ok","err")</f>
        <v>ok</v>
      </c>
      <c r="M43" s="26"/>
      <c r="N43" s="26"/>
    </row>
    <row r="44" spans="1:14" ht="15.3" x14ac:dyDescent="0.55000000000000004">
      <c r="A44" s="282" t="s">
        <v>1830</v>
      </c>
      <c r="B44" s="244" t="s">
        <v>1832</v>
      </c>
      <c r="C44" s="245"/>
      <c r="D44" s="253">
        <f>-'WSS-28'!K652</f>
        <v>-874964.38868657814</v>
      </c>
      <c r="E44" s="253">
        <v>0</v>
      </c>
      <c r="F44" s="254">
        <f>D44</f>
        <v>-874964.38868657814</v>
      </c>
      <c r="G44" s="254">
        <v>0</v>
      </c>
      <c r="H44" s="254">
        <v>0</v>
      </c>
      <c r="I44" s="254">
        <v>0</v>
      </c>
      <c r="J44" s="254">
        <v>0</v>
      </c>
      <c r="K44" s="249">
        <f>SUM(E44:J44)</f>
        <v>-874964.38868657814</v>
      </c>
      <c r="L44" s="250" t="str">
        <f>IF(ABS(K44-D44)&lt;0.01,"ok","err")</f>
        <v>ok</v>
      </c>
      <c r="M44" s="26"/>
      <c r="N44" s="26"/>
    </row>
    <row r="45" spans="1:14" ht="15.3" x14ac:dyDescent="0.55000000000000004">
      <c r="A45" s="282" t="s">
        <v>1834</v>
      </c>
      <c r="B45" s="244" t="s">
        <v>2469</v>
      </c>
      <c r="C45" s="245"/>
      <c r="D45" s="253">
        <f>-'WSS-28'!K658</f>
        <v>-2688109.214605567</v>
      </c>
      <c r="E45" s="253">
        <v>0</v>
      </c>
      <c r="F45" s="254">
        <v>0</v>
      </c>
      <c r="G45" s="254">
        <f>D45</f>
        <v>-2688109.214605567</v>
      </c>
      <c r="H45" s="254">
        <v>0</v>
      </c>
      <c r="I45" s="254">
        <v>0</v>
      </c>
      <c r="J45" s="254">
        <v>0</v>
      </c>
      <c r="K45" s="249">
        <f>SUM(E45:J45)</f>
        <v>-2688109.214605567</v>
      </c>
      <c r="L45" s="250" t="str">
        <f>IF(ABS(K45-D45)&lt;0.01,"ok","err")</f>
        <v>ok</v>
      </c>
      <c r="M45" s="26"/>
      <c r="N45" s="26"/>
    </row>
    <row r="46" spans="1:14" ht="15.3" x14ac:dyDescent="0.55000000000000004">
      <c r="A46" s="282" t="s">
        <v>1835</v>
      </c>
      <c r="B46" s="244" t="s">
        <v>1833</v>
      </c>
      <c r="C46" s="245"/>
      <c r="D46" s="253">
        <f>-('WSS-28'!K654+'WSS-28'!K655+'WSS-28'!K656+'WSS-28'!K657+'WSS-28'!K660+'WSS-28'!K662+'WSS-28'!K663+'WSS-28'!K664)</f>
        <v>-599212.74713822547</v>
      </c>
      <c r="E46" s="253">
        <f t="shared" ref="E46:J46" si="12">(E14/($D$14)*$D$46)</f>
        <v>-400130.88531136076</v>
      </c>
      <c r="F46" s="254">
        <f t="shared" si="12"/>
        <v>-10264.189822000821</v>
      </c>
      <c r="G46" s="254">
        <f t="shared" si="12"/>
        <v>-112736.23229951136</v>
      </c>
      <c r="H46" s="254">
        <f t="shared" si="12"/>
        <v>-64803.688997254518</v>
      </c>
      <c r="I46" s="254">
        <f t="shared" si="12"/>
        <v>-10859.798793690483</v>
      </c>
      <c r="J46" s="254">
        <f t="shared" si="12"/>
        <v>-417.9519144076902</v>
      </c>
      <c r="K46" s="249">
        <f>SUM(E46:J46)</f>
        <v>-599212.74713822559</v>
      </c>
      <c r="L46" s="250" t="str">
        <f>IF(ABS(K46-D46)&lt;0.01,"ok","err")</f>
        <v>ok</v>
      </c>
      <c r="M46" s="26"/>
      <c r="N46" s="26"/>
    </row>
    <row r="47" spans="1:14" ht="15.3" x14ac:dyDescent="0.55000000000000004">
      <c r="A47" s="282" t="s">
        <v>1841</v>
      </c>
      <c r="B47" s="244" t="s">
        <v>1836</v>
      </c>
      <c r="C47" s="245"/>
      <c r="D47" s="253">
        <f>SUM(D43:D46)</f>
        <v>-4308804.2929802686</v>
      </c>
      <c r="E47" s="253">
        <f t="shared" ref="E47:J47" si="13">SUM(E43:E46)</f>
        <v>-546648.82786125853</v>
      </c>
      <c r="F47" s="254">
        <f t="shared" si="13"/>
        <v>-885228.57850857894</v>
      </c>
      <c r="G47" s="254">
        <f t="shared" si="13"/>
        <v>-2800845.4469050784</v>
      </c>
      <c r="H47" s="254">
        <f t="shared" si="13"/>
        <v>-64803.688997254518</v>
      </c>
      <c r="I47" s="254">
        <f t="shared" si="13"/>
        <v>-10859.798793690483</v>
      </c>
      <c r="J47" s="254">
        <f t="shared" si="13"/>
        <v>-417.9519144076902</v>
      </c>
      <c r="K47" s="249">
        <f>SUM(E47:J47)</f>
        <v>-4308804.2929802677</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188532460.61834586</v>
      </c>
      <c r="E49" s="253">
        <f t="shared" ref="E49:J49" si="14">E41+E47</f>
        <v>95301436.778527662</v>
      </c>
      <c r="F49" s="254">
        <f t="shared" si="14"/>
        <v>55159466.07751675</v>
      </c>
      <c r="G49" s="254">
        <f t="shared" si="14"/>
        <v>20633960.416948348</v>
      </c>
      <c r="H49" s="254">
        <f t="shared" si="14"/>
        <v>12574284.842653573</v>
      </c>
      <c r="I49" s="254">
        <f t="shared" si="14"/>
        <v>2915558.4573050262</v>
      </c>
      <c r="J49" s="254">
        <f t="shared" si="14"/>
        <v>1947754.0453945321</v>
      </c>
      <c r="K49" s="249">
        <f>SUM(E49:J49)</f>
        <v>188532460.61834589</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5473847.4691718873</v>
      </c>
      <c r="F51" s="265">
        <f>'Billing Det'!$C$16</f>
        <v>1699193305</v>
      </c>
      <c r="G51" s="265">
        <f>$E$51</f>
        <v>5473847.4691718873</v>
      </c>
      <c r="H51" s="265">
        <f>$E$51</f>
        <v>5473847.4691718873</v>
      </c>
      <c r="I51" s="265">
        <f>'WSS-28'!K831</f>
        <v>53288.416438356158</v>
      </c>
      <c r="J51" s="265">
        <f>I51</f>
        <v>53288.416438356158</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2472</v>
      </c>
      <c r="B53" s="266" t="s">
        <v>1813</v>
      </c>
      <c r="C53" s="267"/>
      <c r="D53" s="268"/>
      <c r="E53" s="446">
        <f t="shared" ref="E53:J53" si="15">E49/E51</f>
        <v>17.410320129535027</v>
      </c>
      <c r="F53" s="270">
        <f t="shared" si="15"/>
        <v>3.2462148900425869E-2</v>
      </c>
      <c r="G53" s="447">
        <f t="shared" si="15"/>
        <v>3.7695534143317961</v>
      </c>
      <c r="H53" s="447">
        <f t="shared" si="15"/>
        <v>2.297156600265275</v>
      </c>
      <c r="I53" s="271">
        <f>I49/I51</f>
        <v>54.712799744720009</v>
      </c>
      <c r="J53" s="271">
        <f t="shared" si="15"/>
        <v>36.551171447319831</v>
      </c>
      <c r="K53" s="272">
        <f>I53+J53</f>
        <v>91.263971192039833</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91.263971192039833</v>
      </c>
      <c r="L55" s="291">
        <f>ROUND(K55/30.5,2)</f>
        <v>2.99</v>
      </c>
      <c r="M55" s="26"/>
      <c r="N55" s="26"/>
    </row>
    <row r="56" spans="1:14" ht="15.3" x14ac:dyDescent="0.55000000000000004">
      <c r="A56" s="26"/>
      <c r="B56" s="26"/>
      <c r="C56" s="26"/>
      <c r="D56" s="290"/>
      <c r="E56" s="26"/>
      <c r="F56" s="26"/>
      <c r="G56" s="26"/>
      <c r="H56" s="26"/>
      <c r="I56" s="26"/>
      <c r="J56" s="26" t="s">
        <v>2266</v>
      </c>
      <c r="K56" s="279">
        <f>E53+G53+H53</f>
        <v>23.477030144132097</v>
      </c>
      <c r="L56" s="26"/>
      <c r="M56" s="26"/>
      <c r="N56" s="26"/>
    </row>
    <row r="57" spans="1:14" ht="15.3" x14ac:dyDescent="0.55000000000000004">
      <c r="A57" s="26"/>
      <c r="B57" s="26"/>
      <c r="C57" s="26"/>
      <c r="D57" s="279"/>
      <c r="E57" s="26"/>
      <c r="F57" s="26"/>
      <c r="G57" s="26"/>
      <c r="H57" s="26"/>
      <c r="I57" s="26"/>
      <c r="J57" s="26" t="s">
        <v>2271</v>
      </c>
      <c r="K57" s="289">
        <f>F53</f>
        <v>3.2462148900425869E-2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5933265210834EA74734FDD2FA6C5F" ma:contentTypeVersion="12" ma:contentTypeDescription="Create a new document." ma:contentTypeScope="" ma:versionID="78041e5ec64f8e676c7aa7c9560c2d1f">
  <xsd:schema xmlns:xsd="http://www.w3.org/2001/XMLSchema" xmlns:xs="http://www.w3.org/2001/XMLSchema" xmlns:p="http://schemas.microsoft.com/office/2006/metadata/properties" xmlns:ns2="2b9e1b56-1bc3-4bb6-83f9-6df8fea7da23" xmlns:ns3="0a97646d-5e46-4532-99d2-95b688ae3204" targetNamespace="http://schemas.microsoft.com/office/2006/metadata/properties" ma:root="true" ma:fieldsID="9be589ad3e65044d44483e4dfd03f56e" ns2:_="" ns3:_="">
    <xsd:import namespace="2b9e1b56-1bc3-4bb6-83f9-6df8fea7da23"/>
    <xsd:import namespace="0a97646d-5e46-4532-99d2-95b688ae3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EventHashCode" minOccurs="0"/>
                <xsd:element ref="ns2:MediaServiceGenerationTime"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9e1b56-1bc3-4bb6-83f9-6df8fea7da23"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a97646d-5e46-4532-99d2-95b688ae320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223C0EC-B888-457C-82BB-2CA3502FF1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9e1b56-1bc3-4bb6-83f9-6df8fea7da23"/>
    <ds:schemaRef ds:uri="0a97646d-5e46-4532-99d2-95b688ae3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FA7248-F230-4F54-8B23-3F7A1336C40A}">
  <ds:schemaRefs>
    <ds:schemaRef ds:uri="http://schemas.microsoft.com/sharepoint/v3/contenttype/forms"/>
  </ds:schemaRefs>
</ds:datastoreItem>
</file>

<file path=customXml/itemProps3.xml><?xml version="1.0" encoding="utf-8"?>
<ds:datastoreItem xmlns:ds="http://schemas.openxmlformats.org/officeDocument/2006/customXml" ds:itemID="{D9B2C518-ACBA-442A-BF44-401A696D55DB}">
  <ds:schemaRef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2b9e1b56-1bc3-4bb6-83f9-6df8fea7da2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vt:i4>
      </vt:variant>
    </vt:vector>
  </HeadingPairs>
  <TitlesOfParts>
    <vt:vector size="36" baseType="lpstr">
      <vt:lpstr>Jurisdictional Study</vt:lpstr>
      <vt:lpstr>WSS-26</vt:lpstr>
      <vt:lpstr>WSS-28</vt:lpstr>
      <vt:lpstr>Summary of Returns</vt:lpstr>
      <vt:lpstr>Billing Det</vt:lpstr>
      <vt:lpstr>RS Unit Costs</vt:lpstr>
      <vt:lpstr>GS Unit Costs</vt:lpstr>
      <vt:lpstr>AES Unit Costs</vt:lpstr>
      <vt:lpstr>PSS Unit Costs</vt:lpstr>
      <vt:lpstr>PSP Unit Costs</vt:lpstr>
      <vt:lpstr>TODS Unit Costs</vt:lpstr>
      <vt:lpstr>TODP Unit Costs</vt:lpstr>
      <vt:lpstr>RTS Unit Costs</vt:lpstr>
      <vt:lpstr>FLS Unit Costs</vt:lpstr>
      <vt:lpstr>Meters</vt:lpstr>
      <vt:lpstr>Services</vt:lpstr>
      <vt:lpstr>'AES Unit Costs'!Print_Area</vt:lpstr>
      <vt:lpstr>'Billing Det'!Print_Area</vt:lpstr>
      <vt:lpstr>'FLS Unit Costs'!Print_Area</vt:lpstr>
      <vt:lpstr>'GS Unit Costs'!Print_Area</vt:lpstr>
      <vt:lpstr>'Jurisdictional Study'!Print_Area</vt:lpstr>
      <vt:lpstr>Meters!Print_Area</vt:lpstr>
      <vt:lpstr>'PSP Unit Costs'!Print_Area</vt:lpstr>
      <vt:lpstr>'PSS Unit Costs'!Print_Area</vt:lpstr>
      <vt:lpstr>'RS Unit Costs'!Print_Area</vt:lpstr>
      <vt:lpstr>'RTS Unit Costs'!Print_Area</vt:lpstr>
      <vt:lpstr>Services!Print_Area</vt:lpstr>
      <vt:lpstr>'Summary of Returns'!Print_Area</vt:lpstr>
      <vt:lpstr>'TODP Unit Costs'!Print_Area</vt:lpstr>
      <vt:lpstr>'TODS Unit Costs'!Print_Area</vt:lpstr>
      <vt:lpstr>'WSS-26'!Print_Area</vt:lpstr>
      <vt:lpstr>'WSS-28'!Print_Area</vt:lpstr>
      <vt:lpstr>'Billing Det'!Print_Titles</vt:lpstr>
      <vt:lpstr>'Jurisdictional Study'!Print_Titles</vt:lpstr>
      <vt:lpstr>'WSS-26'!Print_Titles</vt:lpstr>
      <vt:lpstr>'WSS-28'!Print_Titles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Wernert, Jeff</dc:creator>
  <cp:lastModifiedBy>Jeff Wernert</cp:lastModifiedBy>
  <cp:lastPrinted>2018-09-20T03:16:55Z</cp:lastPrinted>
  <dcterms:created xsi:type="dcterms:W3CDTF">1999-02-10T22:20:33Z</dcterms:created>
  <dcterms:modified xsi:type="dcterms:W3CDTF">2021-04-12T17:21:38Z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0x010100475933265210834EA74734FDD2FA6C5F</vt:lpwstr>
  </property>
</Properties>
</file>